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/>
  <mc:AlternateContent xmlns:mc="http://schemas.openxmlformats.org/markup-compatibility/2006">
    <mc:Choice Requires="x15">
      <x15ac:absPath xmlns:x15ac="http://schemas.microsoft.com/office/spreadsheetml/2010/11/ac" url="E:\Digital Talent Kominfo\myskillsid\Bootcamp 2\Portofolio\"/>
    </mc:Choice>
  </mc:AlternateContent>
  <xr:revisionPtr revIDLastSave="0" documentId="13_ncr:1_{A652B245-9CAB-4133-93B6-CF5FB77A0B94}" xr6:coauthVersionLast="47" xr6:coauthVersionMax="47" xr10:uidLastSave="{00000000-0000-0000-0000-000000000000}"/>
  <bookViews>
    <workbookView xWindow="-108" yWindow="-108" windowWidth="23256" windowHeight="12576" tabRatio="934" firstSheet="1" activeTab="8" xr2:uid="{00000000-000D-0000-FFFF-FFFF00000000}"/>
  </bookViews>
  <sheets>
    <sheet name="Description" sheetId="1" r:id="rId1"/>
    <sheet name="Data" sheetId="2" r:id="rId2"/>
    <sheet name="Employee" sheetId="3" r:id="rId3"/>
    <sheet name="Helper" sheetId="4" r:id="rId4"/>
    <sheet name="Pivot Location" sheetId="5" r:id="rId5"/>
    <sheet name="Pivot Customer dan Product Type" sheetId="7" r:id="rId6"/>
    <sheet name="What-if Scenario" sheetId="9" r:id="rId7"/>
    <sheet name="Scenario Manager Summary" sheetId="11" r:id="rId8"/>
    <sheet name="What-if Goal Seek" sheetId="12" r:id="rId9"/>
  </sheets>
  <definedNames>
    <definedName name="_xlcn.WorksheetConnection_StoreData.xlsxTable11" hidden="1">Table1[]</definedName>
    <definedName name="Person" localSheetId="8">'What-if Goal Seek'!$B$8</definedName>
    <definedName name="Person" localSheetId="6">'What-if Scenario'!$B$8</definedName>
    <definedName name="Person">#REF!</definedName>
    <definedName name="Price" localSheetId="8">'What-if Goal Seek'!$D$3</definedName>
    <definedName name="Price" localSheetId="6">'What-if Scenario'!$D$3</definedName>
    <definedName name="Price">#REF!</definedName>
    <definedName name="Price_per_Manpower" localSheetId="8">'What-if Goal Seek'!$C$8</definedName>
    <definedName name="Price_per_Manpower" localSheetId="6">'What-if Scenario'!$C$8</definedName>
    <definedName name="Price_per_Manpower">#REF!</definedName>
    <definedName name="Quantity" localSheetId="8">'What-if Goal Seek'!$D$2</definedName>
    <definedName name="Quantity" localSheetId="6">'What-if Scenario'!$D$2</definedName>
    <definedName name="Quantity">#REF!</definedName>
    <definedName name="Shipping_Cost" localSheetId="8">'What-if Goal Seek'!$C$6</definedName>
    <definedName name="Shipping_Cost" localSheetId="6">'What-if Scenario'!$C$6</definedName>
    <definedName name="Shipping_Cost">#REF!</definedName>
    <definedName name="solver_lhs1" localSheetId="8">'What-if Goal Seek'!$B$8</definedName>
    <definedName name="solver_lhs1" localSheetId="6">'What-if Scenario'!$B$8</definedName>
    <definedName name="solver_lhs2" localSheetId="8">'What-if Goal Seek'!$D$3</definedName>
    <definedName name="solver_lhs2" localSheetId="6">'What-if Scenario'!$D$3</definedName>
    <definedName name="solver_lhs3" localSheetId="8">'What-if Goal Seek'!$C$8</definedName>
    <definedName name="solver_lhs3" localSheetId="6">'What-if Scenario'!$C$8</definedName>
    <definedName name="solver_lhs4" localSheetId="8">'What-if Goal Seek'!$C$6</definedName>
    <definedName name="solver_lhs4" localSheetId="6">'What-if Scenario'!$C$6</definedName>
    <definedName name="solver_opt" localSheetId="8">'What-if Goal Seek'!$D$12</definedName>
    <definedName name="solver_opt" localSheetId="6">'What-if Scenario'!$D$12</definedName>
  </definedNames>
  <calcPr calcId="191029"/>
  <pivotCaches>
    <pivotCache cacheId="0" r:id="rId10"/>
    <pivotCache cacheId="1" r:id="rId11"/>
  </pivotCaches>
  <extLst>
    <ext xmlns:x15="http://schemas.microsoft.com/office/spreadsheetml/2010/11/main" uri="{FCE2AD5D-F65C-4FA6-A056-5C36A1767C68}">
      <x15:dataModel>
        <x15:modelTables>
          <x15:modelTable id="Table1" name="Table1" connection="WorksheetConnection_Store Data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2" i="12" l="1"/>
  <c r="D20" i="12"/>
  <c r="D18" i="12"/>
  <c r="D8" i="12"/>
  <c r="D7" i="12"/>
  <c r="D6" i="12"/>
  <c r="D4" i="12"/>
  <c r="D4" i="9"/>
  <c r="D6" i="9"/>
  <c r="D8" i="9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48" i="2"/>
  <c r="Y249" i="2"/>
  <c r="Y250" i="2"/>
  <c r="Y251" i="2"/>
  <c r="Y252" i="2"/>
  <c r="Y253" i="2"/>
  <c r="Y254" i="2"/>
  <c r="Y255" i="2"/>
  <c r="Y256" i="2"/>
  <c r="Y257" i="2"/>
  <c r="Y258" i="2"/>
  <c r="Y259" i="2"/>
  <c r="Y260" i="2"/>
  <c r="Y261" i="2"/>
  <c r="Y262" i="2"/>
  <c r="Y263" i="2"/>
  <c r="Y264" i="2"/>
  <c r="Y265" i="2"/>
  <c r="Y266" i="2"/>
  <c r="Y267" i="2"/>
  <c r="Y268" i="2"/>
  <c r="Y269" i="2"/>
  <c r="Y270" i="2"/>
  <c r="Y271" i="2"/>
  <c r="Y272" i="2"/>
  <c r="Y273" i="2"/>
  <c r="Y274" i="2"/>
  <c r="Y275" i="2"/>
  <c r="Y276" i="2"/>
  <c r="Y277" i="2"/>
  <c r="Y278" i="2"/>
  <c r="Y279" i="2"/>
  <c r="Y280" i="2"/>
  <c r="Y281" i="2"/>
  <c r="Y282" i="2"/>
  <c r="Y283" i="2"/>
  <c r="Y284" i="2"/>
  <c r="Y285" i="2"/>
  <c r="Y286" i="2"/>
  <c r="Y287" i="2"/>
  <c r="Y288" i="2"/>
  <c r="Y289" i="2"/>
  <c r="Y290" i="2"/>
  <c r="Y291" i="2"/>
  <c r="Y292" i="2"/>
  <c r="Y293" i="2"/>
  <c r="Y294" i="2"/>
  <c r="Y295" i="2"/>
  <c r="Y296" i="2"/>
  <c r="Y297" i="2"/>
  <c r="Y298" i="2"/>
  <c r="Y299" i="2"/>
  <c r="Y300" i="2"/>
  <c r="Y301" i="2"/>
  <c r="Y302" i="2"/>
  <c r="Y303" i="2"/>
  <c r="Y304" i="2"/>
  <c r="Y305" i="2"/>
  <c r="Y306" i="2"/>
  <c r="Y307" i="2"/>
  <c r="Y308" i="2"/>
  <c r="Y309" i="2"/>
  <c r="Y310" i="2"/>
  <c r="Y311" i="2"/>
  <c r="Y312" i="2"/>
  <c r="Y313" i="2"/>
  <c r="Y314" i="2"/>
  <c r="Y315" i="2"/>
  <c r="Y316" i="2"/>
  <c r="Y317" i="2"/>
  <c r="Y318" i="2"/>
  <c r="Y319" i="2"/>
  <c r="Y320" i="2"/>
  <c r="Y321" i="2"/>
  <c r="Y322" i="2"/>
  <c r="Y323" i="2"/>
  <c r="Y324" i="2"/>
  <c r="Y325" i="2"/>
  <c r="Y326" i="2"/>
  <c r="Y327" i="2"/>
  <c r="Y328" i="2"/>
  <c r="Y329" i="2"/>
  <c r="Y330" i="2"/>
  <c r="Y331" i="2"/>
  <c r="Y332" i="2"/>
  <c r="Y333" i="2"/>
  <c r="Y334" i="2"/>
  <c r="Y335" i="2"/>
  <c r="Y336" i="2"/>
  <c r="Y337" i="2"/>
  <c r="Y338" i="2"/>
  <c r="Y339" i="2"/>
  <c r="Y340" i="2"/>
  <c r="Y341" i="2"/>
  <c r="Y342" i="2"/>
  <c r="Y343" i="2"/>
  <c r="Y344" i="2"/>
  <c r="Y345" i="2"/>
  <c r="Y346" i="2"/>
  <c r="Y347" i="2"/>
  <c r="Y348" i="2"/>
  <c r="Y349" i="2"/>
  <c r="Y350" i="2"/>
  <c r="Y351" i="2"/>
  <c r="Y352" i="2"/>
  <c r="Y353" i="2"/>
  <c r="Y354" i="2"/>
  <c r="Y355" i="2"/>
  <c r="Y356" i="2"/>
  <c r="Y357" i="2"/>
  <c r="Y358" i="2"/>
  <c r="Y359" i="2"/>
  <c r="Y360" i="2"/>
  <c r="Y361" i="2"/>
  <c r="Y362" i="2"/>
  <c r="Y363" i="2"/>
  <c r="Y364" i="2"/>
  <c r="Y365" i="2"/>
  <c r="Y366" i="2"/>
  <c r="Y367" i="2"/>
  <c r="Y368" i="2"/>
  <c r="Y369" i="2"/>
  <c r="Y370" i="2"/>
  <c r="Y371" i="2"/>
  <c r="Y372" i="2"/>
  <c r="Y373" i="2"/>
  <c r="Y374" i="2"/>
  <c r="Y375" i="2"/>
  <c r="Y376" i="2"/>
  <c r="Y377" i="2"/>
  <c r="Y378" i="2"/>
  <c r="Y379" i="2"/>
  <c r="Y380" i="2"/>
  <c r="Y381" i="2"/>
  <c r="Y382" i="2"/>
  <c r="Y383" i="2"/>
  <c r="Y384" i="2"/>
  <c r="Y385" i="2"/>
  <c r="Y386" i="2"/>
  <c r="Y387" i="2"/>
  <c r="Y388" i="2"/>
  <c r="Y389" i="2"/>
  <c r="Y390" i="2"/>
  <c r="Y391" i="2"/>
  <c r="Y392" i="2"/>
  <c r="Y393" i="2"/>
  <c r="Y394" i="2"/>
  <c r="Y395" i="2"/>
  <c r="Y396" i="2"/>
  <c r="Y397" i="2"/>
  <c r="Y398" i="2"/>
  <c r="Y399" i="2"/>
  <c r="Y400" i="2"/>
  <c r="Y401" i="2"/>
  <c r="Y402" i="2"/>
  <c r="Y403" i="2"/>
  <c r="Y404" i="2"/>
  <c r="Y405" i="2"/>
  <c r="Y406" i="2"/>
  <c r="Y407" i="2"/>
  <c r="Y408" i="2"/>
  <c r="Y409" i="2"/>
  <c r="Y410" i="2"/>
  <c r="Y411" i="2"/>
  <c r="Y412" i="2"/>
  <c r="Y413" i="2"/>
  <c r="Y414" i="2"/>
  <c r="Y415" i="2"/>
  <c r="Y416" i="2"/>
  <c r="Y417" i="2"/>
  <c r="Y418" i="2"/>
  <c r="Y419" i="2"/>
  <c r="Y420" i="2"/>
  <c r="Y421" i="2"/>
  <c r="Y422" i="2"/>
  <c r="Y423" i="2"/>
  <c r="Y424" i="2"/>
  <c r="Y425" i="2"/>
  <c r="Y426" i="2"/>
  <c r="Y427" i="2"/>
  <c r="Y428" i="2"/>
  <c r="Y429" i="2"/>
  <c r="Y430" i="2"/>
  <c r="Y431" i="2"/>
  <c r="Y432" i="2"/>
  <c r="Y433" i="2"/>
  <c r="Y434" i="2"/>
  <c r="Y435" i="2"/>
  <c r="Y436" i="2"/>
  <c r="Y437" i="2"/>
  <c r="Y438" i="2"/>
  <c r="Y439" i="2"/>
  <c r="Y440" i="2"/>
  <c r="Y441" i="2"/>
  <c r="Y442" i="2"/>
  <c r="Y443" i="2"/>
  <c r="Y444" i="2"/>
  <c r="Y445" i="2"/>
  <c r="Y446" i="2"/>
  <c r="Y447" i="2"/>
  <c r="Y448" i="2"/>
  <c r="Y449" i="2"/>
  <c r="Y450" i="2"/>
  <c r="Y451" i="2"/>
  <c r="Y452" i="2"/>
  <c r="Y453" i="2"/>
  <c r="Y454" i="2"/>
  <c r="Y455" i="2"/>
  <c r="Y456" i="2"/>
  <c r="Y457" i="2"/>
  <c r="Y458" i="2"/>
  <c r="Y459" i="2"/>
  <c r="Y460" i="2"/>
  <c r="Y461" i="2"/>
  <c r="Y462" i="2"/>
  <c r="Y463" i="2"/>
  <c r="Y464" i="2"/>
  <c r="Y465" i="2"/>
  <c r="Y466" i="2"/>
  <c r="Y467" i="2"/>
  <c r="Y468" i="2"/>
  <c r="Y469" i="2"/>
  <c r="Y470" i="2"/>
  <c r="Y471" i="2"/>
  <c r="Y472" i="2"/>
  <c r="Y473" i="2"/>
  <c r="Y474" i="2"/>
  <c r="Y475" i="2"/>
  <c r="Y476" i="2"/>
  <c r="Y477" i="2"/>
  <c r="Y478" i="2"/>
  <c r="Y479" i="2"/>
  <c r="Y480" i="2"/>
  <c r="Y481" i="2"/>
  <c r="Y482" i="2"/>
  <c r="Y483" i="2"/>
  <c r="Y484" i="2"/>
  <c r="Y485" i="2"/>
  <c r="Y486" i="2"/>
  <c r="Y487" i="2"/>
  <c r="Y488" i="2"/>
  <c r="Y489" i="2"/>
  <c r="Y490" i="2"/>
  <c r="Y491" i="2"/>
  <c r="Y492" i="2"/>
  <c r="Y493" i="2"/>
  <c r="Y494" i="2"/>
  <c r="Y495" i="2"/>
  <c r="Y496" i="2"/>
  <c r="Y497" i="2"/>
  <c r="Y498" i="2"/>
  <c r="Y499" i="2"/>
  <c r="Y500" i="2"/>
  <c r="Y501" i="2"/>
  <c r="Y502" i="2"/>
  <c r="Y503" i="2"/>
  <c r="Y504" i="2"/>
  <c r="Y505" i="2"/>
  <c r="Y506" i="2"/>
  <c r="Y507" i="2"/>
  <c r="Y508" i="2"/>
  <c r="Y509" i="2"/>
  <c r="Y510" i="2"/>
  <c r="Y511" i="2"/>
  <c r="Y512" i="2"/>
  <c r="Y513" i="2"/>
  <c r="Y514" i="2"/>
  <c r="Y515" i="2"/>
  <c r="Y516" i="2"/>
  <c r="Y517" i="2"/>
  <c r="Y518" i="2"/>
  <c r="Y519" i="2"/>
  <c r="Y520" i="2"/>
  <c r="Y521" i="2"/>
  <c r="Y522" i="2"/>
  <c r="Y523" i="2"/>
  <c r="Y524" i="2"/>
  <c r="Y525" i="2"/>
  <c r="Y526" i="2"/>
  <c r="Y527" i="2"/>
  <c r="Y528" i="2"/>
  <c r="Y529" i="2"/>
  <c r="Y530" i="2"/>
  <c r="Y531" i="2"/>
  <c r="Y532" i="2"/>
  <c r="Y533" i="2"/>
  <c r="Y534" i="2"/>
  <c r="Y535" i="2"/>
  <c r="Y536" i="2"/>
  <c r="Y537" i="2"/>
  <c r="Y538" i="2"/>
  <c r="Y539" i="2"/>
  <c r="Y540" i="2"/>
  <c r="Y541" i="2"/>
  <c r="Y542" i="2"/>
  <c r="Y543" i="2"/>
  <c r="Y544" i="2"/>
  <c r="Y545" i="2"/>
  <c r="Y546" i="2"/>
  <c r="Y547" i="2"/>
  <c r="Y548" i="2"/>
  <c r="Y549" i="2"/>
  <c r="Y550" i="2"/>
  <c r="Y551" i="2"/>
  <c r="Y552" i="2"/>
  <c r="Y553" i="2"/>
  <c r="Y554" i="2"/>
  <c r="Y555" i="2"/>
  <c r="Y556" i="2"/>
  <c r="Y557" i="2"/>
  <c r="Y558" i="2"/>
  <c r="Y559" i="2"/>
  <c r="Y560" i="2"/>
  <c r="Y561" i="2"/>
  <c r="Y562" i="2"/>
  <c r="Y563" i="2"/>
  <c r="Y564" i="2"/>
  <c r="Y565" i="2"/>
  <c r="Y566" i="2"/>
  <c r="Y567" i="2"/>
  <c r="Y568" i="2"/>
  <c r="Y569" i="2"/>
  <c r="Y570" i="2"/>
  <c r="Y571" i="2"/>
  <c r="Y572" i="2"/>
  <c r="Y573" i="2"/>
  <c r="Y574" i="2"/>
  <c r="Y575" i="2"/>
  <c r="Y576" i="2"/>
  <c r="Y577" i="2"/>
  <c r="Y578" i="2"/>
  <c r="Y579" i="2"/>
  <c r="Y580" i="2"/>
  <c r="Y581" i="2"/>
  <c r="Y582" i="2"/>
  <c r="Y583" i="2"/>
  <c r="Y584" i="2"/>
  <c r="Y585" i="2"/>
  <c r="Y586" i="2"/>
  <c r="Y587" i="2"/>
  <c r="Y588" i="2"/>
  <c r="Y589" i="2"/>
  <c r="Y590" i="2"/>
  <c r="Y591" i="2"/>
  <c r="Y592" i="2"/>
  <c r="Y593" i="2"/>
  <c r="Y594" i="2"/>
  <c r="Y595" i="2"/>
  <c r="Y596" i="2"/>
  <c r="Y597" i="2"/>
  <c r="Y598" i="2"/>
  <c r="Y599" i="2"/>
  <c r="Y600" i="2"/>
  <c r="Y601" i="2"/>
  <c r="Y602" i="2"/>
  <c r="Y603" i="2"/>
  <c r="Y604" i="2"/>
  <c r="Y605" i="2"/>
  <c r="Y606" i="2"/>
  <c r="Y607" i="2"/>
  <c r="Y608" i="2"/>
  <c r="Y609" i="2"/>
  <c r="Y610" i="2"/>
  <c r="Y611" i="2"/>
  <c r="Y612" i="2"/>
  <c r="Y613" i="2"/>
  <c r="Y614" i="2"/>
  <c r="Y615" i="2"/>
  <c r="Y616" i="2"/>
  <c r="Y617" i="2"/>
  <c r="Y618" i="2"/>
  <c r="Y619" i="2"/>
  <c r="Y620" i="2"/>
  <c r="Y621" i="2"/>
  <c r="Y622" i="2"/>
  <c r="Y623" i="2"/>
  <c r="Y624" i="2"/>
  <c r="Y625" i="2"/>
  <c r="Y626" i="2"/>
  <c r="Y627" i="2"/>
  <c r="Y628" i="2"/>
  <c r="Y629" i="2"/>
  <c r="Y630" i="2"/>
  <c r="Y631" i="2"/>
  <c r="Y632" i="2"/>
  <c r="Y633" i="2"/>
  <c r="Y634" i="2"/>
  <c r="Y635" i="2"/>
  <c r="Y636" i="2"/>
  <c r="Y637" i="2"/>
  <c r="Y638" i="2"/>
  <c r="Y639" i="2"/>
  <c r="Y640" i="2"/>
  <c r="Y641" i="2"/>
  <c r="Y642" i="2"/>
  <c r="Y643" i="2"/>
  <c r="Y644" i="2"/>
  <c r="Y645" i="2"/>
  <c r="Y646" i="2"/>
  <c r="Y647" i="2"/>
  <c r="Y648" i="2"/>
  <c r="Y649" i="2"/>
  <c r="Y650" i="2"/>
  <c r="Y651" i="2"/>
  <c r="Y652" i="2"/>
  <c r="Y653" i="2"/>
  <c r="Y654" i="2"/>
  <c r="Y655" i="2"/>
  <c r="Y656" i="2"/>
  <c r="Y657" i="2"/>
  <c r="Y658" i="2"/>
  <c r="Y659" i="2"/>
  <c r="Y660" i="2"/>
  <c r="Y661" i="2"/>
  <c r="Y662" i="2"/>
  <c r="Y663" i="2"/>
  <c r="Y664" i="2"/>
  <c r="Y665" i="2"/>
  <c r="Y666" i="2"/>
  <c r="Y667" i="2"/>
  <c r="Y668" i="2"/>
  <c r="Y669" i="2"/>
  <c r="Y670" i="2"/>
  <c r="Y671" i="2"/>
  <c r="Y672" i="2"/>
  <c r="Y673" i="2"/>
  <c r="Y674" i="2"/>
  <c r="Y675" i="2"/>
  <c r="Y676" i="2"/>
  <c r="Y677" i="2"/>
  <c r="Y678" i="2"/>
  <c r="Y679" i="2"/>
  <c r="Y680" i="2"/>
  <c r="Y681" i="2"/>
  <c r="Y682" i="2"/>
  <c r="Y683" i="2"/>
  <c r="Y684" i="2"/>
  <c r="Y685" i="2"/>
  <c r="Y686" i="2"/>
  <c r="Y687" i="2"/>
  <c r="Y688" i="2"/>
  <c r="Y689" i="2"/>
  <c r="Y690" i="2"/>
  <c r="Y691" i="2"/>
  <c r="Y692" i="2"/>
  <c r="Y693" i="2"/>
  <c r="Y694" i="2"/>
  <c r="Y695" i="2"/>
  <c r="Y696" i="2"/>
  <c r="Y697" i="2"/>
  <c r="Y698" i="2"/>
  <c r="Y699" i="2"/>
  <c r="Y700" i="2"/>
  <c r="Y701" i="2"/>
  <c r="Y702" i="2"/>
  <c r="Y703" i="2"/>
  <c r="Y704" i="2"/>
  <c r="Y705" i="2"/>
  <c r="Y706" i="2"/>
  <c r="Y707" i="2"/>
  <c r="Y708" i="2"/>
  <c r="Y709" i="2"/>
  <c r="Y710" i="2"/>
  <c r="Y711" i="2"/>
  <c r="Y712" i="2"/>
  <c r="Y713" i="2"/>
  <c r="Y714" i="2"/>
  <c r="Y715" i="2"/>
  <c r="Y716" i="2"/>
  <c r="Y717" i="2"/>
  <c r="Y718" i="2"/>
  <c r="Y719" i="2"/>
  <c r="Y720" i="2"/>
  <c r="Y721" i="2"/>
  <c r="Y722" i="2"/>
  <c r="Y723" i="2"/>
  <c r="Y724" i="2"/>
  <c r="Y725" i="2"/>
  <c r="Y726" i="2"/>
  <c r="Y727" i="2"/>
  <c r="Y728" i="2"/>
  <c r="Y729" i="2"/>
  <c r="Y730" i="2"/>
  <c r="Y731" i="2"/>
  <c r="Y732" i="2"/>
  <c r="Y733" i="2"/>
  <c r="Y734" i="2"/>
  <c r="Y735" i="2"/>
  <c r="Y736" i="2"/>
  <c r="Y737" i="2"/>
  <c r="Y738" i="2"/>
  <c r="Y739" i="2"/>
  <c r="Y740" i="2"/>
  <c r="Y741" i="2"/>
  <c r="Y742" i="2"/>
  <c r="Y743" i="2"/>
  <c r="Y744" i="2"/>
  <c r="Y745" i="2"/>
  <c r="Y746" i="2"/>
  <c r="Y747" i="2"/>
  <c r="Y748" i="2"/>
  <c r="Y749" i="2"/>
  <c r="Y750" i="2"/>
  <c r="Y751" i="2"/>
  <c r="Y752" i="2"/>
  <c r="Y753" i="2"/>
  <c r="Y754" i="2"/>
  <c r="Y755" i="2"/>
  <c r="Y756" i="2"/>
  <c r="Y757" i="2"/>
  <c r="Y758" i="2"/>
  <c r="Y759" i="2"/>
  <c r="Y760" i="2"/>
  <c r="Y761" i="2"/>
  <c r="Y762" i="2"/>
  <c r="Y763" i="2"/>
  <c r="Y764" i="2"/>
  <c r="Y765" i="2"/>
  <c r="Y766" i="2"/>
  <c r="Y767" i="2"/>
  <c r="Y768" i="2"/>
  <c r="Y769" i="2"/>
  <c r="Y770" i="2"/>
  <c r="Y771" i="2"/>
  <c r="Y772" i="2"/>
  <c r="Y773" i="2"/>
  <c r="Y774" i="2"/>
  <c r="Y775" i="2"/>
  <c r="Y776" i="2"/>
  <c r="Y777" i="2"/>
  <c r="Y778" i="2"/>
  <c r="Y779" i="2"/>
  <c r="Y780" i="2"/>
  <c r="Y781" i="2"/>
  <c r="Y782" i="2"/>
  <c r="Y783" i="2"/>
  <c r="Y784" i="2"/>
  <c r="Y785" i="2"/>
  <c r="Y786" i="2"/>
  <c r="Y787" i="2"/>
  <c r="Y788" i="2"/>
  <c r="Y789" i="2"/>
  <c r="Y790" i="2"/>
  <c r="Y791" i="2"/>
  <c r="Y792" i="2"/>
  <c r="Y793" i="2"/>
  <c r="Y794" i="2"/>
  <c r="Y795" i="2"/>
  <c r="Y796" i="2"/>
  <c r="Y797" i="2"/>
  <c r="Y798" i="2"/>
  <c r="Y799" i="2"/>
  <c r="Y800" i="2"/>
  <c r="Y801" i="2"/>
  <c r="Y802" i="2"/>
  <c r="Y803" i="2"/>
  <c r="Y804" i="2"/>
  <c r="Y805" i="2"/>
  <c r="Y806" i="2"/>
  <c r="Y807" i="2"/>
  <c r="Y808" i="2"/>
  <c r="Y809" i="2"/>
  <c r="Y810" i="2"/>
  <c r="Y811" i="2"/>
  <c r="Y812" i="2"/>
  <c r="Y813" i="2"/>
  <c r="Y814" i="2"/>
  <c r="Y815" i="2"/>
  <c r="Y816" i="2"/>
  <c r="Y817" i="2"/>
  <c r="Y818" i="2"/>
  <c r="Y819" i="2"/>
  <c r="Y820" i="2"/>
  <c r="Y821" i="2"/>
  <c r="Y822" i="2"/>
  <c r="Y823" i="2"/>
  <c r="Y824" i="2"/>
  <c r="Y825" i="2"/>
  <c r="Y826" i="2"/>
  <c r="Y827" i="2"/>
  <c r="Y828" i="2"/>
  <c r="Y829" i="2"/>
  <c r="Y830" i="2"/>
  <c r="Y831" i="2"/>
  <c r="Y832" i="2"/>
  <c r="Y833" i="2"/>
  <c r="Y834" i="2"/>
  <c r="Y835" i="2"/>
  <c r="Y836" i="2"/>
  <c r="Y837" i="2"/>
  <c r="Y838" i="2"/>
  <c r="Y839" i="2"/>
  <c r="Y840" i="2"/>
  <c r="Y841" i="2"/>
  <c r="Y842" i="2"/>
  <c r="Y843" i="2"/>
  <c r="Y844" i="2"/>
  <c r="Y845" i="2"/>
  <c r="Y846" i="2"/>
  <c r="Y847" i="2"/>
  <c r="Y848" i="2"/>
  <c r="Y849" i="2"/>
  <c r="Y850" i="2"/>
  <c r="Y851" i="2"/>
  <c r="Y852" i="2"/>
  <c r="Y853" i="2"/>
  <c r="Y854" i="2"/>
  <c r="Y855" i="2"/>
  <c r="Y856" i="2"/>
  <c r="Y857" i="2"/>
  <c r="Y858" i="2"/>
  <c r="Y859" i="2"/>
  <c r="Y860" i="2"/>
  <c r="Y861" i="2"/>
  <c r="Y862" i="2"/>
  <c r="Y863" i="2"/>
  <c r="Y864" i="2"/>
  <c r="Y865" i="2"/>
  <c r="Y866" i="2"/>
  <c r="Y867" i="2"/>
  <c r="Y868" i="2"/>
  <c r="Y869" i="2"/>
  <c r="Y870" i="2"/>
  <c r="Y871" i="2"/>
  <c r="Y872" i="2"/>
  <c r="Y873" i="2"/>
  <c r="Y874" i="2"/>
  <c r="Y875" i="2"/>
  <c r="Y876" i="2"/>
  <c r="Y877" i="2"/>
  <c r="Y878" i="2"/>
  <c r="Y879" i="2"/>
  <c r="Y880" i="2"/>
  <c r="Y881" i="2"/>
  <c r="Y882" i="2"/>
  <c r="Y883" i="2"/>
  <c r="Y884" i="2"/>
  <c r="Y885" i="2"/>
  <c r="Y886" i="2"/>
  <c r="Y887" i="2"/>
  <c r="Y888" i="2"/>
  <c r="Y889" i="2"/>
  <c r="Y890" i="2"/>
  <c r="Y891" i="2"/>
  <c r="Y892" i="2"/>
  <c r="Y893" i="2"/>
  <c r="Y894" i="2"/>
  <c r="Y895" i="2"/>
  <c r="Y896" i="2"/>
  <c r="Y897" i="2"/>
  <c r="Y898" i="2"/>
  <c r="Y899" i="2"/>
  <c r="Y900" i="2"/>
  <c r="Y901" i="2"/>
  <c r="Y902" i="2"/>
  <c r="Y903" i="2"/>
  <c r="Y904" i="2"/>
  <c r="Y905" i="2"/>
  <c r="Y906" i="2"/>
  <c r="Y907" i="2"/>
  <c r="Y908" i="2"/>
  <c r="Y909" i="2"/>
  <c r="Y910" i="2"/>
  <c r="Y911" i="2"/>
  <c r="Y912" i="2"/>
  <c r="Y913" i="2"/>
  <c r="Y914" i="2"/>
  <c r="Y915" i="2"/>
  <c r="Y916" i="2"/>
  <c r="Y917" i="2"/>
  <c r="Y918" i="2"/>
  <c r="Y919" i="2"/>
  <c r="Y920" i="2"/>
  <c r="Y921" i="2"/>
  <c r="Y922" i="2"/>
  <c r="Y923" i="2"/>
  <c r="Y924" i="2"/>
  <c r="Y925" i="2"/>
  <c r="Y926" i="2"/>
  <c r="Y927" i="2"/>
  <c r="Y928" i="2"/>
  <c r="Y929" i="2"/>
  <c r="Y930" i="2"/>
  <c r="Y931" i="2"/>
  <c r="Y932" i="2"/>
  <c r="Y933" i="2"/>
  <c r="Y934" i="2"/>
  <c r="Y935" i="2"/>
  <c r="Y936" i="2"/>
  <c r="Y937" i="2"/>
  <c r="Y938" i="2"/>
  <c r="Y939" i="2"/>
  <c r="Y940" i="2"/>
  <c r="Y941" i="2"/>
  <c r="Y942" i="2"/>
  <c r="Y943" i="2"/>
  <c r="Y944" i="2"/>
  <c r="Y945" i="2"/>
  <c r="Y946" i="2"/>
  <c r="Y947" i="2"/>
  <c r="Y948" i="2"/>
  <c r="Y949" i="2"/>
  <c r="Y950" i="2"/>
  <c r="Y951" i="2"/>
  <c r="Y952" i="2"/>
  <c r="Y953" i="2"/>
  <c r="Y954" i="2"/>
  <c r="Y955" i="2"/>
  <c r="Y956" i="2"/>
  <c r="Y957" i="2"/>
  <c r="Y958" i="2"/>
  <c r="Y959" i="2"/>
  <c r="Y960" i="2"/>
  <c r="Y961" i="2"/>
  <c r="Y962" i="2"/>
  <c r="Y963" i="2"/>
  <c r="Y964" i="2"/>
  <c r="Y965" i="2"/>
  <c r="Y966" i="2"/>
  <c r="Y967" i="2"/>
  <c r="Y968" i="2"/>
  <c r="Y969" i="2"/>
  <c r="Y970" i="2"/>
  <c r="Y971" i="2"/>
  <c r="Y972" i="2"/>
  <c r="Y973" i="2"/>
  <c r="Y974" i="2"/>
  <c r="Y975" i="2"/>
  <c r="Y976" i="2"/>
  <c r="Y977" i="2"/>
  <c r="Y978" i="2"/>
  <c r="Y979" i="2"/>
  <c r="Y980" i="2"/>
  <c r="Y981" i="2"/>
  <c r="Y982" i="2"/>
  <c r="Y983" i="2"/>
  <c r="Y984" i="2"/>
  <c r="Y985" i="2"/>
  <c r="Y986" i="2"/>
  <c r="Y987" i="2"/>
  <c r="Y988" i="2"/>
  <c r="Y989" i="2"/>
  <c r="Y990" i="2"/>
  <c r="Y991" i="2"/>
  <c r="Y992" i="2"/>
  <c r="Y993" i="2"/>
  <c r="Y994" i="2"/>
  <c r="Y995" i="2"/>
  <c r="Y996" i="2"/>
  <c r="Y997" i="2"/>
  <c r="Y998" i="2"/>
  <c r="Y999" i="2"/>
  <c r="Y1000" i="2"/>
  <c r="Y1001" i="2"/>
  <c r="Y1002" i="2"/>
  <c r="Y1003" i="2"/>
  <c r="D4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N1" i="3"/>
  <c r="G4" i="3" s="1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I533" i="2" s="1"/>
  <c r="D35" i="3"/>
  <c r="D36" i="3"/>
  <c r="I649" i="2" s="1"/>
  <c r="D37" i="3"/>
  <c r="I610" i="2" s="1"/>
  <c r="D38" i="3"/>
  <c r="I517" i="2" s="1"/>
  <c r="D39" i="3"/>
  <c r="D40" i="3"/>
  <c r="I553" i="2" s="1"/>
  <c r="D41" i="3"/>
  <c r="D42" i="3"/>
  <c r="I501" i="2" s="1"/>
  <c r="D43" i="3"/>
  <c r="D44" i="3"/>
  <c r="I461" i="2" s="1"/>
  <c r="D45" i="3"/>
  <c r="I642" i="2" s="1"/>
  <c r="D46" i="3"/>
  <c r="I485" i="2" s="1"/>
  <c r="D47" i="3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S4" i="2"/>
  <c r="U4" i="2" s="1"/>
  <c r="S5" i="2"/>
  <c r="U5" i="2" s="1"/>
  <c r="S6" i="2"/>
  <c r="U6" i="2" s="1"/>
  <c r="S7" i="2"/>
  <c r="U7" i="2" s="1"/>
  <c r="S8" i="2"/>
  <c r="U8" i="2" s="1"/>
  <c r="S9" i="2"/>
  <c r="U9" i="2" s="1"/>
  <c r="S10" i="2"/>
  <c r="U10" i="2" s="1"/>
  <c r="S11" i="2"/>
  <c r="U11" i="2" s="1"/>
  <c r="S12" i="2"/>
  <c r="U12" i="2" s="1"/>
  <c r="S13" i="2"/>
  <c r="U13" i="2" s="1"/>
  <c r="S14" i="2"/>
  <c r="U14" i="2" s="1"/>
  <c r="S15" i="2"/>
  <c r="U15" i="2" s="1"/>
  <c r="S16" i="2"/>
  <c r="U16" i="2" s="1"/>
  <c r="S17" i="2"/>
  <c r="U17" i="2" s="1"/>
  <c r="S18" i="2"/>
  <c r="U18" i="2" s="1"/>
  <c r="S19" i="2"/>
  <c r="U19" i="2" s="1"/>
  <c r="S20" i="2"/>
  <c r="U20" i="2" s="1"/>
  <c r="S21" i="2"/>
  <c r="U21" i="2" s="1"/>
  <c r="S22" i="2"/>
  <c r="U22" i="2" s="1"/>
  <c r="S23" i="2"/>
  <c r="U23" i="2" s="1"/>
  <c r="S24" i="2"/>
  <c r="U24" i="2" s="1"/>
  <c r="S25" i="2"/>
  <c r="U25" i="2" s="1"/>
  <c r="S26" i="2"/>
  <c r="U26" i="2" s="1"/>
  <c r="S27" i="2"/>
  <c r="U27" i="2" s="1"/>
  <c r="S28" i="2"/>
  <c r="U28" i="2" s="1"/>
  <c r="S29" i="2"/>
  <c r="U29" i="2" s="1"/>
  <c r="S30" i="2"/>
  <c r="U30" i="2" s="1"/>
  <c r="S31" i="2"/>
  <c r="U31" i="2" s="1"/>
  <c r="S32" i="2"/>
  <c r="U32" i="2" s="1"/>
  <c r="S33" i="2"/>
  <c r="U33" i="2" s="1"/>
  <c r="S34" i="2"/>
  <c r="U34" i="2" s="1"/>
  <c r="S35" i="2"/>
  <c r="U35" i="2" s="1"/>
  <c r="S36" i="2"/>
  <c r="U36" i="2" s="1"/>
  <c r="S37" i="2"/>
  <c r="U37" i="2" s="1"/>
  <c r="S38" i="2"/>
  <c r="U38" i="2" s="1"/>
  <c r="S39" i="2"/>
  <c r="U39" i="2" s="1"/>
  <c r="S40" i="2"/>
  <c r="U40" i="2" s="1"/>
  <c r="S41" i="2"/>
  <c r="U41" i="2" s="1"/>
  <c r="S42" i="2"/>
  <c r="U42" i="2" s="1"/>
  <c r="S43" i="2"/>
  <c r="U43" i="2" s="1"/>
  <c r="S44" i="2"/>
  <c r="U44" i="2" s="1"/>
  <c r="S45" i="2"/>
  <c r="U45" i="2" s="1"/>
  <c r="S46" i="2"/>
  <c r="U46" i="2" s="1"/>
  <c r="S47" i="2"/>
  <c r="U47" i="2" s="1"/>
  <c r="S48" i="2"/>
  <c r="U48" i="2" s="1"/>
  <c r="S49" i="2"/>
  <c r="U49" i="2" s="1"/>
  <c r="S50" i="2"/>
  <c r="U50" i="2" s="1"/>
  <c r="S51" i="2"/>
  <c r="U51" i="2" s="1"/>
  <c r="S52" i="2"/>
  <c r="U52" i="2" s="1"/>
  <c r="S53" i="2"/>
  <c r="U53" i="2" s="1"/>
  <c r="S54" i="2"/>
  <c r="U54" i="2" s="1"/>
  <c r="S55" i="2"/>
  <c r="U55" i="2" s="1"/>
  <c r="S56" i="2"/>
  <c r="U56" i="2" s="1"/>
  <c r="S57" i="2"/>
  <c r="U57" i="2" s="1"/>
  <c r="S58" i="2"/>
  <c r="U58" i="2" s="1"/>
  <c r="S59" i="2"/>
  <c r="U59" i="2" s="1"/>
  <c r="S60" i="2"/>
  <c r="U60" i="2" s="1"/>
  <c r="S61" i="2"/>
  <c r="U61" i="2" s="1"/>
  <c r="S62" i="2"/>
  <c r="U62" i="2" s="1"/>
  <c r="S63" i="2"/>
  <c r="U63" i="2" s="1"/>
  <c r="S64" i="2"/>
  <c r="U64" i="2" s="1"/>
  <c r="S65" i="2"/>
  <c r="U65" i="2" s="1"/>
  <c r="S66" i="2"/>
  <c r="U66" i="2" s="1"/>
  <c r="S67" i="2"/>
  <c r="U67" i="2" s="1"/>
  <c r="S68" i="2"/>
  <c r="U68" i="2" s="1"/>
  <c r="S69" i="2"/>
  <c r="U69" i="2" s="1"/>
  <c r="S70" i="2"/>
  <c r="U70" i="2" s="1"/>
  <c r="S71" i="2"/>
  <c r="U71" i="2" s="1"/>
  <c r="S72" i="2"/>
  <c r="U72" i="2" s="1"/>
  <c r="S73" i="2"/>
  <c r="U73" i="2" s="1"/>
  <c r="S74" i="2"/>
  <c r="U74" i="2" s="1"/>
  <c r="S75" i="2"/>
  <c r="U75" i="2" s="1"/>
  <c r="S76" i="2"/>
  <c r="U76" i="2" s="1"/>
  <c r="S77" i="2"/>
  <c r="U77" i="2" s="1"/>
  <c r="S78" i="2"/>
  <c r="U78" i="2" s="1"/>
  <c r="S79" i="2"/>
  <c r="U79" i="2" s="1"/>
  <c r="S80" i="2"/>
  <c r="U80" i="2" s="1"/>
  <c r="S81" i="2"/>
  <c r="U81" i="2" s="1"/>
  <c r="S82" i="2"/>
  <c r="U82" i="2" s="1"/>
  <c r="S83" i="2"/>
  <c r="U83" i="2" s="1"/>
  <c r="S84" i="2"/>
  <c r="U84" i="2" s="1"/>
  <c r="S85" i="2"/>
  <c r="U85" i="2" s="1"/>
  <c r="S86" i="2"/>
  <c r="U86" i="2" s="1"/>
  <c r="S87" i="2"/>
  <c r="U87" i="2" s="1"/>
  <c r="S88" i="2"/>
  <c r="U88" i="2" s="1"/>
  <c r="S89" i="2"/>
  <c r="U89" i="2" s="1"/>
  <c r="S90" i="2"/>
  <c r="U90" i="2" s="1"/>
  <c r="S91" i="2"/>
  <c r="U91" i="2" s="1"/>
  <c r="S92" i="2"/>
  <c r="U92" i="2" s="1"/>
  <c r="S93" i="2"/>
  <c r="U93" i="2" s="1"/>
  <c r="S94" i="2"/>
  <c r="U94" i="2" s="1"/>
  <c r="S95" i="2"/>
  <c r="U95" i="2" s="1"/>
  <c r="S96" i="2"/>
  <c r="U96" i="2" s="1"/>
  <c r="S97" i="2"/>
  <c r="U97" i="2" s="1"/>
  <c r="S98" i="2"/>
  <c r="U98" i="2" s="1"/>
  <c r="S99" i="2"/>
  <c r="U99" i="2" s="1"/>
  <c r="S100" i="2"/>
  <c r="U100" i="2" s="1"/>
  <c r="S101" i="2"/>
  <c r="U101" i="2" s="1"/>
  <c r="S102" i="2"/>
  <c r="U102" i="2" s="1"/>
  <c r="S103" i="2"/>
  <c r="U103" i="2" s="1"/>
  <c r="S104" i="2"/>
  <c r="U104" i="2" s="1"/>
  <c r="S105" i="2"/>
  <c r="U105" i="2" s="1"/>
  <c r="S106" i="2"/>
  <c r="U106" i="2" s="1"/>
  <c r="S107" i="2"/>
  <c r="U107" i="2" s="1"/>
  <c r="S108" i="2"/>
  <c r="U108" i="2" s="1"/>
  <c r="S109" i="2"/>
  <c r="U109" i="2" s="1"/>
  <c r="S110" i="2"/>
  <c r="U110" i="2" s="1"/>
  <c r="S111" i="2"/>
  <c r="U111" i="2" s="1"/>
  <c r="S112" i="2"/>
  <c r="U112" i="2" s="1"/>
  <c r="S113" i="2"/>
  <c r="U113" i="2" s="1"/>
  <c r="S114" i="2"/>
  <c r="U114" i="2" s="1"/>
  <c r="S115" i="2"/>
  <c r="U115" i="2" s="1"/>
  <c r="S116" i="2"/>
  <c r="U116" i="2" s="1"/>
  <c r="S117" i="2"/>
  <c r="U117" i="2" s="1"/>
  <c r="S118" i="2"/>
  <c r="U118" i="2" s="1"/>
  <c r="S119" i="2"/>
  <c r="U119" i="2" s="1"/>
  <c r="S120" i="2"/>
  <c r="U120" i="2" s="1"/>
  <c r="S121" i="2"/>
  <c r="U121" i="2" s="1"/>
  <c r="S122" i="2"/>
  <c r="U122" i="2" s="1"/>
  <c r="S123" i="2"/>
  <c r="U123" i="2" s="1"/>
  <c r="S124" i="2"/>
  <c r="U124" i="2" s="1"/>
  <c r="S125" i="2"/>
  <c r="U125" i="2" s="1"/>
  <c r="S126" i="2"/>
  <c r="U126" i="2" s="1"/>
  <c r="S127" i="2"/>
  <c r="U127" i="2" s="1"/>
  <c r="S128" i="2"/>
  <c r="U128" i="2" s="1"/>
  <c r="S129" i="2"/>
  <c r="U129" i="2" s="1"/>
  <c r="S130" i="2"/>
  <c r="U130" i="2" s="1"/>
  <c r="S131" i="2"/>
  <c r="U131" i="2" s="1"/>
  <c r="S132" i="2"/>
  <c r="U132" i="2" s="1"/>
  <c r="S133" i="2"/>
  <c r="U133" i="2" s="1"/>
  <c r="S134" i="2"/>
  <c r="U134" i="2" s="1"/>
  <c r="S135" i="2"/>
  <c r="U135" i="2" s="1"/>
  <c r="S136" i="2"/>
  <c r="U136" i="2" s="1"/>
  <c r="S137" i="2"/>
  <c r="U137" i="2" s="1"/>
  <c r="S138" i="2"/>
  <c r="U138" i="2" s="1"/>
  <c r="S139" i="2"/>
  <c r="U139" i="2" s="1"/>
  <c r="S140" i="2"/>
  <c r="U140" i="2" s="1"/>
  <c r="S141" i="2"/>
  <c r="U141" i="2" s="1"/>
  <c r="S142" i="2"/>
  <c r="U142" i="2" s="1"/>
  <c r="S143" i="2"/>
  <c r="U143" i="2" s="1"/>
  <c r="S144" i="2"/>
  <c r="U144" i="2" s="1"/>
  <c r="S145" i="2"/>
  <c r="U145" i="2" s="1"/>
  <c r="S146" i="2"/>
  <c r="U146" i="2" s="1"/>
  <c r="S147" i="2"/>
  <c r="U147" i="2" s="1"/>
  <c r="S148" i="2"/>
  <c r="U148" i="2" s="1"/>
  <c r="S149" i="2"/>
  <c r="U149" i="2" s="1"/>
  <c r="S150" i="2"/>
  <c r="U150" i="2" s="1"/>
  <c r="S151" i="2"/>
  <c r="U151" i="2" s="1"/>
  <c r="S152" i="2"/>
  <c r="U152" i="2" s="1"/>
  <c r="S153" i="2"/>
  <c r="U153" i="2" s="1"/>
  <c r="S154" i="2"/>
  <c r="U154" i="2" s="1"/>
  <c r="S155" i="2"/>
  <c r="U155" i="2" s="1"/>
  <c r="S156" i="2"/>
  <c r="U156" i="2" s="1"/>
  <c r="S157" i="2"/>
  <c r="U157" i="2" s="1"/>
  <c r="S158" i="2"/>
  <c r="U158" i="2" s="1"/>
  <c r="S159" i="2"/>
  <c r="U159" i="2" s="1"/>
  <c r="S160" i="2"/>
  <c r="U160" i="2" s="1"/>
  <c r="S161" i="2"/>
  <c r="U161" i="2" s="1"/>
  <c r="S162" i="2"/>
  <c r="U162" i="2" s="1"/>
  <c r="S163" i="2"/>
  <c r="U163" i="2" s="1"/>
  <c r="S164" i="2"/>
  <c r="U164" i="2" s="1"/>
  <c r="S165" i="2"/>
  <c r="U165" i="2" s="1"/>
  <c r="S166" i="2"/>
  <c r="U166" i="2" s="1"/>
  <c r="S167" i="2"/>
  <c r="U167" i="2" s="1"/>
  <c r="S168" i="2"/>
  <c r="U168" i="2" s="1"/>
  <c r="S169" i="2"/>
  <c r="U169" i="2" s="1"/>
  <c r="S170" i="2"/>
  <c r="U170" i="2" s="1"/>
  <c r="S171" i="2"/>
  <c r="U171" i="2" s="1"/>
  <c r="S172" i="2"/>
  <c r="U172" i="2" s="1"/>
  <c r="S173" i="2"/>
  <c r="U173" i="2" s="1"/>
  <c r="S174" i="2"/>
  <c r="U174" i="2" s="1"/>
  <c r="S175" i="2"/>
  <c r="U175" i="2" s="1"/>
  <c r="S176" i="2"/>
  <c r="U176" i="2" s="1"/>
  <c r="S177" i="2"/>
  <c r="U177" i="2" s="1"/>
  <c r="S178" i="2"/>
  <c r="U178" i="2" s="1"/>
  <c r="S179" i="2"/>
  <c r="U179" i="2" s="1"/>
  <c r="S180" i="2"/>
  <c r="U180" i="2" s="1"/>
  <c r="S181" i="2"/>
  <c r="U181" i="2" s="1"/>
  <c r="S182" i="2"/>
  <c r="U182" i="2" s="1"/>
  <c r="S183" i="2"/>
  <c r="U183" i="2" s="1"/>
  <c r="S184" i="2"/>
  <c r="U184" i="2" s="1"/>
  <c r="S185" i="2"/>
  <c r="U185" i="2" s="1"/>
  <c r="S186" i="2"/>
  <c r="U186" i="2" s="1"/>
  <c r="S187" i="2"/>
  <c r="U187" i="2" s="1"/>
  <c r="S188" i="2"/>
  <c r="U188" i="2" s="1"/>
  <c r="S189" i="2"/>
  <c r="U189" i="2" s="1"/>
  <c r="S190" i="2"/>
  <c r="U190" i="2" s="1"/>
  <c r="S191" i="2"/>
  <c r="U191" i="2" s="1"/>
  <c r="S192" i="2"/>
  <c r="U192" i="2" s="1"/>
  <c r="S193" i="2"/>
  <c r="U193" i="2" s="1"/>
  <c r="S194" i="2"/>
  <c r="U194" i="2" s="1"/>
  <c r="S195" i="2"/>
  <c r="U195" i="2" s="1"/>
  <c r="S196" i="2"/>
  <c r="U196" i="2" s="1"/>
  <c r="S197" i="2"/>
  <c r="U197" i="2" s="1"/>
  <c r="S198" i="2"/>
  <c r="U198" i="2" s="1"/>
  <c r="S199" i="2"/>
  <c r="U199" i="2" s="1"/>
  <c r="S200" i="2"/>
  <c r="U200" i="2" s="1"/>
  <c r="S201" i="2"/>
  <c r="U201" i="2" s="1"/>
  <c r="S202" i="2"/>
  <c r="U202" i="2" s="1"/>
  <c r="S203" i="2"/>
  <c r="U203" i="2" s="1"/>
  <c r="S204" i="2"/>
  <c r="U204" i="2" s="1"/>
  <c r="S205" i="2"/>
  <c r="U205" i="2" s="1"/>
  <c r="S206" i="2"/>
  <c r="U206" i="2" s="1"/>
  <c r="S207" i="2"/>
  <c r="U207" i="2" s="1"/>
  <c r="S208" i="2"/>
  <c r="U208" i="2" s="1"/>
  <c r="S209" i="2"/>
  <c r="U209" i="2" s="1"/>
  <c r="S210" i="2"/>
  <c r="U210" i="2" s="1"/>
  <c r="S211" i="2"/>
  <c r="U211" i="2" s="1"/>
  <c r="S212" i="2"/>
  <c r="U212" i="2" s="1"/>
  <c r="S213" i="2"/>
  <c r="U213" i="2" s="1"/>
  <c r="S214" i="2"/>
  <c r="U214" i="2" s="1"/>
  <c r="S215" i="2"/>
  <c r="U215" i="2" s="1"/>
  <c r="S216" i="2"/>
  <c r="U216" i="2" s="1"/>
  <c r="S217" i="2"/>
  <c r="U217" i="2" s="1"/>
  <c r="S218" i="2"/>
  <c r="U218" i="2" s="1"/>
  <c r="S219" i="2"/>
  <c r="U219" i="2" s="1"/>
  <c r="S220" i="2"/>
  <c r="U220" i="2" s="1"/>
  <c r="S221" i="2"/>
  <c r="U221" i="2" s="1"/>
  <c r="S222" i="2"/>
  <c r="U222" i="2" s="1"/>
  <c r="S223" i="2"/>
  <c r="U223" i="2" s="1"/>
  <c r="S224" i="2"/>
  <c r="U224" i="2" s="1"/>
  <c r="S225" i="2"/>
  <c r="U225" i="2" s="1"/>
  <c r="S226" i="2"/>
  <c r="U226" i="2" s="1"/>
  <c r="S227" i="2"/>
  <c r="U227" i="2" s="1"/>
  <c r="S228" i="2"/>
  <c r="U228" i="2" s="1"/>
  <c r="S229" i="2"/>
  <c r="U229" i="2" s="1"/>
  <c r="S230" i="2"/>
  <c r="U230" i="2" s="1"/>
  <c r="S231" i="2"/>
  <c r="U231" i="2" s="1"/>
  <c r="S232" i="2"/>
  <c r="U232" i="2" s="1"/>
  <c r="S233" i="2"/>
  <c r="U233" i="2" s="1"/>
  <c r="S234" i="2"/>
  <c r="U234" i="2" s="1"/>
  <c r="S235" i="2"/>
  <c r="U235" i="2" s="1"/>
  <c r="S236" i="2"/>
  <c r="U236" i="2" s="1"/>
  <c r="S237" i="2"/>
  <c r="U237" i="2" s="1"/>
  <c r="S238" i="2"/>
  <c r="U238" i="2" s="1"/>
  <c r="S239" i="2"/>
  <c r="U239" i="2" s="1"/>
  <c r="S240" i="2"/>
  <c r="U240" i="2" s="1"/>
  <c r="S241" i="2"/>
  <c r="U241" i="2" s="1"/>
  <c r="S242" i="2"/>
  <c r="U242" i="2" s="1"/>
  <c r="S243" i="2"/>
  <c r="U243" i="2" s="1"/>
  <c r="S244" i="2"/>
  <c r="U244" i="2" s="1"/>
  <c r="S245" i="2"/>
  <c r="U245" i="2" s="1"/>
  <c r="S246" i="2"/>
  <c r="U246" i="2" s="1"/>
  <c r="S247" i="2"/>
  <c r="U247" i="2" s="1"/>
  <c r="S248" i="2"/>
  <c r="U248" i="2" s="1"/>
  <c r="S249" i="2"/>
  <c r="U249" i="2" s="1"/>
  <c r="S250" i="2"/>
  <c r="U250" i="2" s="1"/>
  <c r="S251" i="2"/>
  <c r="U251" i="2" s="1"/>
  <c r="S252" i="2"/>
  <c r="U252" i="2" s="1"/>
  <c r="S253" i="2"/>
  <c r="U253" i="2" s="1"/>
  <c r="S254" i="2"/>
  <c r="U254" i="2" s="1"/>
  <c r="S255" i="2"/>
  <c r="U255" i="2" s="1"/>
  <c r="S256" i="2"/>
  <c r="U256" i="2" s="1"/>
  <c r="S257" i="2"/>
  <c r="U257" i="2" s="1"/>
  <c r="S258" i="2"/>
  <c r="U258" i="2" s="1"/>
  <c r="S259" i="2"/>
  <c r="U259" i="2" s="1"/>
  <c r="S260" i="2"/>
  <c r="U260" i="2" s="1"/>
  <c r="S261" i="2"/>
  <c r="U261" i="2" s="1"/>
  <c r="S262" i="2"/>
  <c r="U262" i="2" s="1"/>
  <c r="S263" i="2"/>
  <c r="U263" i="2" s="1"/>
  <c r="S264" i="2"/>
  <c r="U264" i="2" s="1"/>
  <c r="S265" i="2"/>
  <c r="U265" i="2" s="1"/>
  <c r="S266" i="2"/>
  <c r="U266" i="2" s="1"/>
  <c r="S267" i="2"/>
  <c r="U267" i="2" s="1"/>
  <c r="S268" i="2"/>
  <c r="U268" i="2" s="1"/>
  <c r="S269" i="2"/>
  <c r="U269" i="2" s="1"/>
  <c r="S270" i="2"/>
  <c r="U270" i="2" s="1"/>
  <c r="S271" i="2"/>
  <c r="U271" i="2" s="1"/>
  <c r="S272" i="2"/>
  <c r="U272" i="2" s="1"/>
  <c r="S273" i="2"/>
  <c r="U273" i="2" s="1"/>
  <c r="S274" i="2"/>
  <c r="U274" i="2" s="1"/>
  <c r="S275" i="2"/>
  <c r="U275" i="2" s="1"/>
  <c r="S276" i="2"/>
  <c r="U276" i="2" s="1"/>
  <c r="S277" i="2"/>
  <c r="U277" i="2" s="1"/>
  <c r="S278" i="2"/>
  <c r="U278" i="2" s="1"/>
  <c r="S279" i="2"/>
  <c r="U279" i="2" s="1"/>
  <c r="S280" i="2"/>
  <c r="U280" i="2" s="1"/>
  <c r="S281" i="2"/>
  <c r="U281" i="2" s="1"/>
  <c r="S282" i="2"/>
  <c r="U282" i="2" s="1"/>
  <c r="S283" i="2"/>
  <c r="U283" i="2" s="1"/>
  <c r="S284" i="2"/>
  <c r="U284" i="2" s="1"/>
  <c r="S285" i="2"/>
  <c r="U285" i="2" s="1"/>
  <c r="S286" i="2"/>
  <c r="U286" i="2" s="1"/>
  <c r="S287" i="2"/>
  <c r="U287" i="2" s="1"/>
  <c r="S288" i="2"/>
  <c r="U288" i="2" s="1"/>
  <c r="S289" i="2"/>
  <c r="U289" i="2" s="1"/>
  <c r="S290" i="2"/>
  <c r="U290" i="2" s="1"/>
  <c r="S291" i="2"/>
  <c r="U291" i="2" s="1"/>
  <c r="S292" i="2"/>
  <c r="U292" i="2" s="1"/>
  <c r="S293" i="2"/>
  <c r="U293" i="2" s="1"/>
  <c r="S294" i="2"/>
  <c r="U294" i="2" s="1"/>
  <c r="S295" i="2"/>
  <c r="U295" i="2" s="1"/>
  <c r="S296" i="2"/>
  <c r="U296" i="2" s="1"/>
  <c r="S297" i="2"/>
  <c r="U297" i="2" s="1"/>
  <c r="S298" i="2"/>
  <c r="U298" i="2" s="1"/>
  <c r="S299" i="2"/>
  <c r="U299" i="2" s="1"/>
  <c r="S300" i="2"/>
  <c r="U300" i="2" s="1"/>
  <c r="S301" i="2"/>
  <c r="U301" i="2" s="1"/>
  <c r="S302" i="2"/>
  <c r="U302" i="2" s="1"/>
  <c r="S303" i="2"/>
  <c r="U303" i="2" s="1"/>
  <c r="S304" i="2"/>
  <c r="U304" i="2" s="1"/>
  <c r="S305" i="2"/>
  <c r="U305" i="2" s="1"/>
  <c r="S306" i="2"/>
  <c r="U306" i="2" s="1"/>
  <c r="S307" i="2"/>
  <c r="U307" i="2" s="1"/>
  <c r="S308" i="2"/>
  <c r="U308" i="2" s="1"/>
  <c r="S309" i="2"/>
  <c r="U309" i="2" s="1"/>
  <c r="S310" i="2"/>
  <c r="U310" i="2" s="1"/>
  <c r="S311" i="2"/>
  <c r="U311" i="2" s="1"/>
  <c r="S312" i="2"/>
  <c r="U312" i="2" s="1"/>
  <c r="S313" i="2"/>
  <c r="U313" i="2" s="1"/>
  <c r="S314" i="2"/>
  <c r="U314" i="2" s="1"/>
  <c r="S315" i="2"/>
  <c r="U315" i="2" s="1"/>
  <c r="S316" i="2"/>
  <c r="U316" i="2" s="1"/>
  <c r="S317" i="2"/>
  <c r="U317" i="2" s="1"/>
  <c r="S318" i="2"/>
  <c r="U318" i="2" s="1"/>
  <c r="S319" i="2"/>
  <c r="U319" i="2" s="1"/>
  <c r="S320" i="2"/>
  <c r="U320" i="2" s="1"/>
  <c r="S321" i="2"/>
  <c r="U321" i="2" s="1"/>
  <c r="S322" i="2"/>
  <c r="U322" i="2" s="1"/>
  <c r="S323" i="2"/>
  <c r="U323" i="2" s="1"/>
  <c r="S324" i="2"/>
  <c r="U324" i="2" s="1"/>
  <c r="S325" i="2"/>
  <c r="U325" i="2" s="1"/>
  <c r="S326" i="2"/>
  <c r="U326" i="2" s="1"/>
  <c r="S327" i="2"/>
  <c r="U327" i="2" s="1"/>
  <c r="S328" i="2"/>
  <c r="U328" i="2" s="1"/>
  <c r="S329" i="2"/>
  <c r="U329" i="2" s="1"/>
  <c r="S330" i="2"/>
  <c r="U330" i="2" s="1"/>
  <c r="S331" i="2"/>
  <c r="U331" i="2" s="1"/>
  <c r="S332" i="2"/>
  <c r="U332" i="2" s="1"/>
  <c r="S333" i="2"/>
  <c r="U333" i="2" s="1"/>
  <c r="S334" i="2"/>
  <c r="U334" i="2" s="1"/>
  <c r="S335" i="2"/>
  <c r="U335" i="2" s="1"/>
  <c r="S336" i="2"/>
  <c r="U336" i="2" s="1"/>
  <c r="S337" i="2"/>
  <c r="U337" i="2" s="1"/>
  <c r="S338" i="2"/>
  <c r="U338" i="2" s="1"/>
  <c r="S339" i="2"/>
  <c r="U339" i="2" s="1"/>
  <c r="S340" i="2"/>
  <c r="U340" i="2" s="1"/>
  <c r="S341" i="2"/>
  <c r="U341" i="2" s="1"/>
  <c r="S342" i="2"/>
  <c r="U342" i="2" s="1"/>
  <c r="S343" i="2"/>
  <c r="U343" i="2" s="1"/>
  <c r="S344" i="2"/>
  <c r="U344" i="2" s="1"/>
  <c r="S345" i="2"/>
  <c r="U345" i="2" s="1"/>
  <c r="S346" i="2"/>
  <c r="U346" i="2" s="1"/>
  <c r="S347" i="2"/>
  <c r="U347" i="2" s="1"/>
  <c r="S348" i="2"/>
  <c r="U348" i="2" s="1"/>
  <c r="S349" i="2"/>
  <c r="U349" i="2" s="1"/>
  <c r="S350" i="2"/>
  <c r="U350" i="2" s="1"/>
  <c r="S351" i="2"/>
  <c r="U351" i="2" s="1"/>
  <c r="S352" i="2"/>
  <c r="U352" i="2" s="1"/>
  <c r="S353" i="2"/>
  <c r="U353" i="2" s="1"/>
  <c r="S354" i="2"/>
  <c r="U354" i="2" s="1"/>
  <c r="S355" i="2"/>
  <c r="U355" i="2" s="1"/>
  <c r="S356" i="2"/>
  <c r="U356" i="2" s="1"/>
  <c r="S357" i="2"/>
  <c r="U357" i="2" s="1"/>
  <c r="S358" i="2"/>
  <c r="U358" i="2" s="1"/>
  <c r="S359" i="2"/>
  <c r="U359" i="2" s="1"/>
  <c r="S360" i="2"/>
  <c r="U360" i="2" s="1"/>
  <c r="S361" i="2"/>
  <c r="U361" i="2" s="1"/>
  <c r="S362" i="2"/>
  <c r="U362" i="2" s="1"/>
  <c r="S363" i="2"/>
  <c r="U363" i="2" s="1"/>
  <c r="S364" i="2"/>
  <c r="U364" i="2" s="1"/>
  <c r="S365" i="2"/>
  <c r="U365" i="2" s="1"/>
  <c r="S366" i="2"/>
  <c r="U366" i="2" s="1"/>
  <c r="S367" i="2"/>
  <c r="U367" i="2" s="1"/>
  <c r="S368" i="2"/>
  <c r="U368" i="2" s="1"/>
  <c r="S369" i="2"/>
  <c r="U369" i="2" s="1"/>
  <c r="S370" i="2"/>
  <c r="U370" i="2" s="1"/>
  <c r="S371" i="2"/>
  <c r="U371" i="2" s="1"/>
  <c r="S372" i="2"/>
  <c r="U372" i="2" s="1"/>
  <c r="S373" i="2"/>
  <c r="U373" i="2" s="1"/>
  <c r="S374" i="2"/>
  <c r="U374" i="2" s="1"/>
  <c r="S375" i="2"/>
  <c r="U375" i="2" s="1"/>
  <c r="S376" i="2"/>
  <c r="U376" i="2" s="1"/>
  <c r="S377" i="2"/>
  <c r="U377" i="2" s="1"/>
  <c r="S378" i="2"/>
  <c r="U378" i="2" s="1"/>
  <c r="S379" i="2"/>
  <c r="U379" i="2" s="1"/>
  <c r="S380" i="2"/>
  <c r="U380" i="2" s="1"/>
  <c r="S381" i="2"/>
  <c r="U381" i="2" s="1"/>
  <c r="S382" i="2"/>
  <c r="U382" i="2" s="1"/>
  <c r="S383" i="2"/>
  <c r="U383" i="2" s="1"/>
  <c r="S384" i="2"/>
  <c r="U384" i="2" s="1"/>
  <c r="S385" i="2"/>
  <c r="U385" i="2" s="1"/>
  <c r="S386" i="2"/>
  <c r="U386" i="2" s="1"/>
  <c r="S387" i="2"/>
  <c r="U387" i="2" s="1"/>
  <c r="S388" i="2"/>
  <c r="U388" i="2" s="1"/>
  <c r="S389" i="2"/>
  <c r="U389" i="2" s="1"/>
  <c r="S390" i="2"/>
  <c r="U390" i="2" s="1"/>
  <c r="S391" i="2"/>
  <c r="U391" i="2" s="1"/>
  <c r="S392" i="2"/>
  <c r="U392" i="2" s="1"/>
  <c r="S393" i="2"/>
  <c r="U393" i="2" s="1"/>
  <c r="S394" i="2"/>
  <c r="U394" i="2" s="1"/>
  <c r="S395" i="2"/>
  <c r="U395" i="2" s="1"/>
  <c r="S396" i="2"/>
  <c r="U396" i="2" s="1"/>
  <c r="S397" i="2"/>
  <c r="U397" i="2" s="1"/>
  <c r="S398" i="2"/>
  <c r="U398" i="2" s="1"/>
  <c r="S399" i="2"/>
  <c r="U399" i="2" s="1"/>
  <c r="S400" i="2"/>
  <c r="U400" i="2" s="1"/>
  <c r="S401" i="2"/>
  <c r="U401" i="2" s="1"/>
  <c r="S402" i="2"/>
  <c r="U402" i="2" s="1"/>
  <c r="S403" i="2"/>
  <c r="U403" i="2" s="1"/>
  <c r="S404" i="2"/>
  <c r="U404" i="2" s="1"/>
  <c r="S405" i="2"/>
  <c r="U405" i="2" s="1"/>
  <c r="S406" i="2"/>
  <c r="U406" i="2" s="1"/>
  <c r="S407" i="2"/>
  <c r="U407" i="2" s="1"/>
  <c r="S408" i="2"/>
  <c r="U408" i="2" s="1"/>
  <c r="S409" i="2"/>
  <c r="U409" i="2" s="1"/>
  <c r="S410" i="2"/>
  <c r="U410" i="2" s="1"/>
  <c r="S411" i="2"/>
  <c r="U411" i="2" s="1"/>
  <c r="S412" i="2"/>
  <c r="U412" i="2" s="1"/>
  <c r="S413" i="2"/>
  <c r="U413" i="2" s="1"/>
  <c r="S414" i="2"/>
  <c r="U414" i="2" s="1"/>
  <c r="S415" i="2"/>
  <c r="U415" i="2" s="1"/>
  <c r="S416" i="2"/>
  <c r="U416" i="2" s="1"/>
  <c r="S417" i="2"/>
  <c r="U417" i="2" s="1"/>
  <c r="S418" i="2"/>
  <c r="U418" i="2" s="1"/>
  <c r="S419" i="2"/>
  <c r="U419" i="2" s="1"/>
  <c r="S420" i="2"/>
  <c r="U420" i="2" s="1"/>
  <c r="S421" i="2"/>
  <c r="U421" i="2" s="1"/>
  <c r="S422" i="2"/>
  <c r="U422" i="2" s="1"/>
  <c r="S423" i="2"/>
  <c r="U423" i="2" s="1"/>
  <c r="S424" i="2"/>
  <c r="U424" i="2" s="1"/>
  <c r="S425" i="2"/>
  <c r="U425" i="2" s="1"/>
  <c r="S426" i="2"/>
  <c r="U426" i="2" s="1"/>
  <c r="S427" i="2"/>
  <c r="U427" i="2" s="1"/>
  <c r="S428" i="2"/>
  <c r="U428" i="2" s="1"/>
  <c r="S429" i="2"/>
  <c r="U429" i="2" s="1"/>
  <c r="S430" i="2"/>
  <c r="U430" i="2" s="1"/>
  <c r="S431" i="2"/>
  <c r="U431" i="2" s="1"/>
  <c r="S432" i="2"/>
  <c r="U432" i="2" s="1"/>
  <c r="S433" i="2"/>
  <c r="U433" i="2" s="1"/>
  <c r="S434" i="2"/>
  <c r="U434" i="2" s="1"/>
  <c r="S435" i="2"/>
  <c r="U435" i="2" s="1"/>
  <c r="S436" i="2"/>
  <c r="U436" i="2" s="1"/>
  <c r="S437" i="2"/>
  <c r="U437" i="2" s="1"/>
  <c r="S438" i="2"/>
  <c r="U438" i="2" s="1"/>
  <c r="S439" i="2"/>
  <c r="U439" i="2" s="1"/>
  <c r="S440" i="2"/>
  <c r="U440" i="2" s="1"/>
  <c r="S441" i="2"/>
  <c r="U441" i="2" s="1"/>
  <c r="S442" i="2"/>
  <c r="U442" i="2" s="1"/>
  <c r="S443" i="2"/>
  <c r="U443" i="2" s="1"/>
  <c r="S444" i="2"/>
  <c r="U444" i="2" s="1"/>
  <c r="S445" i="2"/>
  <c r="U445" i="2" s="1"/>
  <c r="S446" i="2"/>
  <c r="U446" i="2" s="1"/>
  <c r="S447" i="2"/>
  <c r="U447" i="2" s="1"/>
  <c r="S448" i="2"/>
  <c r="U448" i="2" s="1"/>
  <c r="S449" i="2"/>
  <c r="U449" i="2" s="1"/>
  <c r="S450" i="2"/>
  <c r="U450" i="2" s="1"/>
  <c r="S451" i="2"/>
  <c r="U451" i="2" s="1"/>
  <c r="S452" i="2"/>
  <c r="U452" i="2" s="1"/>
  <c r="S453" i="2"/>
  <c r="U453" i="2" s="1"/>
  <c r="S454" i="2"/>
  <c r="U454" i="2" s="1"/>
  <c r="S455" i="2"/>
  <c r="U455" i="2" s="1"/>
  <c r="S456" i="2"/>
  <c r="U456" i="2" s="1"/>
  <c r="S457" i="2"/>
  <c r="U457" i="2" s="1"/>
  <c r="S458" i="2"/>
  <c r="U458" i="2" s="1"/>
  <c r="S459" i="2"/>
  <c r="U459" i="2" s="1"/>
  <c r="S460" i="2"/>
  <c r="U460" i="2" s="1"/>
  <c r="S461" i="2"/>
  <c r="U461" i="2" s="1"/>
  <c r="S462" i="2"/>
  <c r="U462" i="2" s="1"/>
  <c r="S463" i="2"/>
  <c r="U463" i="2" s="1"/>
  <c r="S464" i="2"/>
  <c r="U464" i="2" s="1"/>
  <c r="S465" i="2"/>
  <c r="U465" i="2" s="1"/>
  <c r="S466" i="2"/>
  <c r="U466" i="2" s="1"/>
  <c r="S467" i="2"/>
  <c r="U467" i="2" s="1"/>
  <c r="S468" i="2"/>
  <c r="U468" i="2" s="1"/>
  <c r="S469" i="2"/>
  <c r="U469" i="2" s="1"/>
  <c r="S470" i="2"/>
  <c r="U470" i="2" s="1"/>
  <c r="S471" i="2"/>
  <c r="U471" i="2" s="1"/>
  <c r="S472" i="2"/>
  <c r="U472" i="2" s="1"/>
  <c r="S473" i="2"/>
  <c r="U473" i="2" s="1"/>
  <c r="S474" i="2"/>
  <c r="U474" i="2" s="1"/>
  <c r="S475" i="2"/>
  <c r="U475" i="2" s="1"/>
  <c r="S476" i="2"/>
  <c r="U476" i="2" s="1"/>
  <c r="S477" i="2"/>
  <c r="U477" i="2" s="1"/>
  <c r="S478" i="2"/>
  <c r="U478" i="2" s="1"/>
  <c r="S479" i="2"/>
  <c r="U479" i="2" s="1"/>
  <c r="S480" i="2"/>
  <c r="U480" i="2" s="1"/>
  <c r="S481" i="2"/>
  <c r="U481" i="2" s="1"/>
  <c r="S482" i="2"/>
  <c r="U482" i="2" s="1"/>
  <c r="S483" i="2"/>
  <c r="U483" i="2" s="1"/>
  <c r="S484" i="2"/>
  <c r="U484" i="2" s="1"/>
  <c r="S485" i="2"/>
  <c r="U485" i="2" s="1"/>
  <c r="S486" i="2"/>
  <c r="U486" i="2" s="1"/>
  <c r="S487" i="2"/>
  <c r="U487" i="2" s="1"/>
  <c r="S488" i="2"/>
  <c r="U488" i="2" s="1"/>
  <c r="S489" i="2"/>
  <c r="U489" i="2" s="1"/>
  <c r="S490" i="2"/>
  <c r="U490" i="2" s="1"/>
  <c r="S491" i="2"/>
  <c r="U491" i="2" s="1"/>
  <c r="S492" i="2"/>
  <c r="U492" i="2" s="1"/>
  <c r="S493" i="2"/>
  <c r="U493" i="2" s="1"/>
  <c r="S494" i="2"/>
  <c r="U494" i="2" s="1"/>
  <c r="S495" i="2"/>
  <c r="U495" i="2" s="1"/>
  <c r="S496" i="2"/>
  <c r="U496" i="2" s="1"/>
  <c r="S497" i="2"/>
  <c r="U497" i="2" s="1"/>
  <c r="S498" i="2"/>
  <c r="U498" i="2" s="1"/>
  <c r="S499" i="2"/>
  <c r="U499" i="2" s="1"/>
  <c r="S500" i="2"/>
  <c r="U500" i="2" s="1"/>
  <c r="S501" i="2"/>
  <c r="U501" i="2" s="1"/>
  <c r="S502" i="2"/>
  <c r="U502" i="2" s="1"/>
  <c r="S503" i="2"/>
  <c r="U503" i="2" s="1"/>
  <c r="S504" i="2"/>
  <c r="U504" i="2" s="1"/>
  <c r="S505" i="2"/>
  <c r="U505" i="2" s="1"/>
  <c r="S506" i="2"/>
  <c r="U506" i="2" s="1"/>
  <c r="S507" i="2"/>
  <c r="U507" i="2" s="1"/>
  <c r="S508" i="2"/>
  <c r="U508" i="2" s="1"/>
  <c r="S509" i="2"/>
  <c r="U509" i="2" s="1"/>
  <c r="S510" i="2"/>
  <c r="U510" i="2" s="1"/>
  <c r="S511" i="2"/>
  <c r="U511" i="2" s="1"/>
  <c r="S512" i="2"/>
  <c r="U512" i="2" s="1"/>
  <c r="S513" i="2"/>
  <c r="U513" i="2" s="1"/>
  <c r="S514" i="2"/>
  <c r="U514" i="2" s="1"/>
  <c r="S515" i="2"/>
  <c r="U515" i="2" s="1"/>
  <c r="S516" i="2"/>
  <c r="U516" i="2" s="1"/>
  <c r="S517" i="2"/>
  <c r="U517" i="2" s="1"/>
  <c r="S518" i="2"/>
  <c r="U518" i="2" s="1"/>
  <c r="S519" i="2"/>
  <c r="U519" i="2" s="1"/>
  <c r="S520" i="2"/>
  <c r="U520" i="2" s="1"/>
  <c r="S521" i="2"/>
  <c r="U521" i="2" s="1"/>
  <c r="S522" i="2"/>
  <c r="U522" i="2" s="1"/>
  <c r="S523" i="2"/>
  <c r="U523" i="2" s="1"/>
  <c r="S524" i="2"/>
  <c r="U524" i="2" s="1"/>
  <c r="S525" i="2"/>
  <c r="U525" i="2" s="1"/>
  <c r="S526" i="2"/>
  <c r="U526" i="2" s="1"/>
  <c r="S527" i="2"/>
  <c r="U527" i="2" s="1"/>
  <c r="S528" i="2"/>
  <c r="U528" i="2" s="1"/>
  <c r="S529" i="2"/>
  <c r="U529" i="2" s="1"/>
  <c r="S530" i="2"/>
  <c r="U530" i="2" s="1"/>
  <c r="S531" i="2"/>
  <c r="U531" i="2" s="1"/>
  <c r="S532" i="2"/>
  <c r="U532" i="2" s="1"/>
  <c r="S533" i="2"/>
  <c r="U533" i="2" s="1"/>
  <c r="S534" i="2"/>
  <c r="U534" i="2" s="1"/>
  <c r="S535" i="2"/>
  <c r="U535" i="2" s="1"/>
  <c r="S536" i="2"/>
  <c r="U536" i="2" s="1"/>
  <c r="S537" i="2"/>
  <c r="U537" i="2" s="1"/>
  <c r="S538" i="2"/>
  <c r="U538" i="2" s="1"/>
  <c r="S539" i="2"/>
  <c r="U539" i="2" s="1"/>
  <c r="S540" i="2"/>
  <c r="U540" i="2" s="1"/>
  <c r="S541" i="2"/>
  <c r="U541" i="2" s="1"/>
  <c r="S542" i="2"/>
  <c r="U542" i="2" s="1"/>
  <c r="S543" i="2"/>
  <c r="U543" i="2" s="1"/>
  <c r="S544" i="2"/>
  <c r="U544" i="2" s="1"/>
  <c r="S545" i="2"/>
  <c r="U545" i="2" s="1"/>
  <c r="S546" i="2"/>
  <c r="U546" i="2" s="1"/>
  <c r="S547" i="2"/>
  <c r="U547" i="2" s="1"/>
  <c r="S548" i="2"/>
  <c r="U548" i="2" s="1"/>
  <c r="S549" i="2"/>
  <c r="U549" i="2" s="1"/>
  <c r="S550" i="2"/>
  <c r="U550" i="2" s="1"/>
  <c r="S551" i="2"/>
  <c r="U551" i="2" s="1"/>
  <c r="S552" i="2"/>
  <c r="U552" i="2" s="1"/>
  <c r="S553" i="2"/>
  <c r="U553" i="2" s="1"/>
  <c r="S554" i="2"/>
  <c r="U554" i="2" s="1"/>
  <c r="S555" i="2"/>
  <c r="U555" i="2" s="1"/>
  <c r="S556" i="2"/>
  <c r="U556" i="2" s="1"/>
  <c r="S557" i="2"/>
  <c r="U557" i="2" s="1"/>
  <c r="S558" i="2"/>
  <c r="U558" i="2" s="1"/>
  <c r="S559" i="2"/>
  <c r="U559" i="2" s="1"/>
  <c r="S560" i="2"/>
  <c r="U560" i="2" s="1"/>
  <c r="S561" i="2"/>
  <c r="U561" i="2" s="1"/>
  <c r="S562" i="2"/>
  <c r="U562" i="2" s="1"/>
  <c r="S563" i="2"/>
  <c r="U563" i="2" s="1"/>
  <c r="S564" i="2"/>
  <c r="U564" i="2" s="1"/>
  <c r="S565" i="2"/>
  <c r="U565" i="2" s="1"/>
  <c r="S566" i="2"/>
  <c r="U566" i="2" s="1"/>
  <c r="S567" i="2"/>
  <c r="U567" i="2" s="1"/>
  <c r="S568" i="2"/>
  <c r="U568" i="2" s="1"/>
  <c r="S569" i="2"/>
  <c r="U569" i="2" s="1"/>
  <c r="S570" i="2"/>
  <c r="U570" i="2" s="1"/>
  <c r="S571" i="2"/>
  <c r="U571" i="2" s="1"/>
  <c r="S572" i="2"/>
  <c r="U572" i="2" s="1"/>
  <c r="S573" i="2"/>
  <c r="U573" i="2" s="1"/>
  <c r="S574" i="2"/>
  <c r="U574" i="2" s="1"/>
  <c r="S575" i="2"/>
  <c r="U575" i="2" s="1"/>
  <c r="S576" i="2"/>
  <c r="U576" i="2" s="1"/>
  <c r="S577" i="2"/>
  <c r="U577" i="2" s="1"/>
  <c r="S578" i="2"/>
  <c r="U578" i="2" s="1"/>
  <c r="S579" i="2"/>
  <c r="U579" i="2" s="1"/>
  <c r="S580" i="2"/>
  <c r="U580" i="2" s="1"/>
  <c r="S581" i="2"/>
  <c r="U581" i="2" s="1"/>
  <c r="S582" i="2"/>
  <c r="U582" i="2" s="1"/>
  <c r="S583" i="2"/>
  <c r="U583" i="2" s="1"/>
  <c r="S584" i="2"/>
  <c r="U584" i="2" s="1"/>
  <c r="S585" i="2"/>
  <c r="U585" i="2" s="1"/>
  <c r="S586" i="2"/>
  <c r="U586" i="2" s="1"/>
  <c r="S587" i="2"/>
  <c r="U587" i="2" s="1"/>
  <c r="S588" i="2"/>
  <c r="U588" i="2" s="1"/>
  <c r="S589" i="2"/>
  <c r="U589" i="2" s="1"/>
  <c r="S590" i="2"/>
  <c r="U590" i="2" s="1"/>
  <c r="S591" i="2"/>
  <c r="U591" i="2" s="1"/>
  <c r="S592" i="2"/>
  <c r="U592" i="2" s="1"/>
  <c r="S593" i="2"/>
  <c r="U593" i="2" s="1"/>
  <c r="S594" i="2"/>
  <c r="U594" i="2" s="1"/>
  <c r="S595" i="2"/>
  <c r="U595" i="2" s="1"/>
  <c r="S596" i="2"/>
  <c r="U596" i="2" s="1"/>
  <c r="S597" i="2"/>
  <c r="U597" i="2" s="1"/>
  <c r="S598" i="2"/>
  <c r="U598" i="2" s="1"/>
  <c r="S599" i="2"/>
  <c r="U599" i="2" s="1"/>
  <c r="S600" i="2"/>
  <c r="U600" i="2" s="1"/>
  <c r="S601" i="2"/>
  <c r="U601" i="2" s="1"/>
  <c r="S602" i="2"/>
  <c r="U602" i="2" s="1"/>
  <c r="S603" i="2"/>
  <c r="U603" i="2" s="1"/>
  <c r="S604" i="2"/>
  <c r="U604" i="2" s="1"/>
  <c r="S605" i="2"/>
  <c r="U605" i="2" s="1"/>
  <c r="S606" i="2"/>
  <c r="U606" i="2" s="1"/>
  <c r="S607" i="2"/>
  <c r="U607" i="2" s="1"/>
  <c r="S608" i="2"/>
  <c r="U608" i="2" s="1"/>
  <c r="S609" i="2"/>
  <c r="U609" i="2" s="1"/>
  <c r="S610" i="2"/>
  <c r="U610" i="2" s="1"/>
  <c r="S611" i="2"/>
  <c r="U611" i="2" s="1"/>
  <c r="S612" i="2"/>
  <c r="U612" i="2" s="1"/>
  <c r="S613" i="2"/>
  <c r="U613" i="2" s="1"/>
  <c r="S614" i="2"/>
  <c r="U614" i="2" s="1"/>
  <c r="S615" i="2"/>
  <c r="U615" i="2" s="1"/>
  <c r="S616" i="2"/>
  <c r="U616" i="2" s="1"/>
  <c r="S617" i="2"/>
  <c r="U617" i="2" s="1"/>
  <c r="S618" i="2"/>
  <c r="U618" i="2" s="1"/>
  <c r="S619" i="2"/>
  <c r="U619" i="2" s="1"/>
  <c r="S620" i="2"/>
  <c r="U620" i="2" s="1"/>
  <c r="S621" i="2"/>
  <c r="U621" i="2" s="1"/>
  <c r="S622" i="2"/>
  <c r="U622" i="2" s="1"/>
  <c r="S623" i="2"/>
  <c r="U623" i="2" s="1"/>
  <c r="S624" i="2"/>
  <c r="U624" i="2" s="1"/>
  <c r="S625" i="2"/>
  <c r="U625" i="2" s="1"/>
  <c r="S626" i="2"/>
  <c r="U626" i="2" s="1"/>
  <c r="S627" i="2"/>
  <c r="U627" i="2" s="1"/>
  <c r="S628" i="2"/>
  <c r="U628" i="2" s="1"/>
  <c r="S629" i="2"/>
  <c r="U629" i="2" s="1"/>
  <c r="S630" i="2"/>
  <c r="U630" i="2" s="1"/>
  <c r="S631" i="2"/>
  <c r="U631" i="2" s="1"/>
  <c r="S632" i="2"/>
  <c r="U632" i="2" s="1"/>
  <c r="S633" i="2"/>
  <c r="U633" i="2" s="1"/>
  <c r="S634" i="2"/>
  <c r="U634" i="2" s="1"/>
  <c r="S635" i="2"/>
  <c r="U635" i="2" s="1"/>
  <c r="S636" i="2"/>
  <c r="U636" i="2" s="1"/>
  <c r="S637" i="2"/>
  <c r="U637" i="2" s="1"/>
  <c r="S638" i="2"/>
  <c r="U638" i="2" s="1"/>
  <c r="S639" i="2"/>
  <c r="U639" i="2" s="1"/>
  <c r="S640" i="2"/>
  <c r="U640" i="2" s="1"/>
  <c r="S641" i="2"/>
  <c r="U641" i="2" s="1"/>
  <c r="S642" i="2"/>
  <c r="U642" i="2" s="1"/>
  <c r="S643" i="2"/>
  <c r="U643" i="2" s="1"/>
  <c r="S644" i="2"/>
  <c r="U644" i="2" s="1"/>
  <c r="S645" i="2"/>
  <c r="U645" i="2" s="1"/>
  <c r="S646" i="2"/>
  <c r="U646" i="2" s="1"/>
  <c r="S647" i="2"/>
  <c r="U647" i="2" s="1"/>
  <c r="S648" i="2"/>
  <c r="U648" i="2" s="1"/>
  <c r="S649" i="2"/>
  <c r="U649" i="2" s="1"/>
  <c r="S650" i="2"/>
  <c r="U650" i="2" s="1"/>
  <c r="S651" i="2"/>
  <c r="U651" i="2" s="1"/>
  <c r="S652" i="2"/>
  <c r="U652" i="2" s="1"/>
  <c r="S653" i="2"/>
  <c r="U653" i="2" s="1"/>
  <c r="S654" i="2"/>
  <c r="U654" i="2" s="1"/>
  <c r="S655" i="2"/>
  <c r="U655" i="2" s="1"/>
  <c r="S656" i="2"/>
  <c r="U656" i="2" s="1"/>
  <c r="S657" i="2"/>
  <c r="U657" i="2" s="1"/>
  <c r="S658" i="2"/>
  <c r="U658" i="2" s="1"/>
  <c r="S659" i="2"/>
  <c r="U659" i="2" s="1"/>
  <c r="S660" i="2"/>
  <c r="U660" i="2" s="1"/>
  <c r="S661" i="2"/>
  <c r="U661" i="2" s="1"/>
  <c r="S662" i="2"/>
  <c r="U662" i="2" s="1"/>
  <c r="S663" i="2"/>
  <c r="U663" i="2" s="1"/>
  <c r="S664" i="2"/>
  <c r="U664" i="2" s="1"/>
  <c r="S665" i="2"/>
  <c r="U665" i="2" s="1"/>
  <c r="S666" i="2"/>
  <c r="U666" i="2" s="1"/>
  <c r="S667" i="2"/>
  <c r="U667" i="2" s="1"/>
  <c r="S668" i="2"/>
  <c r="U668" i="2" s="1"/>
  <c r="S669" i="2"/>
  <c r="U669" i="2" s="1"/>
  <c r="S670" i="2"/>
  <c r="U670" i="2" s="1"/>
  <c r="S671" i="2"/>
  <c r="U671" i="2" s="1"/>
  <c r="S672" i="2"/>
  <c r="U672" i="2" s="1"/>
  <c r="S673" i="2"/>
  <c r="U673" i="2" s="1"/>
  <c r="S674" i="2"/>
  <c r="U674" i="2" s="1"/>
  <c r="S675" i="2"/>
  <c r="U675" i="2" s="1"/>
  <c r="S676" i="2"/>
  <c r="U676" i="2" s="1"/>
  <c r="S677" i="2"/>
  <c r="U677" i="2" s="1"/>
  <c r="S678" i="2"/>
  <c r="U678" i="2" s="1"/>
  <c r="S679" i="2"/>
  <c r="U679" i="2" s="1"/>
  <c r="S680" i="2"/>
  <c r="U680" i="2" s="1"/>
  <c r="S681" i="2"/>
  <c r="U681" i="2" s="1"/>
  <c r="S682" i="2"/>
  <c r="U682" i="2" s="1"/>
  <c r="S683" i="2"/>
  <c r="U683" i="2" s="1"/>
  <c r="S684" i="2"/>
  <c r="U684" i="2" s="1"/>
  <c r="S685" i="2"/>
  <c r="U685" i="2" s="1"/>
  <c r="S686" i="2"/>
  <c r="U686" i="2" s="1"/>
  <c r="S687" i="2"/>
  <c r="U687" i="2" s="1"/>
  <c r="S688" i="2"/>
  <c r="U688" i="2" s="1"/>
  <c r="S689" i="2"/>
  <c r="U689" i="2" s="1"/>
  <c r="S690" i="2"/>
  <c r="U690" i="2" s="1"/>
  <c r="S691" i="2"/>
  <c r="U691" i="2" s="1"/>
  <c r="S692" i="2"/>
  <c r="U692" i="2" s="1"/>
  <c r="S693" i="2"/>
  <c r="U693" i="2" s="1"/>
  <c r="S694" i="2"/>
  <c r="U694" i="2" s="1"/>
  <c r="S695" i="2"/>
  <c r="U695" i="2" s="1"/>
  <c r="S696" i="2"/>
  <c r="U696" i="2" s="1"/>
  <c r="S697" i="2"/>
  <c r="U697" i="2" s="1"/>
  <c r="S698" i="2"/>
  <c r="U698" i="2" s="1"/>
  <c r="S699" i="2"/>
  <c r="U699" i="2" s="1"/>
  <c r="S700" i="2"/>
  <c r="U700" i="2" s="1"/>
  <c r="S701" i="2"/>
  <c r="U701" i="2" s="1"/>
  <c r="S702" i="2"/>
  <c r="U702" i="2" s="1"/>
  <c r="S703" i="2"/>
  <c r="U703" i="2" s="1"/>
  <c r="S704" i="2"/>
  <c r="U704" i="2" s="1"/>
  <c r="S705" i="2"/>
  <c r="U705" i="2" s="1"/>
  <c r="S706" i="2"/>
  <c r="U706" i="2" s="1"/>
  <c r="S707" i="2"/>
  <c r="U707" i="2" s="1"/>
  <c r="S708" i="2"/>
  <c r="U708" i="2" s="1"/>
  <c r="S709" i="2"/>
  <c r="U709" i="2" s="1"/>
  <c r="S710" i="2"/>
  <c r="U710" i="2" s="1"/>
  <c r="S711" i="2"/>
  <c r="U711" i="2" s="1"/>
  <c r="S712" i="2"/>
  <c r="U712" i="2" s="1"/>
  <c r="S713" i="2"/>
  <c r="U713" i="2" s="1"/>
  <c r="S714" i="2"/>
  <c r="U714" i="2" s="1"/>
  <c r="S715" i="2"/>
  <c r="U715" i="2" s="1"/>
  <c r="S716" i="2"/>
  <c r="U716" i="2" s="1"/>
  <c r="S717" i="2"/>
  <c r="U717" i="2" s="1"/>
  <c r="S718" i="2"/>
  <c r="U718" i="2" s="1"/>
  <c r="S719" i="2"/>
  <c r="U719" i="2" s="1"/>
  <c r="S720" i="2"/>
  <c r="U720" i="2" s="1"/>
  <c r="S721" i="2"/>
  <c r="U721" i="2" s="1"/>
  <c r="S722" i="2"/>
  <c r="U722" i="2" s="1"/>
  <c r="S723" i="2"/>
  <c r="U723" i="2" s="1"/>
  <c r="S724" i="2"/>
  <c r="U724" i="2" s="1"/>
  <c r="S725" i="2"/>
  <c r="U725" i="2" s="1"/>
  <c r="S726" i="2"/>
  <c r="U726" i="2" s="1"/>
  <c r="S727" i="2"/>
  <c r="U727" i="2" s="1"/>
  <c r="S728" i="2"/>
  <c r="U728" i="2" s="1"/>
  <c r="S729" i="2"/>
  <c r="U729" i="2" s="1"/>
  <c r="S730" i="2"/>
  <c r="U730" i="2" s="1"/>
  <c r="S731" i="2"/>
  <c r="U731" i="2" s="1"/>
  <c r="S732" i="2"/>
  <c r="U732" i="2" s="1"/>
  <c r="S733" i="2"/>
  <c r="U733" i="2" s="1"/>
  <c r="S734" i="2"/>
  <c r="U734" i="2" s="1"/>
  <c r="S735" i="2"/>
  <c r="U735" i="2" s="1"/>
  <c r="S736" i="2"/>
  <c r="U736" i="2" s="1"/>
  <c r="S737" i="2"/>
  <c r="U737" i="2" s="1"/>
  <c r="S738" i="2"/>
  <c r="U738" i="2" s="1"/>
  <c r="S739" i="2"/>
  <c r="U739" i="2" s="1"/>
  <c r="S740" i="2"/>
  <c r="U740" i="2" s="1"/>
  <c r="S741" i="2"/>
  <c r="U741" i="2" s="1"/>
  <c r="S742" i="2"/>
  <c r="U742" i="2" s="1"/>
  <c r="S743" i="2"/>
  <c r="U743" i="2" s="1"/>
  <c r="S744" i="2"/>
  <c r="U744" i="2" s="1"/>
  <c r="S745" i="2"/>
  <c r="U745" i="2" s="1"/>
  <c r="S746" i="2"/>
  <c r="U746" i="2" s="1"/>
  <c r="S747" i="2"/>
  <c r="U747" i="2" s="1"/>
  <c r="S748" i="2"/>
  <c r="U748" i="2" s="1"/>
  <c r="S749" i="2"/>
  <c r="U749" i="2" s="1"/>
  <c r="S750" i="2"/>
  <c r="U750" i="2" s="1"/>
  <c r="S751" i="2"/>
  <c r="U751" i="2" s="1"/>
  <c r="S752" i="2"/>
  <c r="U752" i="2" s="1"/>
  <c r="S753" i="2"/>
  <c r="U753" i="2" s="1"/>
  <c r="S754" i="2"/>
  <c r="U754" i="2" s="1"/>
  <c r="S755" i="2"/>
  <c r="U755" i="2" s="1"/>
  <c r="S756" i="2"/>
  <c r="U756" i="2" s="1"/>
  <c r="S757" i="2"/>
  <c r="U757" i="2" s="1"/>
  <c r="S758" i="2"/>
  <c r="U758" i="2" s="1"/>
  <c r="S759" i="2"/>
  <c r="U759" i="2" s="1"/>
  <c r="S760" i="2"/>
  <c r="U760" i="2" s="1"/>
  <c r="S761" i="2"/>
  <c r="U761" i="2" s="1"/>
  <c r="S762" i="2"/>
  <c r="U762" i="2" s="1"/>
  <c r="S763" i="2"/>
  <c r="U763" i="2" s="1"/>
  <c r="S764" i="2"/>
  <c r="U764" i="2" s="1"/>
  <c r="S765" i="2"/>
  <c r="U765" i="2" s="1"/>
  <c r="S766" i="2"/>
  <c r="U766" i="2" s="1"/>
  <c r="S767" i="2"/>
  <c r="U767" i="2" s="1"/>
  <c r="S768" i="2"/>
  <c r="U768" i="2" s="1"/>
  <c r="S769" i="2"/>
  <c r="U769" i="2" s="1"/>
  <c r="S770" i="2"/>
  <c r="U770" i="2" s="1"/>
  <c r="S771" i="2"/>
  <c r="U771" i="2" s="1"/>
  <c r="S772" i="2"/>
  <c r="U772" i="2" s="1"/>
  <c r="S773" i="2"/>
  <c r="U773" i="2" s="1"/>
  <c r="S774" i="2"/>
  <c r="U774" i="2" s="1"/>
  <c r="S775" i="2"/>
  <c r="U775" i="2" s="1"/>
  <c r="S776" i="2"/>
  <c r="U776" i="2" s="1"/>
  <c r="S777" i="2"/>
  <c r="U777" i="2" s="1"/>
  <c r="S778" i="2"/>
  <c r="U778" i="2" s="1"/>
  <c r="S779" i="2"/>
  <c r="U779" i="2" s="1"/>
  <c r="S780" i="2"/>
  <c r="U780" i="2" s="1"/>
  <c r="S781" i="2"/>
  <c r="U781" i="2" s="1"/>
  <c r="S782" i="2"/>
  <c r="U782" i="2" s="1"/>
  <c r="S783" i="2"/>
  <c r="U783" i="2" s="1"/>
  <c r="S784" i="2"/>
  <c r="U784" i="2" s="1"/>
  <c r="S785" i="2"/>
  <c r="U785" i="2" s="1"/>
  <c r="S786" i="2"/>
  <c r="U786" i="2" s="1"/>
  <c r="S787" i="2"/>
  <c r="U787" i="2" s="1"/>
  <c r="S788" i="2"/>
  <c r="U788" i="2" s="1"/>
  <c r="S789" i="2"/>
  <c r="U789" i="2" s="1"/>
  <c r="S790" i="2"/>
  <c r="U790" i="2" s="1"/>
  <c r="S791" i="2"/>
  <c r="U791" i="2" s="1"/>
  <c r="S792" i="2"/>
  <c r="U792" i="2" s="1"/>
  <c r="S793" i="2"/>
  <c r="U793" i="2" s="1"/>
  <c r="S794" i="2"/>
  <c r="U794" i="2" s="1"/>
  <c r="S795" i="2"/>
  <c r="U795" i="2" s="1"/>
  <c r="S796" i="2"/>
  <c r="U796" i="2" s="1"/>
  <c r="S797" i="2"/>
  <c r="U797" i="2" s="1"/>
  <c r="S798" i="2"/>
  <c r="U798" i="2" s="1"/>
  <c r="S799" i="2"/>
  <c r="U799" i="2" s="1"/>
  <c r="S800" i="2"/>
  <c r="U800" i="2" s="1"/>
  <c r="S801" i="2"/>
  <c r="U801" i="2" s="1"/>
  <c r="S802" i="2"/>
  <c r="U802" i="2" s="1"/>
  <c r="S803" i="2"/>
  <c r="U803" i="2" s="1"/>
  <c r="S804" i="2"/>
  <c r="U804" i="2" s="1"/>
  <c r="S805" i="2"/>
  <c r="U805" i="2" s="1"/>
  <c r="S806" i="2"/>
  <c r="U806" i="2" s="1"/>
  <c r="S807" i="2"/>
  <c r="U807" i="2" s="1"/>
  <c r="S808" i="2"/>
  <c r="U808" i="2" s="1"/>
  <c r="S809" i="2"/>
  <c r="U809" i="2" s="1"/>
  <c r="S810" i="2"/>
  <c r="U810" i="2" s="1"/>
  <c r="S811" i="2"/>
  <c r="U811" i="2" s="1"/>
  <c r="S812" i="2"/>
  <c r="U812" i="2" s="1"/>
  <c r="S813" i="2"/>
  <c r="U813" i="2" s="1"/>
  <c r="S814" i="2"/>
  <c r="U814" i="2" s="1"/>
  <c r="S815" i="2"/>
  <c r="U815" i="2" s="1"/>
  <c r="S816" i="2"/>
  <c r="U816" i="2" s="1"/>
  <c r="S817" i="2"/>
  <c r="U817" i="2" s="1"/>
  <c r="S818" i="2"/>
  <c r="U818" i="2" s="1"/>
  <c r="S819" i="2"/>
  <c r="U819" i="2" s="1"/>
  <c r="S820" i="2"/>
  <c r="U820" i="2" s="1"/>
  <c r="S821" i="2"/>
  <c r="U821" i="2" s="1"/>
  <c r="S822" i="2"/>
  <c r="U822" i="2" s="1"/>
  <c r="S823" i="2"/>
  <c r="U823" i="2" s="1"/>
  <c r="S824" i="2"/>
  <c r="U824" i="2" s="1"/>
  <c r="S825" i="2"/>
  <c r="U825" i="2" s="1"/>
  <c r="S826" i="2"/>
  <c r="U826" i="2" s="1"/>
  <c r="S827" i="2"/>
  <c r="U827" i="2" s="1"/>
  <c r="S828" i="2"/>
  <c r="U828" i="2" s="1"/>
  <c r="S829" i="2"/>
  <c r="U829" i="2" s="1"/>
  <c r="S830" i="2"/>
  <c r="U830" i="2" s="1"/>
  <c r="S831" i="2"/>
  <c r="U831" i="2" s="1"/>
  <c r="S832" i="2"/>
  <c r="U832" i="2" s="1"/>
  <c r="S833" i="2"/>
  <c r="U833" i="2" s="1"/>
  <c r="S834" i="2"/>
  <c r="U834" i="2" s="1"/>
  <c r="S835" i="2"/>
  <c r="U835" i="2" s="1"/>
  <c r="S836" i="2"/>
  <c r="U836" i="2" s="1"/>
  <c r="S837" i="2"/>
  <c r="U837" i="2" s="1"/>
  <c r="S838" i="2"/>
  <c r="U838" i="2" s="1"/>
  <c r="S839" i="2"/>
  <c r="U839" i="2" s="1"/>
  <c r="S840" i="2"/>
  <c r="U840" i="2" s="1"/>
  <c r="S841" i="2"/>
  <c r="U841" i="2" s="1"/>
  <c r="S842" i="2"/>
  <c r="U842" i="2" s="1"/>
  <c r="S843" i="2"/>
  <c r="U843" i="2" s="1"/>
  <c r="S844" i="2"/>
  <c r="U844" i="2" s="1"/>
  <c r="S845" i="2"/>
  <c r="U845" i="2" s="1"/>
  <c r="S846" i="2"/>
  <c r="U846" i="2" s="1"/>
  <c r="S847" i="2"/>
  <c r="U847" i="2" s="1"/>
  <c r="S848" i="2"/>
  <c r="U848" i="2" s="1"/>
  <c r="S849" i="2"/>
  <c r="U849" i="2" s="1"/>
  <c r="S850" i="2"/>
  <c r="U850" i="2" s="1"/>
  <c r="S851" i="2"/>
  <c r="U851" i="2" s="1"/>
  <c r="S852" i="2"/>
  <c r="U852" i="2" s="1"/>
  <c r="S853" i="2"/>
  <c r="U853" i="2" s="1"/>
  <c r="S854" i="2"/>
  <c r="U854" i="2" s="1"/>
  <c r="S855" i="2"/>
  <c r="U855" i="2" s="1"/>
  <c r="S856" i="2"/>
  <c r="U856" i="2" s="1"/>
  <c r="S857" i="2"/>
  <c r="U857" i="2" s="1"/>
  <c r="S858" i="2"/>
  <c r="U858" i="2" s="1"/>
  <c r="S859" i="2"/>
  <c r="U859" i="2" s="1"/>
  <c r="S860" i="2"/>
  <c r="U860" i="2" s="1"/>
  <c r="S861" i="2"/>
  <c r="U861" i="2" s="1"/>
  <c r="S862" i="2"/>
  <c r="U862" i="2" s="1"/>
  <c r="S863" i="2"/>
  <c r="U863" i="2" s="1"/>
  <c r="S864" i="2"/>
  <c r="U864" i="2" s="1"/>
  <c r="S865" i="2"/>
  <c r="U865" i="2" s="1"/>
  <c r="S866" i="2"/>
  <c r="U866" i="2" s="1"/>
  <c r="S867" i="2"/>
  <c r="U867" i="2" s="1"/>
  <c r="S868" i="2"/>
  <c r="U868" i="2" s="1"/>
  <c r="S869" i="2"/>
  <c r="U869" i="2" s="1"/>
  <c r="S870" i="2"/>
  <c r="U870" i="2" s="1"/>
  <c r="S871" i="2"/>
  <c r="U871" i="2" s="1"/>
  <c r="S872" i="2"/>
  <c r="U872" i="2" s="1"/>
  <c r="S873" i="2"/>
  <c r="U873" i="2" s="1"/>
  <c r="S874" i="2"/>
  <c r="U874" i="2" s="1"/>
  <c r="S875" i="2"/>
  <c r="U875" i="2" s="1"/>
  <c r="S876" i="2"/>
  <c r="U876" i="2" s="1"/>
  <c r="S877" i="2"/>
  <c r="U877" i="2" s="1"/>
  <c r="S878" i="2"/>
  <c r="U878" i="2" s="1"/>
  <c r="S879" i="2"/>
  <c r="U879" i="2" s="1"/>
  <c r="S880" i="2"/>
  <c r="U880" i="2" s="1"/>
  <c r="S881" i="2"/>
  <c r="U881" i="2" s="1"/>
  <c r="S882" i="2"/>
  <c r="U882" i="2" s="1"/>
  <c r="S883" i="2"/>
  <c r="U883" i="2" s="1"/>
  <c r="S884" i="2"/>
  <c r="U884" i="2" s="1"/>
  <c r="S885" i="2"/>
  <c r="U885" i="2" s="1"/>
  <c r="S886" i="2"/>
  <c r="U886" i="2" s="1"/>
  <c r="S887" i="2"/>
  <c r="U887" i="2" s="1"/>
  <c r="S888" i="2"/>
  <c r="U888" i="2" s="1"/>
  <c r="S889" i="2"/>
  <c r="U889" i="2" s="1"/>
  <c r="S890" i="2"/>
  <c r="U890" i="2" s="1"/>
  <c r="S891" i="2"/>
  <c r="U891" i="2" s="1"/>
  <c r="S892" i="2"/>
  <c r="U892" i="2" s="1"/>
  <c r="S893" i="2"/>
  <c r="U893" i="2" s="1"/>
  <c r="S894" i="2"/>
  <c r="U894" i="2" s="1"/>
  <c r="S895" i="2"/>
  <c r="U895" i="2" s="1"/>
  <c r="S896" i="2"/>
  <c r="U896" i="2" s="1"/>
  <c r="S897" i="2"/>
  <c r="U897" i="2" s="1"/>
  <c r="S898" i="2"/>
  <c r="U898" i="2" s="1"/>
  <c r="S899" i="2"/>
  <c r="U899" i="2" s="1"/>
  <c r="S900" i="2"/>
  <c r="U900" i="2" s="1"/>
  <c r="S901" i="2"/>
  <c r="U901" i="2" s="1"/>
  <c r="S902" i="2"/>
  <c r="U902" i="2" s="1"/>
  <c r="S903" i="2"/>
  <c r="U903" i="2" s="1"/>
  <c r="S904" i="2"/>
  <c r="U904" i="2" s="1"/>
  <c r="S905" i="2"/>
  <c r="U905" i="2" s="1"/>
  <c r="S906" i="2"/>
  <c r="U906" i="2" s="1"/>
  <c r="S907" i="2"/>
  <c r="U907" i="2" s="1"/>
  <c r="S908" i="2"/>
  <c r="U908" i="2" s="1"/>
  <c r="S909" i="2"/>
  <c r="U909" i="2" s="1"/>
  <c r="S910" i="2"/>
  <c r="U910" i="2" s="1"/>
  <c r="S911" i="2"/>
  <c r="U911" i="2" s="1"/>
  <c r="S912" i="2"/>
  <c r="U912" i="2" s="1"/>
  <c r="S913" i="2"/>
  <c r="U913" i="2" s="1"/>
  <c r="S914" i="2"/>
  <c r="U914" i="2" s="1"/>
  <c r="S915" i="2"/>
  <c r="U915" i="2" s="1"/>
  <c r="S916" i="2"/>
  <c r="U916" i="2" s="1"/>
  <c r="S917" i="2"/>
  <c r="U917" i="2" s="1"/>
  <c r="S918" i="2"/>
  <c r="U918" i="2" s="1"/>
  <c r="S919" i="2"/>
  <c r="U919" i="2" s="1"/>
  <c r="S920" i="2"/>
  <c r="U920" i="2" s="1"/>
  <c r="S921" i="2"/>
  <c r="U921" i="2" s="1"/>
  <c r="S922" i="2"/>
  <c r="U922" i="2" s="1"/>
  <c r="S923" i="2"/>
  <c r="U923" i="2" s="1"/>
  <c r="S924" i="2"/>
  <c r="U924" i="2" s="1"/>
  <c r="S925" i="2"/>
  <c r="U925" i="2" s="1"/>
  <c r="S926" i="2"/>
  <c r="U926" i="2" s="1"/>
  <c r="S927" i="2"/>
  <c r="U927" i="2" s="1"/>
  <c r="S928" i="2"/>
  <c r="U928" i="2" s="1"/>
  <c r="S929" i="2"/>
  <c r="U929" i="2" s="1"/>
  <c r="S930" i="2"/>
  <c r="U930" i="2" s="1"/>
  <c r="S931" i="2"/>
  <c r="U931" i="2" s="1"/>
  <c r="S932" i="2"/>
  <c r="U932" i="2" s="1"/>
  <c r="S933" i="2"/>
  <c r="U933" i="2" s="1"/>
  <c r="S934" i="2"/>
  <c r="U934" i="2" s="1"/>
  <c r="S935" i="2"/>
  <c r="U935" i="2" s="1"/>
  <c r="S936" i="2"/>
  <c r="U936" i="2" s="1"/>
  <c r="S937" i="2"/>
  <c r="U937" i="2" s="1"/>
  <c r="S938" i="2"/>
  <c r="U938" i="2" s="1"/>
  <c r="S939" i="2"/>
  <c r="U939" i="2" s="1"/>
  <c r="S940" i="2"/>
  <c r="U940" i="2" s="1"/>
  <c r="S941" i="2"/>
  <c r="U941" i="2" s="1"/>
  <c r="S942" i="2"/>
  <c r="U942" i="2" s="1"/>
  <c r="S943" i="2"/>
  <c r="U943" i="2" s="1"/>
  <c r="S944" i="2"/>
  <c r="U944" i="2" s="1"/>
  <c r="S945" i="2"/>
  <c r="U945" i="2" s="1"/>
  <c r="S946" i="2"/>
  <c r="U946" i="2" s="1"/>
  <c r="S947" i="2"/>
  <c r="U947" i="2" s="1"/>
  <c r="S948" i="2"/>
  <c r="U948" i="2" s="1"/>
  <c r="S949" i="2"/>
  <c r="U949" i="2" s="1"/>
  <c r="S950" i="2"/>
  <c r="U950" i="2" s="1"/>
  <c r="S951" i="2"/>
  <c r="U951" i="2" s="1"/>
  <c r="S952" i="2"/>
  <c r="U952" i="2" s="1"/>
  <c r="S953" i="2"/>
  <c r="U953" i="2" s="1"/>
  <c r="S954" i="2"/>
  <c r="U954" i="2" s="1"/>
  <c r="S955" i="2"/>
  <c r="U955" i="2" s="1"/>
  <c r="S956" i="2"/>
  <c r="U956" i="2" s="1"/>
  <c r="S957" i="2"/>
  <c r="U957" i="2" s="1"/>
  <c r="S958" i="2"/>
  <c r="U958" i="2" s="1"/>
  <c r="S959" i="2"/>
  <c r="U959" i="2" s="1"/>
  <c r="S960" i="2"/>
  <c r="U960" i="2" s="1"/>
  <c r="S961" i="2"/>
  <c r="U961" i="2" s="1"/>
  <c r="S962" i="2"/>
  <c r="U962" i="2" s="1"/>
  <c r="S963" i="2"/>
  <c r="U963" i="2" s="1"/>
  <c r="S964" i="2"/>
  <c r="U964" i="2" s="1"/>
  <c r="S965" i="2"/>
  <c r="U965" i="2" s="1"/>
  <c r="S966" i="2"/>
  <c r="U966" i="2" s="1"/>
  <c r="S967" i="2"/>
  <c r="U967" i="2" s="1"/>
  <c r="S968" i="2"/>
  <c r="U968" i="2" s="1"/>
  <c r="S969" i="2"/>
  <c r="U969" i="2" s="1"/>
  <c r="S970" i="2"/>
  <c r="U970" i="2" s="1"/>
  <c r="S971" i="2"/>
  <c r="U971" i="2" s="1"/>
  <c r="S972" i="2"/>
  <c r="U972" i="2" s="1"/>
  <c r="S973" i="2"/>
  <c r="U973" i="2" s="1"/>
  <c r="S974" i="2"/>
  <c r="U974" i="2" s="1"/>
  <c r="S975" i="2"/>
  <c r="U975" i="2" s="1"/>
  <c r="S976" i="2"/>
  <c r="U976" i="2" s="1"/>
  <c r="S977" i="2"/>
  <c r="U977" i="2" s="1"/>
  <c r="S978" i="2"/>
  <c r="U978" i="2" s="1"/>
  <c r="S979" i="2"/>
  <c r="U979" i="2" s="1"/>
  <c r="S980" i="2"/>
  <c r="U980" i="2" s="1"/>
  <c r="S981" i="2"/>
  <c r="U981" i="2" s="1"/>
  <c r="S982" i="2"/>
  <c r="U982" i="2" s="1"/>
  <c r="S983" i="2"/>
  <c r="U983" i="2" s="1"/>
  <c r="S984" i="2"/>
  <c r="U984" i="2" s="1"/>
  <c r="S985" i="2"/>
  <c r="U985" i="2" s="1"/>
  <c r="S986" i="2"/>
  <c r="U986" i="2" s="1"/>
  <c r="S987" i="2"/>
  <c r="U987" i="2" s="1"/>
  <c r="S988" i="2"/>
  <c r="U988" i="2" s="1"/>
  <c r="S989" i="2"/>
  <c r="U989" i="2" s="1"/>
  <c r="S990" i="2"/>
  <c r="U990" i="2" s="1"/>
  <c r="S991" i="2"/>
  <c r="U991" i="2" s="1"/>
  <c r="S992" i="2"/>
  <c r="U992" i="2" s="1"/>
  <c r="S993" i="2"/>
  <c r="U993" i="2" s="1"/>
  <c r="S994" i="2"/>
  <c r="U994" i="2" s="1"/>
  <c r="S995" i="2"/>
  <c r="U995" i="2" s="1"/>
  <c r="S996" i="2"/>
  <c r="U996" i="2" s="1"/>
  <c r="S997" i="2"/>
  <c r="U997" i="2" s="1"/>
  <c r="S998" i="2"/>
  <c r="U998" i="2" s="1"/>
  <c r="S999" i="2"/>
  <c r="U999" i="2" s="1"/>
  <c r="S1000" i="2"/>
  <c r="U1000" i="2" s="1"/>
  <c r="S1001" i="2"/>
  <c r="U1001" i="2" s="1"/>
  <c r="S1002" i="2"/>
  <c r="U1002" i="2" s="1"/>
  <c r="S1003" i="2"/>
  <c r="U1003" i="2" s="1"/>
  <c r="D21" i="12" l="1"/>
  <c r="D24" i="12" s="1"/>
  <c r="D26" i="12" s="1"/>
  <c r="D10" i="12"/>
  <c r="D12" i="12" s="1"/>
  <c r="D7" i="9"/>
  <c r="D10" i="9" s="1"/>
  <c r="D12" i="9" s="1"/>
  <c r="J149" i="2"/>
  <c r="J165" i="2"/>
  <c r="J289" i="2"/>
  <c r="J114" i="2"/>
  <c r="J322" i="2"/>
  <c r="J71" i="2"/>
  <c r="J115" i="2"/>
  <c r="J139" i="2"/>
  <c r="J315" i="2"/>
  <c r="J449" i="2"/>
  <c r="J509" i="2"/>
  <c r="J366" i="2"/>
  <c r="J542" i="2"/>
  <c r="J435" i="2"/>
  <c r="J695" i="2"/>
  <c r="J735" i="2"/>
  <c r="J905" i="2"/>
  <c r="J906" i="2"/>
  <c r="J970" i="2"/>
  <c r="J855" i="2"/>
  <c r="I114" i="2"/>
  <c r="I322" i="2"/>
  <c r="I366" i="2"/>
  <c r="I542" i="2"/>
  <c r="I71" i="2"/>
  <c r="I115" i="2"/>
  <c r="I139" i="2"/>
  <c r="I315" i="2"/>
  <c r="I435" i="2"/>
  <c r="I149" i="2"/>
  <c r="I165" i="2"/>
  <c r="I289" i="2"/>
  <c r="I449" i="2"/>
  <c r="J37" i="2"/>
  <c r="J129" i="2"/>
  <c r="J137" i="2"/>
  <c r="J58" i="2"/>
  <c r="J138" i="2"/>
  <c r="J198" i="2"/>
  <c r="J218" i="2"/>
  <c r="J262" i="2"/>
  <c r="J286" i="2"/>
  <c r="J310" i="2"/>
  <c r="J23" i="2"/>
  <c r="J43" i="2"/>
  <c r="J135" i="2"/>
  <c r="J147" i="2"/>
  <c r="J175" i="2"/>
  <c r="J231" i="2"/>
  <c r="J307" i="2"/>
  <c r="J323" i="2"/>
  <c r="J120" i="2"/>
  <c r="J168" i="2"/>
  <c r="J232" i="2"/>
  <c r="J248" i="2"/>
  <c r="J368" i="2"/>
  <c r="J460" i="2"/>
  <c r="J500" i="2"/>
  <c r="J44" i="2"/>
  <c r="J60" i="2"/>
  <c r="J521" i="2"/>
  <c r="J382" i="2"/>
  <c r="J614" i="2"/>
  <c r="J698" i="2"/>
  <c r="J782" i="2"/>
  <c r="J810" i="2"/>
  <c r="J519" i="2"/>
  <c r="J611" i="2"/>
  <c r="J663" i="2"/>
  <c r="J751" i="2"/>
  <c r="J787" i="2"/>
  <c r="J116" i="2"/>
  <c r="J471" i="2"/>
  <c r="J487" i="2"/>
  <c r="J506" i="2"/>
  <c r="J530" i="2"/>
  <c r="J538" i="2"/>
  <c r="J604" i="2"/>
  <c r="J628" i="2"/>
  <c r="J656" i="2"/>
  <c r="J725" i="2"/>
  <c r="J865" i="2"/>
  <c r="J893" i="2"/>
  <c r="J945" i="2"/>
  <c r="J981" i="2"/>
  <c r="I44" i="2"/>
  <c r="I60" i="2"/>
  <c r="J579" i="2"/>
  <c r="J757" i="2"/>
  <c r="J830" i="2"/>
  <c r="J874" i="2"/>
  <c r="J890" i="2"/>
  <c r="J894" i="2"/>
  <c r="J918" i="2"/>
  <c r="J950" i="2"/>
  <c r="J990" i="2"/>
  <c r="I37" i="2"/>
  <c r="J816" i="2"/>
  <c r="J831" i="2"/>
  <c r="J847" i="2"/>
  <c r="J927" i="2"/>
  <c r="J848" i="2"/>
  <c r="I138" i="2"/>
  <c r="I198" i="2"/>
  <c r="I218" i="2"/>
  <c r="I262" i="2"/>
  <c r="I286" i="2"/>
  <c r="I310" i="2"/>
  <c r="I382" i="2"/>
  <c r="I506" i="2"/>
  <c r="I530" i="2"/>
  <c r="I538" i="2"/>
  <c r="J817" i="2"/>
  <c r="J932" i="2"/>
  <c r="I23" i="2"/>
  <c r="I135" i="2"/>
  <c r="I147" i="2"/>
  <c r="I175" i="2"/>
  <c r="I231" i="2"/>
  <c r="I307" i="2"/>
  <c r="I323" i="2"/>
  <c r="I471" i="2"/>
  <c r="I487" i="2"/>
  <c r="I519" i="2"/>
  <c r="I579" i="2"/>
  <c r="I611" i="2"/>
  <c r="I663" i="2"/>
  <c r="J888" i="2"/>
  <c r="I43" i="2"/>
  <c r="I58" i="2"/>
  <c r="I116" i="2"/>
  <c r="I120" i="2"/>
  <c r="I168" i="2"/>
  <c r="I232" i="2"/>
  <c r="I248" i="2"/>
  <c r="I368" i="2"/>
  <c r="I460" i="2"/>
  <c r="I500" i="2"/>
  <c r="I604" i="2"/>
  <c r="I628" i="2"/>
  <c r="I656" i="2"/>
  <c r="I129" i="2"/>
  <c r="I137" i="2"/>
  <c r="J13" i="2"/>
  <c r="J125" i="2"/>
  <c r="J145" i="2"/>
  <c r="J157" i="2"/>
  <c r="J185" i="2"/>
  <c r="J213" i="2"/>
  <c r="J257" i="2"/>
  <c r="J317" i="2"/>
  <c r="J122" i="2"/>
  <c r="J134" i="2"/>
  <c r="J158" i="2"/>
  <c r="J162" i="2"/>
  <c r="J222" i="2"/>
  <c r="J246" i="2"/>
  <c r="J266" i="2"/>
  <c r="J306" i="2"/>
  <c r="J83" i="2"/>
  <c r="J127" i="2"/>
  <c r="J187" i="2"/>
  <c r="J223" i="2"/>
  <c r="J251" i="2"/>
  <c r="J275" i="2"/>
  <c r="J136" i="2"/>
  <c r="J264" i="2"/>
  <c r="J384" i="2"/>
  <c r="J436" i="2"/>
  <c r="J484" i="2"/>
  <c r="J540" i="2"/>
  <c r="J564" i="2"/>
  <c r="J329" i="2"/>
  <c r="J441" i="2"/>
  <c r="J577" i="2"/>
  <c r="J48" i="2"/>
  <c r="J358" i="2"/>
  <c r="J446" i="2"/>
  <c r="J454" i="2"/>
  <c r="J20" i="2"/>
  <c r="J383" i="2"/>
  <c r="J431" i="2"/>
  <c r="J534" i="2"/>
  <c r="J618" i="2"/>
  <c r="J682" i="2"/>
  <c r="J742" i="2"/>
  <c r="J802" i="2"/>
  <c r="J387" i="2"/>
  <c r="J403" i="2"/>
  <c r="J527" i="2"/>
  <c r="J675" i="2"/>
  <c r="J743" i="2"/>
  <c r="J823" i="2"/>
  <c r="J359" i="2"/>
  <c r="J644" i="2"/>
  <c r="J861" i="2"/>
  <c r="J965" i="2"/>
  <c r="J969" i="2"/>
  <c r="I20" i="2"/>
  <c r="I48" i="2"/>
  <c r="J132" i="2"/>
  <c r="J834" i="2"/>
  <c r="J886" i="2"/>
  <c r="J946" i="2"/>
  <c r="I13" i="2"/>
  <c r="J701" i="2"/>
  <c r="J717" i="2"/>
  <c r="J744" i="2"/>
  <c r="J871" i="2"/>
  <c r="J879" i="2"/>
  <c r="J891" i="2"/>
  <c r="J625" i="2"/>
  <c r="J976" i="2"/>
  <c r="I83" i="2"/>
  <c r="I122" i="2"/>
  <c r="I134" i="2"/>
  <c r="I158" i="2"/>
  <c r="I162" i="2"/>
  <c r="I222" i="2"/>
  <c r="I246" i="2"/>
  <c r="I266" i="2"/>
  <c r="I306" i="2"/>
  <c r="I358" i="2"/>
  <c r="I446" i="2"/>
  <c r="I454" i="2"/>
  <c r="I534" i="2"/>
  <c r="I127" i="2"/>
  <c r="I187" i="2"/>
  <c r="I223" i="2"/>
  <c r="I251" i="2"/>
  <c r="I275" i="2"/>
  <c r="I359" i="2"/>
  <c r="I383" i="2"/>
  <c r="I387" i="2"/>
  <c r="I403" i="2"/>
  <c r="I431" i="2"/>
  <c r="I527" i="2"/>
  <c r="J920" i="2"/>
  <c r="J968" i="2"/>
  <c r="I132" i="2"/>
  <c r="I136" i="2"/>
  <c r="I264" i="2"/>
  <c r="I384" i="2"/>
  <c r="I436" i="2"/>
  <c r="I484" i="2"/>
  <c r="I540" i="2"/>
  <c r="I564" i="2"/>
  <c r="I644" i="2"/>
  <c r="J673" i="2"/>
  <c r="I125" i="2"/>
  <c r="I145" i="2"/>
  <c r="I157" i="2"/>
  <c r="I185" i="2"/>
  <c r="I213" i="2"/>
  <c r="I257" i="2"/>
  <c r="I317" i="2"/>
  <c r="I329" i="2"/>
  <c r="I441" i="2"/>
  <c r="J5" i="2"/>
  <c r="J45" i="2"/>
  <c r="J77" i="2"/>
  <c r="J109" i="2"/>
  <c r="J141" i="2"/>
  <c r="J205" i="2"/>
  <c r="J233" i="2"/>
  <c r="J245" i="2"/>
  <c r="J249" i="2"/>
  <c r="J281" i="2"/>
  <c r="J313" i="2"/>
  <c r="J14" i="2"/>
  <c r="J30" i="2"/>
  <c r="J46" i="2"/>
  <c r="J90" i="2"/>
  <c r="J102" i="2"/>
  <c r="J194" i="2"/>
  <c r="J234" i="2"/>
  <c r="J326" i="2"/>
  <c r="J19" i="2"/>
  <c r="J27" i="2"/>
  <c r="J47" i="2"/>
  <c r="J91" i="2"/>
  <c r="J95" i="2"/>
  <c r="J99" i="2"/>
  <c r="J123" i="2"/>
  <c r="J159" i="2"/>
  <c r="J179" i="2"/>
  <c r="J195" i="2"/>
  <c r="J219" i="2"/>
  <c r="J243" i="2"/>
  <c r="J255" i="2"/>
  <c r="J259" i="2"/>
  <c r="J287" i="2"/>
  <c r="J319" i="2"/>
  <c r="J88" i="2"/>
  <c r="J200" i="2"/>
  <c r="J333" i="2"/>
  <c r="J404" i="2"/>
  <c r="J424" i="2"/>
  <c r="J480" i="2"/>
  <c r="J512" i="2"/>
  <c r="J516" i="2"/>
  <c r="J528" i="2"/>
  <c r="J556" i="2"/>
  <c r="J560" i="2"/>
  <c r="J568" i="2"/>
  <c r="J28" i="2"/>
  <c r="J76" i="2"/>
  <c r="J92" i="2"/>
  <c r="J156" i="2"/>
  <c r="J188" i="2"/>
  <c r="J268" i="2"/>
  <c r="J340" i="2"/>
  <c r="J369" i="2"/>
  <c r="J377" i="2"/>
  <c r="J393" i="2"/>
  <c r="J429" i="2"/>
  <c r="J473" i="2"/>
  <c r="J513" i="2"/>
  <c r="J529" i="2"/>
  <c r="J541" i="2"/>
  <c r="J549" i="2"/>
  <c r="J557" i="2"/>
  <c r="J561" i="2"/>
  <c r="J581" i="2"/>
  <c r="J80" i="2"/>
  <c r="J112" i="2"/>
  <c r="J224" i="2"/>
  <c r="J272" i="2"/>
  <c r="J346" i="2"/>
  <c r="J350" i="2"/>
  <c r="J370" i="2"/>
  <c r="J374" i="2"/>
  <c r="J394" i="2"/>
  <c r="J414" i="2"/>
  <c r="J418" i="2"/>
  <c r="J482" i="2"/>
  <c r="J276" i="2"/>
  <c r="J415" i="2"/>
  <c r="J566" i="2"/>
  <c r="J582" i="2"/>
  <c r="J590" i="2"/>
  <c r="J594" i="2"/>
  <c r="J598" i="2"/>
  <c r="J602" i="2"/>
  <c r="J662" i="2"/>
  <c r="J674" i="2"/>
  <c r="J678" i="2"/>
  <c r="J686" i="2"/>
  <c r="J770" i="2"/>
  <c r="J798" i="2"/>
  <c r="J814" i="2"/>
  <c r="J292" i="2"/>
  <c r="J337" i="2"/>
  <c r="J467" i="2"/>
  <c r="J603" i="2"/>
  <c r="J623" i="2"/>
  <c r="J627" i="2"/>
  <c r="J631" i="2"/>
  <c r="J639" i="2"/>
  <c r="J647" i="2"/>
  <c r="J691" i="2"/>
  <c r="J707" i="2"/>
  <c r="J180" i="2"/>
  <c r="J455" i="2"/>
  <c r="J578" i="2"/>
  <c r="J586" i="2"/>
  <c r="J592" i="2"/>
  <c r="J608" i="2"/>
  <c r="J632" i="2"/>
  <c r="J640" i="2"/>
  <c r="J696" i="2"/>
  <c r="J728" i="2"/>
  <c r="J395" i="2"/>
  <c r="J459" i="2"/>
  <c r="J539" i="2"/>
  <c r="J709" i="2"/>
  <c r="J812" i="2"/>
  <c r="J829" i="2"/>
  <c r="J837" i="2"/>
  <c r="J885" i="2"/>
  <c r="J933" i="2"/>
  <c r="J957" i="2"/>
  <c r="J961" i="2"/>
  <c r="J993" i="2"/>
  <c r="J1001" i="2"/>
  <c r="I28" i="2"/>
  <c r="I76" i="2"/>
  <c r="J681" i="2"/>
  <c r="J713" i="2"/>
  <c r="J729" i="2"/>
  <c r="J773" i="2"/>
  <c r="J797" i="2"/>
  <c r="J858" i="2"/>
  <c r="J862" i="2"/>
  <c r="J882" i="2"/>
  <c r="J898" i="2"/>
  <c r="J926" i="2"/>
  <c r="J978" i="2"/>
  <c r="I5" i="2"/>
  <c r="I45" i="2"/>
  <c r="I77" i="2"/>
  <c r="J363" i="2"/>
  <c r="J523" i="2"/>
  <c r="J555" i="2"/>
  <c r="J685" i="2"/>
  <c r="J760" i="2"/>
  <c r="J835" i="2"/>
  <c r="J839" i="2"/>
  <c r="J923" i="2"/>
  <c r="J931" i="2"/>
  <c r="J939" i="2"/>
  <c r="I14" i="2"/>
  <c r="I30" i="2"/>
  <c r="I46" i="2"/>
  <c r="J531" i="2"/>
  <c r="I19" i="2"/>
  <c r="I88" i="2"/>
  <c r="I102" i="2"/>
  <c r="I194" i="2"/>
  <c r="I234" i="2"/>
  <c r="I326" i="2"/>
  <c r="I346" i="2"/>
  <c r="I350" i="2"/>
  <c r="I370" i="2"/>
  <c r="I374" i="2"/>
  <c r="I394" i="2"/>
  <c r="I414" i="2"/>
  <c r="I418" i="2"/>
  <c r="I482" i="2"/>
  <c r="J641" i="2"/>
  <c r="J884" i="2"/>
  <c r="J900" i="2"/>
  <c r="I90" i="2"/>
  <c r="I95" i="2"/>
  <c r="I99" i="2"/>
  <c r="I123" i="2"/>
  <c r="I159" i="2"/>
  <c r="I179" i="2"/>
  <c r="I195" i="2"/>
  <c r="I219" i="2"/>
  <c r="I243" i="2"/>
  <c r="I255" i="2"/>
  <c r="I259" i="2"/>
  <c r="I287" i="2"/>
  <c r="I319" i="2"/>
  <c r="I363" i="2"/>
  <c r="I395" i="2"/>
  <c r="I415" i="2"/>
  <c r="I443" i="2"/>
  <c r="I455" i="2"/>
  <c r="I459" i="2"/>
  <c r="I467" i="2"/>
  <c r="I523" i="2"/>
  <c r="I531" i="2"/>
  <c r="I539" i="2"/>
  <c r="I555" i="2"/>
  <c r="I603" i="2"/>
  <c r="I623" i="2"/>
  <c r="I627" i="2"/>
  <c r="I631" i="2"/>
  <c r="I639" i="2"/>
  <c r="I647" i="2"/>
  <c r="J443" i="2"/>
  <c r="J657" i="2"/>
  <c r="I27" i="2"/>
  <c r="I80" i="2"/>
  <c r="I91" i="2"/>
  <c r="I112" i="2"/>
  <c r="I156" i="2"/>
  <c r="I180" i="2"/>
  <c r="I188" i="2"/>
  <c r="I200" i="2"/>
  <c r="I224" i="2"/>
  <c r="I268" i="2"/>
  <c r="I272" i="2"/>
  <c r="I276" i="2"/>
  <c r="I292" i="2"/>
  <c r="I340" i="2"/>
  <c r="I404" i="2"/>
  <c r="I424" i="2"/>
  <c r="I480" i="2"/>
  <c r="I512" i="2"/>
  <c r="I516" i="2"/>
  <c r="I528" i="2"/>
  <c r="I556" i="2"/>
  <c r="I560" i="2"/>
  <c r="I568" i="2"/>
  <c r="I592" i="2"/>
  <c r="I608" i="2"/>
  <c r="I632" i="2"/>
  <c r="I640" i="2"/>
  <c r="J609" i="2"/>
  <c r="J769" i="2"/>
  <c r="J801" i="2"/>
  <c r="I47" i="2"/>
  <c r="I92" i="2"/>
  <c r="I109" i="2"/>
  <c r="I141" i="2"/>
  <c r="I205" i="2"/>
  <c r="I233" i="2"/>
  <c r="I245" i="2"/>
  <c r="I249" i="2"/>
  <c r="I281" i="2"/>
  <c r="I313" i="2"/>
  <c r="I333" i="2"/>
  <c r="I337" i="2"/>
  <c r="I369" i="2"/>
  <c r="I377" i="2"/>
  <c r="I393" i="2"/>
  <c r="I429" i="2"/>
  <c r="I1003" i="2"/>
  <c r="I999" i="2"/>
  <c r="I995" i="2"/>
  <c r="I991" i="2"/>
  <c r="I987" i="2"/>
  <c r="I983" i="2"/>
  <c r="I979" i="2"/>
  <c r="I975" i="2"/>
  <c r="I971" i="2"/>
  <c r="I967" i="2"/>
  <c r="I963" i="2"/>
  <c r="I959" i="2"/>
  <c r="I955" i="2"/>
  <c r="I951" i="2"/>
  <c r="I947" i="2"/>
  <c r="I943" i="2"/>
  <c r="I939" i="2"/>
  <c r="I935" i="2"/>
  <c r="I931" i="2"/>
  <c r="I927" i="2"/>
  <c r="I923" i="2"/>
  <c r="I919" i="2"/>
  <c r="I915" i="2"/>
  <c r="I911" i="2"/>
  <c r="I907" i="2"/>
  <c r="I903" i="2"/>
  <c r="I899" i="2"/>
  <c r="I895" i="2"/>
  <c r="I891" i="2"/>
  <c r="I887" i="2"/>
  <c r="I883" i="2"/>
  <c r="I879" i="2"/>
  <c r="I875" i="2"/>
  <c r="I871" i="2"/>
  <c r="I867" i="2"/>
  <c r="I863" i="2"/>
  <c r="I859" i="2"/>
  <c r="I855" i="2"/>
  <c r="I851" i="2"/>
  <c r="I847" i="2"/>
  <c r="I843" i="2"/>
  <c r="I839" i="2"/>
  <c r="I835" i="2"/>
  <c r="I831" i="2"/>
  <c r="I827" i="2"/>
  <c r="I823" i="2"/>
  <c r="I819" i="2"/>
  <c r="I815" i="2"/>
  <c r="I811" i="2"/>
  <c r="I807" i="2"/>
  <c r="I803" i="2"/>
  <c r="I799" i="2"/>
  <c r="I795" i="2"/>
  <c r="I791" i="2"/>
  <c r="I787" i="2"/>
  <c r="I783" i="2"/>
  <c r="I779" i="2"/>
  <c r="I775" i="2"/>
  <c r="I771" i="2"/>
  <c r="I767" i="2"/>
  <c r="I763" i="2"/>
  <c r="I759" i="2"/>
  <c r="I755" i="2"/>
  <c r="I751" i="2"/>
  <c r="I747" i="2"/>
  <c r="I743" i="2"/>
  <c r="I739" i="2"/>
  <c r="I735" i="2"/>
  <c r="I731" i="2"/>
  <c r="I727" i="2"/>
  <c r="I723" i="2"/>
  <c r="I719" i="2"/>
  <c r="I715" i="2"/>
  <c r="I711" i="2"/>
  <c r="I707" i="2"/>
  <c r="I703" i="2"/>
  <c r="I699" i="2"/>
  <c r="I695" i="2"/>
  <c r="I691" i="2"/>
  <c r="I687" i="2"/>
  <c r="I683" i="2"/>
  <c r="I679" i="2"/>
  <c r="I675" i="2"/>
  <c r="I671" i="2"/>
  <c r="I667" i="2"/>
  <c r="I661" i="2"/>
  <c r="I653" i="2"/>
  <c r="I645" i="2"/>
  <c r="I637" i="2"/>
  <c r="I629" i="2"/>
  <c r="I621" i="2"/>
  <c r="I613" i="2"/>
  <c r="I605" i="2"/>
  <c r="I597" i="2"/>
  <c r="I589" i="2"/>
  <c r="I581" i="2"/>
  <c r="I573" i="2"/>
  <c r="I565" i="2"/>
  <c r="I557" i="2"/>
  <c r="I549" i="2"/>
  <c r="I469" i="2"/>
  <c r="J225" i="2"/>
  <c r="J226" i="2"/>
  <c r="J67" i="2"/>
  <c r="J291" i="2"/>
  <c r="J152" i="2"/>
  <c r="J356" i="2"/>
  <c r="J364" i="2"/>
  <c r="J477" i="2"/>
  <c r="J485" i="2"/>
  <c r="J545" i="2"/>
  <c r="J192" i="2"/>
  <c r="J288" i="2"/>
  <c r="J430" i="2"/>
  <c r="J462" i="2"/>
  <c r="J466" i="2"/>
  <c r="J486" i="2"/>
  <c r="J463" i="2"/>
  <c r="J550" i="2"/>
  <c r="J654" i="2"/>
  <c r="J710" i="2"/>
  <c r="J794" i="2"/>
  <c r="J228" i="2"/>
  <c r="J651" i="2"/>
  <c r="J755" i="2"/>
  <c r="J652" i="2"/>
  <c r="J712" i="2"/>
  <c r="J597" i="2"/>
  <c r="J921" i="2"/>
  <c r="J949" i="2"/>
  <c r="J910" i="2"/>
  <c r="J922" i="2"/>
  <c r="J784" i="2"/>
  <c r="J867" i="2"/>
  <c r="J911" i="2"/>
  <c r="J979" i="2"/>
  <c r="J745" i="2"/>
  <c r="I226" i="2"/>
  <c r="I430" i="2"/>
  <c r="I462" i="2"/>
  <c r="I466" i="2"/>
  <c r="I486" i="2"/>
  <c r="J836" i="2"/>
  <c r="I291" i="2"/>
  <c r="I463" i="2"/>
  <c r="I651" i="2"/>
  <c r="J952" i="2"/>
  <c r="I152" i="2"/>
  <c r="I192" i="2"/>
  <c r="I228" i="2"/>
  <c r="I288" i="2"/>
  <c r="I356" i="2"/>
  <c r="I364" i="2"/>
  <c r="I652" i="2"/>
  <c r="I67" i="2"/>
  <c r="I225" i="2"/>
  <c r="J21" i="2"/>
  <c r="J25" i="2"/>
  <c r="J41" i="2"/>
  <c r="J49" i="2"/>
  <c r="J57" i="2"/>
  <c r="J89" i="2"/>
  <c r="J153" i="2"/>
  <c r="J169" i="2"/>
  <c r="J237" i="2"/>
  <c r="J241" i="2"/>
  <c r="J305" i="2"/>
  <c r="J309" i="2"/>
  <c r="J321" i="2"/>
  <c r="J50" i="2"/>
  <c r="J82" i="2"/>
  <c r="J130" i="2"/>
  <c r="J150" i="2"/>
  <c r="J170" i="2"/>
  <c r="J242" i="2"/>
  <c r="J254" i="2"/>
  <c r="J270" i="2"/>
  <c r="J294" i="2"/>
  <c r="J302" i="2"/>
  <c r="J55" i="2"/>
  <c r="J59" i="2"/>
  <c r="J79" i="2"/>
  <c r="J107" i="2"/>
  <c r="J111" i="2"/>
  <c r="J119" i="2"/>
  <c r="J155" i="2"/>
  <c r="J163" i="2"/>
  <c r="J207" i="2"/>
  <c r="J227" i="2"/>
  <c r="J239" i="2"/>
  <c r="J295" i="2"/>
  <c r="J40" i="2"/>
  <c r="J372" i="2"/>
  <c r="J376" i="2"/>
  <c r="J396" i="2"/>
  <c r="J408" i="2"/>
  <c r="J444" i="2"/>
  <c r="J456" i="2"/>
  <c r="J468" i="2"/>
  <c r="J524" i="2"/>
  <c r="J532" i="2"/>
  <c r="J580" i="2"/>
  <c r="J316" i="2"/>
  <c r="J381" i="2"/>
  <c r="J457" i="2"/>
  <c r="J465" i="2"/>
  <c r="J501" i="2"/>
  <c r="J585" i="2"/>
  <c r="J64" i="2"/>
  <c r="J128" i="2"/>
  <c r="J304" i="2"/>
  <c r="J398" i="2"/>
  <c r="J406" i="2"/>
  <c r="J410" i="2"/>
  <c r="J450" i="2"/>
  <c r="J478" i="2"/>
  <c r="J212" i="2"/>
  <c r="J367" i="2"/>
  <c r="J399" i="2"/>
  <c r="J630" i="2"/>
  <c r="J690" i="2"/>
  <c r="J730" i="2"/>
  <c r="J738" i="2"/>
  <c r="J750" i="2"/>
  <c r="J754" i="2"/>
  <c r="J806" i="2"/>
  <c r="J818" i="2"/>
  <c r="J551" i="2"/>
  <c r="J607" i="2"/>
  <c r="J615" i="2"/>
  <c r="J671" i="2"/>
  <c r="J683" i="2"/>
  <c r="J687" i="2"/>
  <c r="J711" i="2"/>
  <c r="J715" i="2"/>
  <c r="J719" i="2"/>
  <c r="J727" i="2"/>
  <c r="J731" i="2"/>
  <c r="J783" i="2"/>
  <c r="J807" i="2"/>
  <c r="J244" i="2"/>
  <c r="J375" i="2"/>
  <c r="J391" i="2"/>
  <c r="J423" i="2"/>
  <c r="J439" i="2"/>
  <c r="J554" i="2"/>
  <c r="J562" i="2"/>
  <c r="J570" i="2"/>
  <c r="J688" i="2"/>
  <c r="J68" i="2"/>
  <c r="J571" i="2"/>
  <c r="J629" i="2"/>
  <c r="J645" i="2"/>
  <c r="J693" i="2"/>
  <c r="J740" i="2"/>
  <c r="J756" i="2"/>
  <c r="J788" i="2"/>
  <c r="J841" i="2"/>
  <c r="J869" i="2"/>
  <c r="J929" i="2"/>
  <c r="J937" i="2"/>
  <c r="J941" i="2"/>
  <c r="J977" i="2"/>
  <c r="I40" i="2"/>
  <c r="I64" i="2"/>
  <c r="I68" i="2"/>
  <c r="J515" i="2"/>
  <c r="J617" i="2"/>
  <c r="J805" i="2"/>
  <c r="J870" i="2"/>
  <c r="J914" i="2"/>
  <c r="J930" i="2"/>
  <c r="J982" i="2"/>
  <c r="J994" i="2"/>
  <c r="I21" i="2"/>
  <c r="I25" i="2"/>
  <c r="I41" i="2"/>
  <c r="I49" i="2"/>
  <c r="I57" i="2"/>
  <c r="I89" i="2"/>
  <c r="J621" i="2"/>
  <c r="J843" i="2"/>
  <c r="J915" i="2"/>
  <c r="J919" i="2"/>
  <c r="J947" i="2"/>
  <c r="J967" i="2"/>
  <c r="J1003" i="2"/>
  <c r="I50" i="2"/>
  <c r="J260" i="2"/>
  <c r="J864" i="2"/>
  <c r="J880" i="2"/>
  <c r="J928" i="2"/>
  <c r="I130" i="2"/>
  <c r="I150" i="2"/>
  <c r="I170" i="2"/>
  <c r="I242" i="2"/>
  <c r="I254" i="2"/>
  <c r="I270" i="2"/>
  <c r="I294" i="2"/>
  <c r="I302" i="2"/>
  <c r="I398" i="2"/>
  <c r="I406" i="2"/>
  <c r="I410" i="2"/>
  <c r="I450" i="2"/>
  <c r="I478" i="2"/>
  <c r="J868" i="2"/>
  <c r="J916" i="2"/>
  <c r="I55" i="2"/>
  <c r="I79" i="2"/>
  <c r="I107" i="2"/>
  <c r="I111" i="2"/>
  <c r="I119" i="2"/>
  <c r="I155" i="2"/>
  <c r="I163" i="2"/>
  <c r="I207" i="2"/>
  <c r="I227" i="2"/>
  <c r="I239" i="2"/>
  <c r="I295" i="2"/>
  <c r="I367" i="2"/>
  <c r="I375" i="2"/>
  <c r="I391" i="2"/>
  <c r="I399" i="2"/>
  <c r="I423" i="2"/>
  <c r="I439" i="2"/>
  <c r="I515" i="2"/>
  <c r="I551" i="2"/>
  <c r="I571" i="2"/>
  <c r="I607" i="2"/>
  <c r="I615" i="2"/>
  <c r="J856" i="2"/>
  <c r="J1000" i="2"/>
  <c r="I128" i="2"/>
  <c r="I212" i="2"/>
  <c r="I244" i="2"/>
  <c r="I260" i="2"/>
  <c r="I304" i="2"/>
  <c r="I316" i="2"/>
  <c r="I372" i="2"/>
  <c r="I376" i="2"/>
  <c r="I396" i="2"/>
  <c r="I408" i="2"/>
  <c r="I444" i="2"/>
  <c r="I456" i="2"/>
  <c r="I468" i="2"/>
  <c r="I524" i="2"/>
  <c r="I532" i="2"/>
  <c r="I580" i="2"/>
  <c r="J844" i="2"/>
  <c r="I59" i="2"/>
  <c r="I82" i="2"/>
  <c r="I153" i="2"/>
  <c r="I169" i="2"/>
  <c r="I237" i="2"/>
  <c r="I241" i="2"/>
  <c r="I305" i="2"/>
  <c r="I309" i="2"/>
  <c r="I321" i="2"/>
  <c r="I381" i="2"/>
  <c r="I457" i="2"/>
  <c r="J29" i="2"/>
  <c r="J173" i="2"/>
  <c r="J201" i="2"/>
  <c r="J209" i="2"/>
  <c r="J273" i="2"/>
  <c r="J10" i="2"/>
  <c r="J174" i="2"/>
  <c r="J186" i="2"/>
  <c r="J190" i="2"/>
  <c r="J202" i="2"/>
  <c r="J11" i="2"/>
  <c r="J87" i="2"/>
  <c r="J247" i="2"/>
  <c r="J271" i="2"/>
  <c r="J311" i="2"/>
  <c r="J331" i="2"/>
  <c r="J343" i="2"/>
  <c r="J296" i="2"/>
  <c r="J338" i="2"/>
  <c r="J452" i="2"/>
  <c r="J464" i="2"/>
  <c r="J488" i="2"/>
  <c r="J492" i="2"/>
  <c r="J576" i="2"/>
  <c r="J108" i="2"/>
  <c r="J140" i="2"/>
  <c r="J353" i="2"/>
  <c r="J373" i="2"/>
  <c r="J389" i="2"/>
  <c r="J401" i="2"/>
  <c r="J405" i="2"/>
  <c r="J437" i="2"/>
  <c r="J489" i="2"/>
  <c r="J497" i="2"/>
  <c r="J505" i="2"/>
  <c r="J517" i="2"/>
  <c r="J525" i="2"/>
  <c r="J16" i="2"/>
  <c r="J144" i="2"/>
  <c r="J160" i="2"/>
  <c r="J354" i="2"/>
  <c r="J362" i="2"/>
  <c r="J422" i="2"/>
  <c r="J434" i="2"/>
  <c r="J490" i="2"/>
  <c r="J148" i="2"/>
  <c r="J351" i="2"/>
  <c r="J622" i="2"/>
  <c r="J790" i="2"/>
  <c r="J543" i="2"/>
  <c r="J763" i="2"/>
  <c r="J799" i="2"/>
  <c r="J815" i="2"/>
  <c r="J600" i="2"/>
  <c r="J716" i="2"/>
  <c r="J724" i="2"/>
  <c r="J732" i="2"/>
  <c r="J736" i="2"/>
  <c r="J324" i="2"/>
  <c r="J507" i="2"/>
  <c r="J780" i="2"/>
  <c r="J873" i="2"/>
  <c r="J877" i="2"/>
  <c r="I16" i="2"/>
  <c r="J411" i="2"/>
  <c r="J781" i="2"/>
  <c r="J789" i="2"/>
  <c r="J821" i="2"/>
  <c r="J842" i="2"/>
  <c r="J850" i="2"/>
  <c r="J954" i="2"/>
  <c r="I29" i="2"/>
  <c r="J427" i="2"/>
  <c r="J752" i="2"/>
  <c r="J792" i="2"/>
  <c r="J800" i="2"/>
  <c r="J808" i="2"/>
  <c r="J859" i="2"/>
  <c r="J863" i="2"/>
  <c r="J899" i="2"/>
  <c r="J963" i="2"/>
  <c r="J987" i="2"/>
  <c r="I10" i="2"/>
  <c r="J809" i="2"/>
  <c r="I174" i="2"/>
  <c r="I186" i="2"/>
  <c r="I190" i="2"/>
  <c r="I202" i="2"/>
  <c r="I338" i="2"/>
  <c r="I354" i="2"/>
  <c r="I362" i="2"/>
  <c r="I422" i="2"/>
  <c r="I434" i="2"/>
  <c r="I490" i="2"/>
  <c r="J852" i="2"/>
  <c r="J948" i="2"/>
  <c r="I247" i="2"/>
  <c r="I271" i="2"/>
  <c r="I311" i="2"/>
  <c r="I331" i="2"/>
  <c r="I343" i="2"/>
  <c r="I351" i="2"/>
  <c r="I411" i="2"/>
  <c r="I427" i="2"/>
  <c r="I507" i="2"/>
  <c r="I543" i="2"/>
  <c r="J872" i="2"/>
  <c r="I11" i="2"/>
  <c r="I108" i="2"/>
  <c r="I140" i="2"/>
  <c r="I144" i="2"/>
  <c r="I148" i="2"/>
  <c r="I160" i="2"/>
  <c r="I296" i="2"/>
  <c r="I324" i="2"/>
  <c r="I452" i="2"/>
  <c r="I464" i="2"/>
  <c r="I488" i="2"/>
  <c r="I492" i="2"/>
  <c r="I576" i="2"/>
  <c r="I600" i="2"/>
  <c r="J860" i="2"/>
  <c r="J876" i="2"/>
  <c r="I87" i="2"/>
  <c r="I173" i="2"/>
  <c r="I201" i="2"/>
  <c r="I209" i="2"/>
  <c r="I273" i="2"/>
  <c r="I353" i="2"/>
  <c r="I373" i="2"/>
  <c r="I389" i="2"/>
  <c r="I401" i="2"/>
  <c r="I405" i="2"/>
  <c r="I437" i="2"/>
  <c r="J4" i="2"/>
  <c r="J9" i="2"/>
  <c r="J17" i="2"/>
  <c r="J65" i="2"/>
  <c r="J101" i="2"/>
  <c r="J117" i="2"/>
  <c r="J121" i="2"/>
  <c r="J189" i="2"/>
  <c r="J217" i="2"/>
  <c r="J253" i="2"/>
  <c r="J261" i="2"/>
  <c r="J265" i="2"/>
  <c r="J297" i="2"/>
  <c r="J42" i="2"/>
  <c r="J54" i="2"/>
  <c r="J106" i="2"/>
  <c r="J110" i="2"/>
  <c r="J118" i="2"/>
  <c r="J142" i="2"/>
  <c r="J166" i="2"/>
  <c r="J210" i="2"/>
  <c r="J230" i="2"/>
  <c r="J290" i="2"/>
  <c r="J298" i="2"/>
  <c r="J318" i="2"/>
  <c r="J7" i="2"/>
  <c r="J35" i="2"/>
  <c r="J51" i="2"/>
  <c r="J167" i="2"/>
  <c r="J171" i="2"/>
  <c r="J183" i="2"/>
  <c r="J203" i="2"/>
  <c r="J211" i="2"/>
  <c r="J215" i="2"/>
  <c r="J263" i="2"/>
  <c r="J303" i="2"/>
  <c r="J56" i="2"/>
  <c r="J280" i="2"/>
  <c r="J344" i="2"/>
  <c r="J348" i="2"/>
  <c r="J388" i="2"/>
  <c r="J400" i="2"/>
  <c r="J416" i="2"/>
  <c r="J420" i="2"/>
  <c r="J448" i="2"/>
  <c r="J472" i="2"/>
  <c r="J504" i="2"/>
  <c r="J520" i="2"/>
  <c r="J536" i="2"/>
  <c r="J548" i="2"/>
  <c r="J572" i="2"/>
  <c r="J124" i="2"/>
  <c r="J252" i="2"/>
  <c r="J357" i="2"/>
  <c r="J361" i="2"/>
  <c r="J365" i="2"/>
  <c r="J413" i="2"/>
  <c r="J417" i="2"/>
  <c r="J421" i="2"/>
  <c r="J433" i="2"/>
  <c r="J533" i="2"/>
  <c r="J537" i="2"/>
  <c r="J32" i="2"/>
  <c r="J378" i="2"/>
  <c r="J470" i="2"/>
  <c r="J474" i="2"/>
  <c r="J84" i="2"/>
  <c r="J447" i="2"/>
  <c r="J479" i="2"/>
  <c r="J626" i="2"/>
  <c r="J634" i="2"/>
  <c r="J650" i="2"/>
  <c r="J670" i="2"/>
  <c r="J702" i="2"/>
  <c r="J714" i="2"/>
  <c r="J722" i="2"/>
  <c r="J762" i="2"/>
  <c r="J786" i="2"/>
  <c r="J36" i="2"/>
  <c r="J100" i="2"/>
  <c r="J371" i="2"/>
  <c r="J483" i="2"/>
  <c r="J559" i="2"/>
  <c r="J591" i="2"/>
  <c r="J635" i="2"/>
  <c r="J739" i="2"/>
  <c r="J795" i="2"/>
  <c r="J819" i="2"/>
  <c r="J308" i="2"/>
  <c r="J407" i="2"/>
  <c r="J616" i="2"/>
  <c r="J636" i="2"/>
  <c r="J700" i="2"/>
  <c r="J720" i="2"/>
  <c r="J661" i="2"/>
  <c r="J764" i="2"/>
  <c r="J804" i="2"/>
  <c r="J820" i="2"/>
  <c r="J889" i="2"/>
  <c r="J901" i="2"/>
  <c r="J917" i="2"/>
  <c r="J953" i="2"/>
  <c r="I32" i="2"/>
  <c r="I36" i="2"/>
  <c r="I56" i="2"/>
  <c r="J475" i="2"/>
  <c r="J665" i="2"/>
  <c r="J938" i="2"/>
  <c r="J942" i="2"/>
  <c r="J958" i="2"/>
  <c r="J998" i="2"/>
  <c r="I9" i="2"/>
  <c r="I17" i="2"/>
  <c r="I65" i="2"/>
  <c r="J587" i="2"/>
  <c r="J733" i="2"/>
  <c r="J776" i="2"/>
  <c r="J827" i="2"/>
  <c r="J951" i="2"/>
  <c r="J955" i="2"/>
  <c r="J971" i="2"/>
  <c r="I42" i="2"/>
  <c r="I54" i="2"/>
  <c r="J689" i="2"/>
  <c r="J777" i="2"/>
  <c r="I35" i="2"/>
  <c r="I51" i="2"/>
  <c r="I106" i="2"/>
  <c r="I110" i="2"/>
  <c r="I118" i="2"/>
  <c r="I142" i="2"/>
  <c r="I166" i="2"/>
  <c r="I210" i="2"/>
  <c r="I230" i="2"/>
  <c r="I290" i="2"/>
  <c r="I298" i="2"/>
  <c r="I318" i="2"/>
  <c r="I378" i="2"/>
  <c r="I470" i="2"/>
  <c r="I474" i="2"/>
  <c r="J379" i="2"/>
  <c r="J563" i="2"/>
  <c r="J980" i="2"/>
  <c r="I7" i="2"/>
  <c r="I84" i="2"/>
  <c r="I167" i="2"/>
  <c r="I171" i="2"/>
  <c r="I183" i="2"/>
  <c r="I203" i="2"/>
  <c r="I211" i="2"/>
  <c r="I215" i="2"/>
  <c r="I263" i="2"/>
  <c r="I303" i="2"/>
  <c r="I371" i="2"/>
  <c r="I379" i="2"/>
  <c r="I407" i="2"/>
  <c r="I447" i="2"/>
  <c r="I475" i="2"/>
  <c r="I479" i="2"/>
  <c r="I483" i="2"/>
  <c r="I559" i="2"/>
  <c r="I563" i="2"/>
  <c r="I587" i="2"/>
  <c r="I591" i="2"/>
  <c r="I635" i="2"/>
  <c r="J793" i="2"/>
  <c r="J824" i="2"/>
  <c r="J904" i="2"/>
  <c r="I100" i="2"/>
  <c r="I124" i="2"/>
  <c r="I252" i="2"/>
  <c r="I280" i="2"/>
  <c r="I308" i="2"/>
  <c r="I344" i="2"/>
  <c r="I348" i="2"/>
  <c r="I388" i="2"/>
  <c r="I400" i="2"/>
  <c r="I416" i="2"/>
  <c r="I420" i="2"/>
  <c r="I448" i="2"/>
  <c r="I472" i="2"/>
  <c r="I504" i="2"/>
  <c r="I520" i="2"/>
  <c r="I536" i="2"/>
  <c r="I548" i="2"/>
  <c r="I572" i="2"/>
  <c r="I616" i="2"/>
  <c r="I636" i="2"/>
  <c r="J828" i="2"/>
  <c r="J908" i="2"/>
  <c r="J956" i="2"/>
  <c r="I4" i="2"/>
  <c r="I101" i="2"/>
  <c r="I117" i="2"/>
  <c r="I121" i="2"/>
  <c r="I189" i="2"/>
  <c r="I217" i="2"/>
  <c r="I253" i="2"/>
  <c r="I261" i="2"/>
  <c r="I265" i="2"/>
  <c r="I297" i="2"/>
  <c r="I357" i="2"/>
  <c r="I361" i="2"/>
  <c r="I365" i="2"/>
  <c r="I413" i="2"/>
  <c r="I417" i="2"/>
  <c r="I421" i="2"/>
  <c r="I433" i="2"/>
  <c r="I1002" i="2"/>
  <c r="I998" i="2"/>
  <c r="I994" i="2"/>
  <c r="I990" i="2"/>
  <c r="I986" i="2"/>
  <c r="I982" i="2"/>
  <c r="I978" i="2"/>
  <c r="I974" i="2"/>
  <c r="I970" i="2"/>
  <c r="I966" i="2"/>
  <c r="I962" i="2"/>
  <c r="I958" i="2"/>
  <c r="I954" i="2"/>
  <c r="I950" i="2"/>
  <c r="I946" i="2"/>
  <c r="I942" i="2"/>
  <c r="I938" i="2"/>
  <c r="I934" i="2"/>
  <c r="I930" i="2"/>
  <c r="I926" i="2"/>
  <c r="I922" i="2"/>
  <c r="I918" i="2"/>
  <c r="I914" i="2"/>
  <c r="I910" i="2"/>
  <c r="I906" i="2"/>
  <c r="I902" i="2"/>
  <c r="I898" i="2"/>
  <c r="I894" i="2"/>
  <c r="I890" i="2"/>
  <c r="I886" i="2"/>
  <c r="I882" i="2"/>
  <c r="I878" i="2"/>
  <c r="I874" i="2"/>
  <c r="I870" i="2"/>
  <c r="I866" i="2"/>
  <c r="I862" i="2"/>
  <c r="I858" i="2"/>
  <c r="I854" i="2"/>
  <c r="I850" i="2"/>
  <c r="I846" i="2"/>
  <c r="I842" i="2"/>
  <c r="I838" i="2"/>
  <c r="I834" i="2"/>
  <c r="I830" i="2"/>
  <c r="I826" i="2"/>
  <c r="I822" i="2"/>
  <c r="I818" i="2"/>
  <c r="I814" i="2"/>
  <c r="I810" i="2"/>
  <c r="I806" i="2"/>
  <c r="I802" i="2"/>
  <c r="I798" i="2"/>
  <c r="I794" i="2"/>
  <c r="I790" i="2"/>
  <c r="I786" i="2"/>
  <c r="I782" i="2"/>
  <c r="I778" i="2"/>
  <c r="I774" i="2"/>
  <c r="I770" i="2"/>
  <c r="I766" i="2"/>
  <c r="I762" i="2"/>
  <c r="I758" i="2"/>
  <c r="I754" i="2"/>
  <c r="I750" i="2"/>
  <c r="I746" i="2"/>
  <c r="I742" i="2"/>
  <c r="I738" i="2"/>
  <c r="I734" i="2"/>
  <c r="I730" i="2"/>
  <c r="I726" i="2"/>
  <c r="I722" i="2"/>
  <c r="I718" i="2"/>
  <c r="I714" i="2"/>
  <c r="I710" i="2"/>
  <c r="I706" i="2"/>
  <c r="I702" i="2"/>
  <c r="I698" i="2"/>
  <c r="I694" i="2"/>
  <c r="I690" i="2"/>
  <c r="I686" i="2"/>
  <c r="I682" i="2"/>
  <c r="I678" i="2"/>
  <c r="I674" i="2"/>
  <c r="I670" i="2"/>
  <c r="I666" i="2"/>
  <c r="I658" i="2"/>
  <c r="I650" i="2"/>
  <c r="I634" i="2"/>
  <c r="I626" i="2"/>
  <c r="I618" i="2"/>
  <c r="I602" i="2"/>
  <c r="I594" i="2"/>
  <c r="I586" i="2"/>
  <c r="I578" i="2"/>
  <c r="I570" i="2"/>
  <c r="I562" i="2"/>
  <c r="I554" i="2"/>
  <c r="I545" i="2"/>
  <c r="I529" i="2"/>
  <c r="I513" i="2"/>
  <c r="I497" i="2"/>
  <c r="I481" i="2"/>
  <c r="I465" i="2"/>
  <c r="J33" i="2"/>
  <c r="J61" i="2"/>
  <c r="J73" i="2"/>
  <c r="J97" i="2"/>
  <c r="J197" i="2"/>
  <c r="J221" i="2"/>
  <c r="J229" i="2"/>
  <c r="J301" i="2"/>
  <c r="J62" i="2"/>
  <c r="J74" i="2"/>
  <c r="J86" i="2"/>
  <c r="J178" i="2"/>
  <c r="J182" i="2"/>
  <c r="J278" i="2"/>
  <c r="J283" i="2"/>
  <c r="J327" i="2"/>
  <c r="J339" i="2"/>
  <c r="J72" i="2"/>
  <c r="J216" i="2"/>
  <c r="J360" i="2"/>
  <c r="J380" i="2"/>
  <c r="J476" i="2"/>
  <c r="J544" i="2"/>
  <c r="J552" i="2"/>
  <c r="J584" i="2"/>
  <c r="J588" i="2"/>
  <c r="J334" i="2"/>
  <c r="J349" i="2"/>
  <c r="J385" i="2"/>
  <c r="J425" i="2"/>
  <c r="J569" i="2"/>
  <c r="J96" i="2"/>
  <c r="J176" i="2"/>
  <c r="J386" i="2"/>
  <c r="J502" i="2"/>
  <c r="J510" i="2"/>
  <c r="J558" i="2"/>
  <c r="J642" i="2"/>
  <c r="J658" i="2"/>
  <c r="J694" i="2"/>
  <c r="J706" i="2"/>
  <c r="J758" i="2"/>
  <c r="J774" i="2"/>
  <c r="J511" i="2"/>
  <c r="J703" i="2"/>
  <c r="J723" i="2"/>
  <c r="J546" i="2"/>
  <c r="J596" i="2"/>
  <c r="J708" i="2"/>
  <c r="J677" i="2"/>
  <c r="J825" i="2"/>
  <c r="J853" i="2"/>
  <c r="J913" i="2"/>
  <c r="J989" i="2"/>
  <c r="I72" i="2"/>
  <c r="J741" i="2"/>
  <c r="J826" i="2"/>
  <c r="J846" i="2"/>
  <c r="J902" i="2"/>
  <c r="I33" i="2"/>
  <c r="I61" i="2"/>
  <c r="I73" i="2"/>
  <c r="J491" i="2"/>
  <c r="J637" i="2"/>
  <c r="J653" i="2"/>
  <c r="J669" i="2"/>
  <c r="J851" i="2"/>
  <c r="J943" i="2"/>
  <c r="J959" i="2"/>
  <c r="J975" i="2"/>
  <c r="J983" i="2"/>
  <c r="J912" i="2"/>
  <c r="J944" i="2"/>
  <c r="J992" i="2"/>
  <c r="I62" i="2"/>
  <c r="I178" i="2"/>
  <c r="I182" i="2"/>
  <c r="I278" i="2"/>
  <c r="I334" i="2"/>
  <c r="I386" i="2"/>
  <c r="I502" i="2"/>
  <c r="I510" i="2"/>
  <c r="I546" i="2"/>
  <c r="J705" i="2"/>
  <c r="I283" i="2"/>
  <c r="I327" i="2"/>
  <c r="I339" i="2"/>
  <c r="I491" i="2"/>
  <c r="I511" i="2"/>
  <c r="I74" i="2"/>
  <c r="I86" i="2"/>
  <c r="I96" i="2"/>
  <c r="I176" i="2"/>
  <c r="I216" i="2"/>
  <c r="I360" i="2"/>
  <c r="I380" i="2"/>
  <c r="I476" i="2"/>
  <c r="I544" i="2"/>
  <c r="I552" i="2"/>
  <c r="I584" i="2"/>
  <c r="I588" i="2"/>
  <c r="I596" i="2"/>
  <c r="J892" i="2"/>
  <c r="I97" i="2"/>
  <c r="I197" i="2"/>
  <c r="I221" i="2"/>
  <c r="I229" i="2"/>
  <c r="I301" i="2"/>
  <c r="I349" i="2"/>
  <c r="I385" i="2"/>
  <c r="I425" i="2"/>
  <c r="J18" i="2"/>
  <c r="J154" i="2"/>
  <c r="J103" i="2"/>
  <c r="J299" i="2"/>
  <c r="J498" i="2"/>
  <c r="J748" i="2"/>
  <c r="I18" i="2"/>
  <c r="I154" i="2"/>
  <c r="I498" i="2"/>
  <c r="I103" i="2"/>
  <c r="I299" i="2"/>
  <c r="I499" i="2"/>
  <c r="J840" i="2"/>
  <c r="J499" i="2"/>
  <c r="J53" i="2"/>
  <c r="J93" i="2"/>
  <c r="J113" i="2"/>
  <c r="J285" i="2"/>
  <c r="J22" i="2"/>
  <c r="J26" i="2"/>
  <c r="J66" i="2"/>
  <c r="J70" i="2"/>
  <c r="J78" i="2"/>
  <c r="J94" i="2"/>
  <c r="J126" i="2"/>
  <c r="J146" i="2"/>
  <c r="J238" i="2"/>
  <c r="J250" i="2"/>
  <c r="J274" i="2"/>
  <c r="J63" i="2"/>
  <c r="J143" i="2"/>
  <c r="J8" i="2"/>
  <c r="J104" i="2"/>
  <c r="J392" i="2"/>
  <c r="J428" i="2"/>
  <c r="J409" i="2"/>
  <c r="J453" i="2"/>
  <c r="J493" i="2"/>
  <c r="J494" i="2"/>
  <c r="J610" i="2"/>
  <c r="J646" i="2"/>
  <c r="J726" i="2"/>
  <c r="J778" i="2"/>
  <c r="J583" i="2"/>
  <c r="J655" i="2"/>
  <c r="J659" i="2"/>
  <c r="J667" i="2"/>
  <c r="J775" i="2"/>
  <c r="J680" i="2"/>
  <c r="J692" i="2"/>
  <c r="J772" i="2"/>
  <c r="J845" i="2"/>
  <c r="J849" i="2"/>
  <c r="J973" i="2"/>
  <c r="J997" i="2"/>
  <c r="I8" i="2"/>
  <c r="J347" i="2"/>
  <c r="J601" i="2"/>
  <c r="J697" i="2"/>
  <c r="J749" i="2"/>
  <c r="J813" i="2"/>
  <c r="J854" i="2"/>
  <c r="J934" i="2"/>
  <c r="J966" i="2"/>
  <c r="I53" i="2"/>
  <c r="I93" i="2"/>
  <c r="J196" i="2"/>
  <c r="J768" i="2"/>
  <c r="J875" i="2"/>
  <c r="J883" i="2"/>
  <c r="J903" i="2"/>
  <c r="J935" i="2"/>
  <c r="I22" i="2"/>
  <c r="I26" i="2"/>
  <c r="I70" i="2"/>
  <c r="I78" i="2"/>
  <c r="I94" i="2"/>
  <c r="I126" i="2"/>
  <c r="I146" i="2"/>
  <c r="I238" i="2"/>
  <c r="I250" i="2"/>
  <c r="I274" i="2"/>
  <c r="I494" i="2"/>
  <c r="J785" i="2"/>
  <c r="J996" i="2"/>
  <c r="I63" i="2"/>
  <c r="I143" i="2"/>
  <c r="I347" i="2"/>
  <c r="I583" i="2"/>
  <c r="I655" i="2"/>
  <c r="I659" i="2"/>
  <c r="J593" i="2"/>
  <c r="I66" i="2"/>
  <c r="I104" i="2"/>
  <c r="I196" i="2"/>
  <c r="I392" i="2"/>
  <c r="I428" i="2"/>
  <c r="J924" i="2"/>
  <c r="J972" i="2"/>
  <c r="I113" i="2"/>
  <c r="I285" i="2"/>
  <c r="I409" i="2"/>
  <c r="I453" i="2"/>
  <c r="I1001" i="2"/>
  <c r="I997" i="2"/>
  <c r="I993" i="2"/>
  <c r="I989" i="2"/>
  <c r="I985" i="2"/>
  <c r="I981" i="2"/>
  <c r="I977" i="2"/>
  <c r="I973" i="2"/>
  <c r="I969" i="2"/>
  <c r="I965" i="2"/>
  <c r="I961" i="2"/>
  <c r="I957" i="2"/>
  <c r="I953" i="2"/>
  <c r="I949" i="2"/>
  <c r="I945" i="2"/>
  <c r="I941" i="2"/>
  <c r="I937" i="2"/>
  <c r="I933" i="2"/>
  <c r="I929" i="2"/>
  <c r="I925" i="2"/>
  <c r="I921" i="2"/>
  <c r="I917" i="2"/>
  <c r="I913" i="2"/>
  <c r="I909" i="2"/>
  <c r="I905" i="2"/>
  <c r="I901" i="2"/>
  <c r="I897" i="2"/>
  <c r="I893" i="2"/>
  <c r="I889" i="2"/>
  <c r="I885" i="2"/>
  <c r="I881" i="2"/>
  <c r="I877" i="2"/>
  <c r="I873" i="2"/>
  <c r="I869" i="2"/>
  <c r="I865" i="2"/>
  <c r="I861" i="2"/>
  <c r="I857" i="2"/>
  <c r="I853" i="2"/>
  <c r="I849" i="2"/>
  <c r="I845" i="2"/>
  <c r="I841" i="2"/>
  <c r="I837" i="2"/>
  <c r="I833" i="2"/>
  <c r="I829" i="2"/>
  <c r="I825" i="2"/>
  <c r="I821" i="2"/>
  <c r="I817" i="2"/>
  <c r="I813" i="2"/>
  <c r="I809" i="2"/>
  <c r="I805" i="2"/>
  <c r="I801" i="2"/>
  <c r="I797" i="2"/>
  <c r="I793" i="2"/>
  <c r="I789" i="2"/>
  <c r="I785" i="2"/>
  <c r="I781" i="2"/>
  <c r="I777" i="2"/>
  <c r="I773" i="2"/>
  <c r="I769" i="2"/>
  <c r="I765" i="2"/>
  <c r="I761" i="2"/>
  <c r="I757" i="2"/>
  <c r="I753" i="2"/>
  <c r="I749" i="2"/>
  <c r="I745" i="2"/>
  <c r="I741" i="2"/>
  <c r="I737" i="2"/>
  <c r="I733" i="2"/>
  <c r="I729" i="2"/>
  <c r="I725" i="2"/>
  <c r="I721" i="2"/>
  <c r="I717" i="2"/>
  <c r="I713" i="2"/>
  <c r="I709" i="2"/>
  <c r="I705" i="2"/>
  <c r="I701" i="2"/>
  <c r="I697" i="2"/>
  <c r="I693" i="2"/>
  <c r="I689" i="2"/>
  <c r="I685" i="2"/>
  <c r="I681" i="2"/>
  <c r="I677" i="2"/>
  <c r="I673" i="2"/>
  <c r="I669" i="2"/>
  <c r="I665" i="2"/>
  <c r="I657" i="2"/>
  <c r="I641" i="2"/>
  <c r="I633" i="2"/>
  <c r="I625" i="2"/>
  <c r="I617" i="2"/>
  <c r="I609" i="2"/>
  <c r="I601" i="2"/>
  <c r="I593" i="2"/>
  <c r="I585" i="2"/>
  <c r="I577" i="2"/>
  <c r="I569" i="2"/>
  <c r="I561" i="2"/>
  <c r="I541" i="2"/>
  <c r="I525" i="2"/>
  <c r="I509" i="2"/>
  <c r="I493" i="2"/>
  <c r="I477" i="2"/>
  <c r="J161" i="2"/>
  <c r="J269" i="2"/>
  <c r="J293" i="2"/>
  <c r="J325" i="2"/>
  <c r="J38" i="2"/>
  <c r="J206" i="2"/>
  <c r="J282" i="2"/>
  <c r="J31" i="2"/>
  <c r="J131" i="2"/>
  <c r="J184" i="2"/>
  <c r="J508" i="2"/>
  <c r="J284" i="2"/>
  <c r="J300" i="2"/>
  <c r="J345" i="2"/>
  <c r="J461" i="2"/>
  <c r="J469" i="2"/>
  <c r="J565" i="2"/>
  <c r="J240" i="2"/>
  <c r="J256" i="2"/>
  <c r="J320" i="2"/>
  <c r="J336" i="2"/>
  <c r="J442" i="2"/>
  <c r="J458" i="2"/>
  <c r="J518" i="2"/>
  <c r="J526" i="2"/>
  <c r="J574" i="2"/>
  <c r="J451" i="2"/>
  <c r="J503" i="2"/>
  <c r="J619" i="2"/>
  <c r="J679" i="2"/>
  <c r="J747" i="2"/>
  <c r="J759" i="2"/>
  <c r="J767" i="2"/>
  <c r="J791" i="2"/>
  <c r="J811" i="2"/>
  <c r="J522" i="2"/>
  <c r="J620" i="2"/>
  <c r="J648" i="2"/>
  <c r="J660" i="2"/>
  <c r="J704" i="2"/>
  <c r="J897" i="2"/>
  <c r="J1002" i="2"/>
  <c r="I38" i="2"/>
  <c r="I206" i="2"/>
  <c r="I282" i="2"/>
  <c r="I442" i="2"/>
  <c r="I458" i="2"/>
  <c r="I518" i="2"/>
  <c r="I522" i="2"/>
  <c r="I526" i="2"/>
  <c r="I131" i="2"/>
  <c r="I451" i="2"/>
  <c r="I503" i="2"/>
  <c r="I619" i="2"/>
  <c r="J984" i="2"/>
  <c r="I184" i="2"/>
  <c r="I240" i="2"/>
  <c r="I256" i="2"/>
  <c r="I284" i="2"/>
  <c r="I300" i="2"/>
  <c r="I320" i="2"/>
  <c r="I336" i="2"/>
  <c r="I508" i="2"/>
  <c r="I620" i="2"/>
  <c r="I648" i="2"/>
  <c r="I660" i="2"/>
  <c r="J988" i="2"/>
  <c r="I31" i="2"/>
  <c r="I161" i="2"/>
  <c r="I269" i="2"/>
  <c r="I293" i="2"/>
  <c r="I325" i="2"/>
  <c r="I345" i="2"/>
  <c r="J69" i="2"/>
  <c r="J105" i="2"/>
  <c r="J133" i="2"/>
  <c r="J181" i="2"/>
  <c r="J98" i="2"/>
  <c r="J314" i="2"/>
  <c r="J15" i="2"/>
  <c r="J39" i="2"/>
  <c r="J267" i="2"/>
  <c r="J335" i="2"/>
  <c r="J24" i="2"/>
  <c r="J312" i="2"/>
  <c r="J328" i="2"/>
  <c r="J412" i="2"/>
  <c r="J220" i="2"/>
  <c r="J397" i="2"/>
  <c r="J445" i="2"/>
  <c r="J553" i="2"/>
  <c r="J589" i="2"/>
  <c r="J330" i="2"/>
  <c r="J341" i="2"/>
  <c r="J402" i="2"/>
  <c r="J426" i="2"/>
  <c r="J438" i="2"/>
  <c r="J606" i="2"/>
  <c r="J638" i="2"/>
  <c r="J666" i="2"/>
  <c r="J718" i="2"/>
  <c r="J734" i="2"/>
  <c r="J746" i="2"/>
  <c r="J766" i="2"/>
  <c r="J164" i="2"/>
  <c r="J419" i="2"/>
  <c r="J567" i="2"/>
  <c r="J575" i="2"/>
  <c r="J595" i="2"/>
  <c r="J599" i="2"/>
  <c r="J643" i="2"/>
  <c r="J779" i="2"/>
  <c r="J52" i="2"/>
  <c r="J342" i="2"/>
  <c r="J514" i="2"/>
  <c r="J612" i="2"/>
  <c r="J624" i="2"/>
  <c r="J613" i="2"/>
  <c r="J857" i="2"/>
  <c r="J881" i="2"/>
  <c r="J909" i="2"/>
  <c r="I24" i="2"/>
  <c r="I52" i="2"/>
  <c r="J547" i="2"/>
  <c r="J633" i="2"/>
  <c r="J765" i="2"/>
  <c r="J866" i="2"/>
  <c r="J962" i="2"/>
  <c r="J986" i="2"/>
  <c r="I69" i="2"/>
  <c r="J605" i="2"/>
  <c r="J887" i="2"/>
  <c r="J907" i="2"/>
  <c r="J999" i="2"/>
  <c r="J832" i="2"/>
  <c r="J960" i="2"/>
  <c r="I98" i="2"/>
  <c r="I314" i="2"/>
  <c r="I330" i="2"/>
  <c r="I342" i="2"/>
  <c r="I402" i="2"/>
  <c r="I426" i="2"/>
  <c r="I438" i="2"/>
  <c r="I514" i="2"/>
  <c r="J753" i="2"/>
  <c r="I39" i="2"/>
  <c r="I267" i="2"/>
  <c r="I335" i="2"/>
  <c r="I419" i="2"/>
  <c r="I547" i="2"/>
  <c r="I567" i="2"/>
  <c r="I575" i="2"/>
  <c r="I595" i="2"/>
  <c r="I599" i="2"/>
  <c r="I643" i="2"/>
  <c r="J936" i="2"/>
  <c r="I164" i="2"/>
  <c r="I220" i="2"/>
  <c r="I312" i="2"/>
  <c r="I328" i="2"/>
  <c r="I412" i="2"/>
  <c r="I612" i="2"/>
  <c r="I624" i="2"/>
  <c r="I15" i="2"/>
  <c r="I105" i="2"/>
  <c r="I133" i="2"/>
  <c r="I181" i="2"/>
  <c r="I341" i="2"/>
  <c r="I397" i="2"/>
  <c r="I445" i="2"/>
  <c r="J81" i="2"/>
  <c r="J85" i="2"/>
  <c r="J177" i="2"/>
  <c r="J193" i="2"/>
  <c r="J277" i="2"/>
  <c r="J6" i="2"/>
  <c r="J34" i="2"/>
  <c r="J214" i="2"/>
  <c r="J258" i="2"/>
  <c r="J75" i="2"/>
  <c r="J151" i="2"/>
  <c r="J191" i="2"/>
  <c r="J199" i="2"/>
  <c r="J235" i="2"/>
  <c r="J279" i="2"/>
  <c r="J352" i="2"/>
  <c r="J432" i="2"/>
  <c r="J440" i="2"/>
  <c r="J496" i="2"/>
  <c r="J12" i="2"/>
  <c r="J172" i="2"/>
  <c r="J204" i="2"/>
  <c r="J236" i="2"/>
  <c r="J481" i="2"/>
  <c r="J573" i="2"/>
  <c r="J208" i="2"/>
  <c r="J390" i="2"/>
  <c r="J332" i="2"/>
  <c r="J355" i="2"/>
  <c r="J495" i="2"/>
  <c r="J535" i="2"/>
  <c r="J699" i="2"/>
  <c r="J771" i="2"/>
  <c r="J803" i="2"/>
  <c r="J664" i="2"/>
  <c r="J668" i="2"/>
  <c r="J672" i="2"/>
  <c r="J676" i="2"/>
  <c r="J684" i="2"/>
  <c r="J796" i="2"/>
  <c r="J833" i="2"/>
  <c r="J925" i="2"/>
  <c r="J985" i="2"/>
  <c r="I12" i="2"/>
  <c r="J649" i="2"/>
  <c r="J838" i="2"/>
  <c r="J878" i="2"/>
  <c r="J974" i="2"/>
  <c r="I81" i="2"/>
  <c r="I85" i="2"/>
  <c r="J822" i="2"/>
  <c r="J895" i="2"/>
  <c r="J991" i="2"/>
  <c r="J995" i="2"/>
  <c r="I6" i="2"/>
  <c r="I34" i="2"/>
  <c r="J896" i="2"/>
  <c r="I214" i="2"/>
  <c r="I258" i="2"/>
  <c r="I390" i="2"/>
  <c r="J964" i="2"/>
  <c r="I151" i="2"/>
  <c r="I191" i="2"/>
  <c r="I199" i="2"/>
  <c r="I235" i="2"/>
  <c r="I279" i="2"/>
  <c r="I355" i="2"/>
  <c r="I495" i="2"/>
  <c r="I535" i="2"/>
  <c r="J721" i="2"/>
  <c r="J761" i="2"/>
  <c r="I172" i="2"/>
  <c r="I204" i="2"/>
  <c r="I208" i="2"/>
  <c r="I236" i="2"/>
  <c r="I332" i="2"/>
  <c r="I352" i="2"/>
  <c r="I432" i="2"/>
  <c r="I440" i="2"/>
  <c r="I496" i="2"/>
  <c r="I664" i="2"/>
  <c r="J737" i="2"/>
  <c r="J940" i="2"/>
  <c r="I75" i="2"/>
  <c r="I177" i="2"/>
  <c r="I193" i="2"/>
  <c r="I277" i="2"/>
  <c r="I1000" i="2"/>
  <c r="I996" i="2"/>
  <c r="I992" i="2"/>
  <c r="I988" i="2"/>
  <c r="I984" i="2"/>
  <c r="I980" i="2"/>
  <c r="I976" i="2"/>
  <c r="I972" i="2"/>
  <c r="I968" i="2"/>
  <c r="I964" i="2"/>
  <c r="I960" i="2"/>
  <c r="I956" i="2"/>
  <c r="I952" i="2"/>
  <c r="I948" i="2"/>
  <c r="I944" i="2"/>
  <c r="I940" i="2"/>
  <c r="I936" i="2"/>
  <c r="I932" i="2"/>
  <c r="I928" i="2"/>
  <c r="I924" i="2"/>
  <c r="I920" i="2"/>
  <c r="I916" i="2"/>
  <c r="I912" i="2"/>
  <c r="I908" i="2"/>
  <c r="I904" i="2"/>
  <c r="I900" i="2"/>
  <c r="I896" i="2"/>
  <c r="I892" i="2"/>
  <c r="I888" i="2"/>
  <c r="I884" i="2"/>
  <c r="I880" i="2"/>
  <c r="I876" i="2"/>
  <c r="I872" i="2"/>
  <c r="I868" i="2"/>
  <c r="I864" i="2"/>
  <c r="I860" i="2"/>
  <c r="I856" i="2"/>
  <c r="I852" i="2"/>
  <c r="I848" i="2"/>
  <c r="I844" i="2"/>
  <c r="I840" i="2"/>
  <c r="I836" i="2"/>
  <c r="I832" i="2"/>
  <c r="I828" i="2"/>
  <c r="I824" i="2"/>
  <c r="I820" i="2"/>
  <c r="I816" i="2"/>
  <c r="I812" i="2"/>
  <c r="I808" i="2"/>
  <c r="I804" i="2"/>
  <c r="I800" i="2"/>
  <c r="I796" i="2"/>
  <c r="I792" i="2"/>
  <c r="I788" i="2"/>
  <c r="I784" i="2"/>
  <c r="I780" i="2"/>
  <c r="I776" i="2"/>
  <c r="I772" i="2"/>
  <c r="I768" i="2"/>
  <c r="I764" i="2"/>
  <c r="I760" i="2"/>
  <c r="I756" i="2"/>
  <c r="I752" i="2"/>
  <c r="I748" i="2"/>
  <c r="I744" i="2"/>
  <c r="I740" i="2"/>
  <c r="I736" i="2"/>
  <c r="I732" i="2"/>
  <c r="I728" i="2"/>
  <c r="I724" i="2"/>
  <c r="I720" i="2"/>
  <c r="I716" i="2"/>
  <c r="I712" i="2"/>
  <c r="I708" i="2"/>
  <c r="I704" i="2"/>
  <c r="I700" i="2"/>
  <c r="I696" i="2"/>
  <c r="I692" i="2"/>
  <c r="I688" i="2"/>
  <c r="I684" i="2"/>
  <c r="I680" i="2"/>
  <c r="I676" i="2"/>
  <c r="I672" i="2"/>
  <c r="I668" i="2"/>
  <c r="I662" i="2"/>
  <c r="I654" i="2"/>
  <c r="I646" i="2"/>
  <c r="I638" i="2"/>
  <c r="I630" i="2"/>
  <c r="I622" i="2"/>
  <c r="I614" i="2"/>
  <c r="I606" i="2"/>
  <c r="I598" i="2"/>
  <c r="I590" i="2"/>
  <c r="I582" i="2"/>
  <c r="I574" i="2"/>
  <c r="I566" i="2"/>
  <c r="I558" i="2"/>
  <c r="I550" i="2"/>
  <c r="I537" i="2"/>
  <c r="I521" i="2"/>
  <c r="I505" i="2"/>
  <c r="I489" i="2"/>
  <c r="I473" i="2"/>
  <c r="W994" i="2"/>
  <c r="X994" i="2" s="1"/>
  <c r="Z994" i="2" s="1"/>
  <c r="W978" i="2"/>
  <c r="X978" i="2" s="1"/>
  <c r="Z978" i="2" s="1"/>
  <c r="W962" i="2"/>
  <c r="X962" i="2" s="1"/>
  <c r="Z962" i="2" s="1"/>
  <c r="W946" i="2"/>
  <c r="X946" i="2" s="1"/>
  <c r="Z946" i="2" s="1"/>
  <c r="W930" i="2"/>
  <c r="X930" i="2" s="1"/>
  <c r="Z930" i="2" s="1"/>
  <c r="W910" i="2"/>
  <c r="X910" i="2" s="1"/>
  <c r="Z910" i="2" s="1"/>
  <c r="W894" i="2"/>
  <c r="X894" i="2" s="1"/>
  <c r="Z894" i="2" s="1"/>
  <c r="W878" i="2"/>
  <c r="X878" i="2" s="1"/>
  <c r="Z878" i="2" s="1"/>
  <c r="W866" i="2"/>
  <c r="X866" i="2" s="1"/>
  <c r="Z866" i="2" s="1"/>
  <c r="W854" i="2"/>
  <c r="X854" i="2" s="1"/>
  <c r="Z854" i="2" s="1"/>
  <c r="W846" i="2"/>
  <c r="X846" i="2" s="1"/>
  <c r="Z846" i="2" s="1"/>
  <c r="W838" i="2"/>
  <c r="X838" i="2" s="1"/>
  <c r="Z838" i="2" s="1"/>
  <c r="W830" i="2"/>
  <c r="X830" i="2" s="1"/>
  <c r="Z830" i="2" s="1"/>
  <c r="W822" i="2"/>
  <c r="X822" i="2" s="1"/>
  <c r="Z822" i="2" s="1"/>
  <c r="W814" i="2"/>
  <c r="X814" i="2" s="1"/>
  <c r="Z814" i="2" s="1"/>
  <c r="W806" i="2"/>
  <c r="X806" i="2" s="1"/>
  <c r="Z806" i="2" s="1"/>
  <c r="W798" i="2"/>
  <c r="X798" i="2" s="1"/>
  <c r="Z798" i="2" s="1"/>
  <c r="W790" i="2"/>
  <c r="X790" i="2" s="1"/>
  <c r="Z790" i="2" s="1"/>
  <c r="W786" i="2"/>
  <c r="X786" i="2" s="1"/>
  <c r="Z786" i="2" s="1"/>
  <c r="W782" i="2"/>
  <c r="X782" i="2" s="1"/>
  <c r="Z782" i="2" s="1"/>
  <c r="W774" i="2"/>
  <c r="X774" i="2" s="1"/>
  <c r="Z774" i="2" s="1"/>
  <c r="W770" i="2"/>
  <c r="X770" i="2" s="1"/>
  <c r="Z770" i="2" s="1"/>
  <c r="W766" i="2"/>
  <c r="X766" i="2" s="1"/>
  <c r="Z766" i="2" s="1"/>
  <c r="W762" i="2"/>
  <c r="X762" i="2" s="1"/>
  <c r="Z762" i="2" s="1"/>
  <c r="W758" i="2"/>
  <c r="X758" i="2" s="1"/>
  <c r="Z758" i="2" s="1"/>
  <c r="W754" i="2"/>
  <c r="X754" i="2" s="1"/>
  <c r="Z754" i="2" s="1"/>
  <c r="W750" i="2"/>
  <c r="X750" i="2" s="1"/>
  <c r="Z750" i="2" s="1"/>
  <c r="W746" i="2"/>
  <c r="X746" i="2" s="1"/>
  <c r="Z746" i="2" s="1"/>
  <c r="X742" i="2"/>
  <c r="Z742" i="2" s="1"/>
  <c r="W742" i="2"/>
  <c r="W738" i="2"/>
  <c r="X738" i="2" s="1"/>
  <c r="Z738" i="2" s="1"/>
  <c r="W734" i="2"/>
  <c r="X734" i="2" s="1"/>
  <c r="Z734" i="2" s="1"/>
  <c r="W730" i="2"/>
  <c r="X730" i="2" s="1"/>
  <c r="Z730" i="2" s="1"/>
  <c r="W726" i="2"/>
  <c r="X726" i="2" s="1"/>
  <c r="Z726" i="2" s="1"/>
  <c r="W722" i="2"/>
  <c r="X722" i="2" s="1"/>
  <c r="Z722" i="2" s="1"/>
  <c r="W718" i="2"/>
  <c r="X718" i="2" s="1"/>
  <c r="Z718" i="2" s="1"/>
  <c r="W714" i="2"/>
  <c r="X714" i="2" s="1"/>
  <c r="Z714" i="2" s="1"/>
  <c r="W710" i="2"/>
  <c r="X710" i="2" s="1"/>
  <c r="Z710" i="2" s="1"/>
  <c r="W706" i="2"/>
  <c r="X706" i="2" s="1"/>
  <c r="Z706" i="2" s="1"/>
  <c r="W702" i="2"/>
  <c r="X702" i="2" s="1"/>
  <c r="Z702" i="2" s="1"/>
  <c r="W698" i="2"/>
  <c r="X698" i="2" s="1"/>
  <c r="Z698" i="2" s="1"/>
  <c r="W694" i="2"/>
  <c r="X694" i="2" s="1"/>
  <c r="Z694" i="2" s="1"/>
  <c r="W690" i="2"/>
  <c r="X690" i="2" s="1"/>
  <c r="Z690" i="2" s="1"/>
  <c r="W686" i="2"/>
  <c r="X686" i="2" s="1"/>
  <c r="Z686" i="2" s="1"/>
  <c r="W682" i="2"/>
  <c r="X682" i="2" s="1"/>
  <c r="Z682" i="2" s="1"/>
  <c r="W678" i="2"/>
  <c r="X678" i="2" s="1"/>
  <c r="Z678" i="2" s="1"/>
  <c r="W674" i="2"/>
  <c r="X674" i="2" s="1"/>
  <c r="Z674" i="2" s="1"/>
  <c r="W670" i="2"/>
  <c r="X670" i="2" s="1"/>
  <c r="Z670" i="2" s="1"/>
  <c r="W666" i="2"/>
  <c r="X666" i="2" s="1"/>
  <c r="Z666" i="2" s="1"/>
  <c r="W662" i="2"/>
  <c r="X662" i="2" s="1"/>
  <c r="Z662" i="2" s="1"/>
  <c r="W658" i="2"/>
  <c r="X658" i="2" s="1"/>
  <c r="Z658" i="2" s="1"/>
  <c r="W654" i="2"/>
  <c r="X654" i="2" s="1"/>
  <c r="Z654" i="2" s="1"/>
  <c r="W650" i="2"/>
  <c r="X650" i="2" s="1"/>
  <c r="Z650" i="2" s="1"/>
  <c r="W646" i="2"/>
  <c r="X646" i="2" s="1"/>
  <c r="Z646" i="2" s="1"/>
  <c r="W642" i="2"/>
  <c r="X642" i="2" s="1"/>
  <c r="Z642" i="2" s="1"/>
  <c r="W638" i="2"/>
  <c r="X638" i="2" s="1"/>
  <c r="Z638" i="2" s="1"/>
  <c r="W634" i="2"/>
  <c r="X634" i="2" s="1"/>
  <c r="Z634" i="2" s="1"/>
  <c r="W630" i="2"/>
  <c r="X630" i="2" s="1"/>
  <c r="Z630" i="2" s="1"/>
  <c r="W626" i="2"/>
  <c r="X626" i="2" s="1"/>
  <c r="Z626" i="2" s="1"/>
  <c r="W622" i="2"/>
  <c r="X622" i="2" s="1"/>
  <c r="Z622" i="2" s="1"/>
  <c r="W618" i="2"/>
  <c r="X618" i="2" s="1"/>
  <c r="Z618" i="2" s="1"/>
  <c r="W614" i="2"/>
  <c r="X614" i="2" s="1"/>
  <c r="Z614" i="2" s="1"/>
  <c r="W610" i="2"/>
  <c r="X610" i="2" s="1"/>
  <c r="Z610" i="2" s="1"/>
  <c r="W606" i="2"/>
  <c r="X606" i="2" s="1"/>
  <c r="Z606" i="2" s="1"/>
  <c r="W602" i="2"/>
  <c r="X602" i="2" s="1"/>
  <c r="Z602" i="2" s="1"/>
  <c r="W598" i="2"/>
  <c r="X598" i="2" s="1"/>
  <c r="Z598" i="2" s="1"/>
  <c r="W594" i="2"/>
  <c r="X594" i="2" s="1"/>
  <c r="Z594" i="2" s="1"/>
  <c r="W590" i="2"/>
  <c r="X590" i="2" s="1"/>
  <c r="Z590" i="2" s="1"/>
  <c r="W586" i="2"/>
  <c r="X586" i="2" s="1"/>
  <c r="Z586" i="2" s="1"/>
  <c r="W582" i="2"/>
  <c r="X582" i="2" s="1"/>
  <c r="Z582" i="2" s="1"/>
  <c r="W578" i="2"/>
  <c r="X578" i="2" s="1"/>
  <c r="Z578" i="2" s="1"/>
  <c r="W574" i="2"/>
  <c r="X574" i="2" s="1"/>
  <c r="Z574" i="2" s="1"/>
  <c r="W570" i="2"/>
  <c r="X570" i="2" s="1"/>
  <c r="Z570" i="2" s="1"/>
  <c r="W566" i="2"/>
  <c r="X566" i="2" s="1"/>
  <c r="Z566" i="2" s="1"/>
  <c r="W562" i="2"/>
  <c r="X562" i="2" s="1"/>
  <c r="Z562" i="2" s="1"/>
  <c r="W558" i="2"/>
  <c r="X558" i="2" s="1"/>
  <c r="Z558" i="2" s="1"/>
  <c r="W554" i="2"/>
  <c r="X554" i="2" s="1"/>
  <c r="Z554" i="2" s="1"/>
  <c r="W550" i="2"/>
  <c r="X550" i="2" s="1"/>
  <c r="Z550" i="2" s="1"/>
  <c r="W546" i="2"/>
  <c r="X546" i="2" s="1"/>
  <c r="Z546" i="2" s="1"/>
  <c r="W542" i="2"/>
  <c r="X542" i="2" s="1"/>
  <c r="Z542" i="2" s="1"/>
  <c r="W538" i="2"/>
  <c r="X538" i="2" s="1"/>
  <c r="Z538" i="2" s="1"/>
  <c r="W534" i="2"/>
  <c r="X534" i="2" s="1"/>
  <c r="Z534" i="2" s="1"/>
  <c r="W530" i="2"/>
  <c r="X530" i="2" s="1"/>
  <c r="Z530" i="2" s="1"/>
  <c r="W526" i="2"/>
  <c r="X526" i="2" s="1"/>
  <c r="Z526" i="2" s="1"/>
  <c r="W522" i="2"/>
  <c r="X522" i="2" s="1"/>
  <c r="Z522" i="2" s="1"/>
  <c r="W518" i="2"/>
  <c r="X518" i="2" s="1"/>
  <c r="Z518" i="2" s="1"/>
  <c r="W514" i="2"/>
  <c r="X514" i="2" s="1"/>
  <c r="Z514" i="2" s="1"/>
  <c r="W510" i="2"/>
  <c r="X510" i="2" s="1"/>
  <c r="Z510" i="2" s="1"/>
  <c r="W506" i="2"/>
  <c r="X506" i="2" s="1"/>
  <c r="Z506" i="2" s="1"/>
  <c r="W502" i="2"/>
  <c r="X502" i="2" s="1"/>
  <c r="Z502" i="2" s="1"/>
  <c r="W498" i="2"/>
  <c r="X498" i="2" s="1"/>
  <c r="Z498" i="2" s="1"/>
  <c r="W990" i="2"/>
  <c r="X990" i="2" s="1"/>
  <c r="Z990" i="2" s="1"/>
  <c r="W974" i="2"/>
  <c r="X974" i="2" s="1"/>
  <c r="Z974" i="2" s="1"/>
  <c r="W958" i="2"/>
  <c r="X958" i="2" s="1"/>
  <c r="Z958" i="2" s="1"/>
  <c r="W942" i="2"/>
  <c r="X942" i="2" s="1"/>
  <c r="Z942" i="2" s="1"/>
  <c r="W926" i="2"/>
  <c r="X926" i="2" s="1"/>
  <c r="Z926" i="2" s="1"/>
  <c r="W914" i="2"/>
  <c r="X914" i="2" s="1"/>
  <c r="Z914" i="2" s="1"/>
  <c r="W898" i="2"/>
  <c r="X898" i="2" s="1"/>
  <c r="Z898" i="2" s="1"/>
  <c r="W882" i="2"/>
  <c r="X882" i="2" s="1"/>
  <c r="Z882" i="2" s="1"/>
  <c r="W874" i="2"/>
  <c r="X874" i="2" s="1"/>
  <c r="Z874" i="2" s="1"/>
  <c r="W858" i="2"/>
  <c r="X858" i="2" s="1"/>
  <c r="Z858" i="2" s="1"/>
  <c r="W850" i="2"/>
  <c r="X850" i="2" s="1"/>
  <c r="Z850" i="2" s="1"/>
  <c r="W842" i="2"/>
  <c r="X842" i="2" s="1"/>
  <c r="Z842" i="2" s="1"/>
  <c r="W834" i="2"/>
  <c r="X834" i="2" s="1"/>
  <c r="Z834" i="2" s="1"/>
  <c r="W826" i="2"/>
  <c r="X826" i="2" s="1"/>
  <c r="Z826" i="2" s="1"/>
  <c r="W818" i="2"/>
  <c r="X818" i="2" s="1"/>
  <c r="Z818" i="2" s="1"/>
  <c r="W810" i="2"/>
  <c r="X810" i="2" s="1"/>
  <c r="Z810" i="2" s="1"/>
  <c r="W802" i="2"/>
  <c r="X802" i="2" s="1"/>
  <c r="Z802" i="2" s="1"/>
  <c r="W794" i="2"/>
  <c r="X794" i="2" s="1"/>
  <c r="Z794" i="2" s="1"/>
  <c r="W778" i="2"/>
  <c r="X778" i="2" s="1"/>
  <c r="Z778" i="2" s="1"/>
  <c r="W1001" i="2"/>
  <c r="X1001" i="2" s="1"/>
  <c r="Z1001" i="2" s="1"/>
  <c r="W997" i="2"/>
  <c r="X997" i="2" s="1"/>
  <c r="Z997" i="2" s="1"/>
  <c r="W993" i="2"/>
  <c r="X993" i="2" s="1"/>
  <c r="Z993" i="2" s="1"/>
  <c r="W989" i="2"/>
  <c r="X989" i="2" s="1"/>
  <c r="Z989" i="2" s="1"/>
  <c r="W985" i="2"/>
  <c r="X985" i="2" s="1"/>
  <c r="Z985" i="2" s="1"/>
  <c r="W981" i="2"/>
  <c r="X981" i="2" s="1"/>
  <c r="Z981" i="2" s="1"/>
  <c r="W977" i="2"/>
  <c r="X977" i="2" s="1"/>
  <c r="Z977" i="2" s="1"/>
  <c r="W973" i="2"/>
  <c r="X973" i="2" s="1"/>
  <c r="Z973" i="2" s="1"/>
  <c r="W969" i="2"/>
  <c r="X969" i="2" s="1"/>
  <c r="Z969" i="2" s="1"/>
  <c r="W965" i="2"/>
  <c r="X965" i="2" s="1"/>
  <c r="Z965" i="2" s="1"/>
  <c r="W961" i="2"/>
  <c r="X961" i="2" s="1"/>
  <c r="Z961" i="2" s="1"/>
  <c r="W957" i="2"/>
  <c r="X957" i="2" s="1"/>
  <c r="Z957" i="2" s="1"/>
  <c r="W953" i="2"/>
  <c r="X953" i="2" s="1"/>
  <c r="Z953" i="2" s="1"/>
  <c r="W949" i="2"/>
  <c r="X949" i="2" s="1"/>
  <c r="Z949" i="2" s="1"/>
  <c r="W945" i="2"/>
  <c r="X945" i="2" s="1"/>
  <c r="Z945" i="2" s="1"/>
  <c r="W941" i="2"/>
  <c r="X941" i="2" s="1"/>
  <c r="Z941" i="2" s="1"/>
  <c r="W937" i="2"/>
  <c r="X937" i="2" s="1"/>
  <c r="Z937" i="2" s="1"/>
  <c r="W933" i="2"/>
  <c r="X933" i="2" s="1"/>
  <c r="Z933" i="2" s="1"/>
  <c r="W929" i="2"/>
  <c r="X929" i="2" s="1"/>
  <c r="Z929" i="2" s="1"/>
  <c r="W925" i="2"/>
  <c r="X925" i="2" s="1"/>
  <c r="Z925" i="2" s="1"/>
  <c r="W921" i="2"/>
  <c r="X921" i="2" s="1"/>
  <c r="Z921" i="2" s="1"/>
  <c r="W917" i="2"/>
  <c r="X917" i="2" s="1"/>
  <c r="Z917" i="2" s="1"/>
  <c r="W913" i="2"/>
  <c r="X913" i="2" s="1"/>
  <c r="Z913" i="2" s="1"/>
  <c r="W909" i="2"/>
  <c r="X909" i="2" s="1"/>
  <c r="Z909" i="2" s="1"/>
  <c r="W905" i="2"/>
  <c r="X905" i="2" s="1"/>
  <c r="Z905" i="2" s="1"/>
  <c r="W901" i="2"/>
  <c r="X901" i="2" s="1"/>
  <c r="Z901" i="2" s="1"/>
  <c r="W897" i="2"/>
  <c r="X897" i="2" s="1"/>
  <c r="Z897" i="2" s="1"/>
  <c r="W893" i="2"/>
  <c r="X893" i="2" s="1"/>
  <c r="Z893" i="2" s="1"/>
  <c r="W889" i="2"/>
  <c r="X889" i="2" s="1"/>
  <c r="Z889" i="2" s="1"/>
  <c r="W885" i="2"/>
  <c r="X885" i="2" s="1"/>
  <c r="Z885" i="2" s="1"/>
  <c r="W881" i="2"/>
  <c r="X881" i="2" s="1"/>
  <c r="Z881" i="2" s="1"/>
  <c r="W877" i="2"/>
  <c r="X877" i="2" s="1"/>
  <c r="Z877" i="2" s="1"/>
  <c r="W873" i="2"/>
  <c r="X873" i="2" s="1"/>
  <c r="Z873" i="2" s="1"/>
  <c r="W869" i="2"/>
  <c r="X869" i="2" s="1"/>
  <c r="Z869" i="2" s="1"/>
  <c r="W865" i="2"/>
  <c r="X865" i="2" s="1"/>
  <c r="Z865" i="2" s="1"/>
  <c r="W861" i="2"/>
  <c r="X861" i="2" s="1"/>
  <c r="Z861" i="2" s="1"/>
  <c r="W857" i="2"/>
  <c r="X857" i="2" s="1"/>
  <c r="Z857" i="2" s="1"/>
  <c r="W853" i="2"/>
  <c r="X853" i="2" s="1"/>
  <c r="Z853" i="2" s="1"/>
  <c r="W849" i="2"/>
  <c r="X849" i="2" s="1"/>
  <c r="Z849" i="2" s="1"/>
  <c r="W845" i="2"/>
  <c r="X845" i="2" s="1"/>
  <c r="Z845" i="2" s="1"/>
  <c r="W841" i="2"/>
  <c r="X841" i="2" s="1"/>
  <c r="Z841" i="2" s="1"/>
  <c r="W837" i="2"/>
  <c r="X837" i="2" s="1"/>
  <c r="Z837" i="2" s="1"/>
  <c r="W833" i="2"/>
  <c r="X833" i="2" s="1"/>
  <c r="Z833" i="2" s="1"/>
  <c r="W829" i="2"/>
  <c r="X829" i="2" s="1"/>
  <c r="Z829" i="2" s="1"/>
  <c r="W825" i="2"/>
  <c r="X825" i="2" s="1"/>
  <c r="Z825" i="2" s="1"/>
  <c r="W821" i="2"/>
  <c r="X821" i="2" s="1"/>
  <c r="Z821" i="2" s="1"/>
  <c r="W817" i="2"/>
  <c r="X817" i="2" s="1"/>
  <c r="Z817" i="2" s="1"/>
  <c r="W813" i="2"/>
  <c r="X813" i="2" s="1"/>
  <c r="Z813" i="2" s="1"/>
  <c r="W809" i="2"/>
  <c r="X809" i="2" s="1"/>
  <c r="Z809" i="2" s="1"/>
  <c r="W805" i="2"/>
  <c r="X805" i="2" s="1"/>
  <c r="Z805" i="2" s="1"/>
  <c r="W801" i="2"/>
  <c r="X801" i="2" s="1"/>
  <c r="Z801" i="2" s="1"/>
  <c r="W797" i="2"/>
  <c r="X797" i="2" s="1"/>
  <c r="Z797" i="2" s="1"/>
  <c r="W793" i="2"/>
  <c r="X793" i="2" s="1"/>
  <c r="Z793" i="2" s="1"/>
  <c r="W789" i="2"/>
  <c r="X789" i="2" s="1"/>
  <c r="Z789" i="2" s="1"/>
  <c r="W785" i="2"/>
  <c r="X785" i="2" s="1"/>
  <c r="Z785" i="2" s="1"/>
  <c r="W781" i="2"/>
  <c r="X781" i="2" s="1"/>
  <c r="Z781" i="2" s="1"/>
  <c r="W777" i="2"/>
  <c r="X777" i="2" s="1"/>
  <c r="Z777" i="2" s="1"/>
  <c r="W773" i="2"/>
  <c r="X773" i="2" s="1"/>
  <c r="Z773" i="2" s="1"/>
  <c r="W769" i="2"/>
  <c r="X769" i="2" s="1"/>
  <c r="Z769" i="2" s="1"/>
  <c r="W765" i="2"/>
  <c r="X765" i="2" s="1"/>
  <c r="Z765" i="2" s="1"/>
  <c r="W761" i="2"/>
  <c r="X761" i="2" s="1"/>
  <c r="Z761" i="2" s="1"/>
  <c r="W757" i="2"/>
  <c r="X757" i="2" s="1"/>
  <c r="Z757" i="2" s="1"/>
  <c r="W753" i="2"/>
  <c r="X753" i="2" s="1"/>
  <c r="Z753" i="2" s="1"/>
  <c r="W749" i="2"/>
  <c r="X749" i="2" s="1"/>
  <c r="Z749" i="2" s="1"/>
  <c r="W745" i="2"/>
  <c r="X745" i="2" s="1"/>
  <c r="Z745" i="2" s="1"/>
  <c r="W741" i="2"/>
  <c r="X741" i="2" s="1"/>
  <c r="Z741" i="2" s="1"/>
  <c r="W737" i="2"/>
  <c r="X737" i="2" s="1"/>
  <c r="Z737" i="2" s="1"/>
  <c r="W733" i="2"/>
  <c r="X733" i="2" s="1"/>
  <c r="Z733" i="2" s="1"/>
  <c r="W729" i="2"/>
  <c r="X729" i="2" s="1"/>
  <c r="Z729" i="2" s="1"/>
  <c r="W725" i="2"/>
  <c r="X725" i="2" s="1"/>
  <c r="Z725" i="2" s="1"/>
  <c r="W721" i="2"/>
  <c r="X721" i="2" s="1"/>
  <c r="Z721" i="2" s="1"/>
  <c r="W717" i="2"/>
  <c r="X717" i="2" s="1"/>
  <c r="Z717" i="2" s="1"/>
  <c r="W713" i="2"/>
  <c r="X713" i="2" s="1"/>
  <c r="Z713" i="2" s="1"/>
  <c r="W709" i="2"/>
  <c r="X709" i="2" s="1"/>
  <c r="Z709" i="2" s="1"/>
  <c r="W705" i="2"/>
  <c r="X705" i="2" s="1"/>
  <c r="Z705" i="2" s="1"/>
  <c r="W701" i="2"/>
  <c r="X701" i="2" s="1"/>
  <c r="Z701" i="2" s="1"/>
  <c r="W697" i="2"/>
  <c r="X697" i="2" s="1"/>
  <c r="Z697" i="2" s="1"/>
  <c r="W693" i="2"/>
  <c r="X693" i="2" s="1"/>
  <c r="Z693" i="2" s="1"/>
  <c r="W689" i="2"/>
  <c r="X689" i="2" s="1"/>
  <c r="Z689" i="2" s="1"/>
  <c r="X685" i="2"/>
  <c r="Z685" i="2" s="1"/>
  <c r="W685" i="2"/>
  <c r="W681" i="2"/>
  <c r="X681" i="2" s="1"/>
  <c r="Z681" i="2" s="1"/>
  <c r="W677" i="2"/>
  <c r="X677" i="2" s="1"/>
  <c r="Z677" i="2" s="1"/>
  <c r="W673" i="2"/>
  <c r="X673" i="2" s="1"/>
  <c r="Z673" i="2" s="1"/>
  <c r="W669" i="2"/>
  <c r="X669" i="2" s="1"/>
  <c r="Z669" i="2" s="1"/>
  <c r="W665" i="2"/>
  <c r="X665" i="2" s="1"/>
  <c r="Z665" i="2" s="1"/>
  <c r="W661" i="2"/>
  <c r="X661" i="2" s="1"/>
  <c r="Z661" i="2" s="1"/>
  <c r="W657" i="2"/>
  <c r="X657" i="2" s="1"/>
  <c r="Z657" i="2" s="1"/>
  <c r="W653" i="2"/>
  <c r="X653" i="2" s="1"/>
  <c r="Z653" i="2" s="1"/>
  <c r="W649" i="2"/>
  <c r="X649" i="2" s="1"/>
  <c r="Z649" i="2" s="1"/>
  <c r="W645" i="2"/>
  <c r="X645" i="2" s="1"/>
  <c r="Z645" i="2" s="1"/>
  <c r="W641" i="2"/>
  <c r="X641" i="2" s="1"/>
  <c r="Z641" i="2" s="1"/>
  <c r="W637" i="2"/>
  <c r="X637" i="2" s="1"/>
  <c r="Z637" i="2" s="1"/>
  <c r="W633" i="2"/>
  <c r="X633" i="2" s="1"/>
  <c r="Z633" i="2" s="1"/>
  <c r="W629" i="2"/>
  <c r="X629" i="2" s="1"/>
  <c r="Z629" i="2" s="1"/>
  <c r="W625" i="2"/>
  <c r="X625" i="2" s="1"/>
  <c r="Z625" i="2" s="1"/>
  <c r="W621" i="2"/>
  <c r="X621" i="2" s="1"/>
  <c r="Z621" i="2" s="1"/>
  <c r="W617" i="2"/>
  <c r="X617" i="2" s="1"/>
  <c r="Z617" i="2" s="1"/>
  <c r="W613" i="2"/>
  <c r="X613" i="2" s="1"/>
  <c r="Z613" i="2" s="1"/>
  <c r="W609" i="2"/>
  <c r="X609" i="2" s="1"/>
  <c r="Z609" i="2" s="1"/>
  <c r="W605" i="2"/>
  <c r="X605" i="2" s="1"/>
  <c r="Z605" i="2" s="1"/>
  <c r="W601" i="2"/>
  <c r="X601" i="2" s="1"/>
  <c r="Z601" i="2" s="1"/>
  <c r="W597" i="2"/>
  <c r="X597" i="2" s="1"/>
  <c r="Z597" i="2" s="1"/>
  <c r="W593" i="2"/>
  <c r="X593" i="2" s="1"/>
  <c r="Z593" i="2" s="1"/>
  <c r="W589" i="2"/>
  <c r="X589" i="2" s="1"/>
  <c r="Z589" i="2" s="1"/>
  <c r="W585" i="2"/>
  <c r="X585" i="2" s="1"/>
  <c r="Z585" i="2" s="1"/>
  <c r="W581" i="2"/>
  <c r="X581" i="2" s="1"/>
  <c r="Z581" i="2" s="1"/>
  <c r="W577" i="2"/>
  <c r="X577" i="2" s="1"/>
  <c r="Z577" i="2" s="1"/>
  <c r="W573" i="2"/>
  <c r="X573" i="2" s="1"/>
  <c r="Z573" i="2" s="1"/>
  <c r="W569" i="2"/>
  <c r="X569" i="2" s="1"/>
  <c r="Z569" i="2" s="1"/>
  <c r="W565" i="2"/>
  <c r="X565" i="2" s="1"/>
  <c r="Z565" i="2" s="1"/>
  <c r="W561" i="2"/>
  <c r="X561" i="2" s="1"/>
  <c r="Z561" i="2" s="1"/>
  <c r="W557" i="2"/>
  <c r="X557" i="2" s="1"/>
  <c r="Z557" i="2" s="1"/>
  <c r="W553" i="2"/>
  <c r="X553" i="2" s="1"/>
  <c r="Z553" i="2" s="1"/>
  <c r="W549" i="2"/>
  <c r="X549" i="2" s="1"/>
  <c r="Z549" i="2" s="1"/>
  <c r="W545" i="2"/>
  <c r="X545" i="2" s="1"/>
  <c r="Z545" i="2" s="1"/>
  <c r="W541" i="2"/>
  <c r="X541" i="2" s="1"/>
  <c r="Z541" i="2" s="1"/>
  <c r="W537" i="2"/>
  <c r="X537" i="2" s="1"/>
  <c r="Z537" i="2" s="1"/>
  <c r="W533" i="2"/>
  <c r="X533" i="2" s="1"/>
  <c r="Z533" i="2" s="1"/>
  <c r="W529" i="2"/>
  <c r="X529" i="2" s="1"/>
  <c r="Z529" i="2" s="1"/>
  <c r="W525" i="2"/>
  <c r="X525" i="2" s="1"/>
  <c r="Z525" i="2" s="1"/>
  <c r="W521" i="2"/>
  <c r="X521" i="2" s="1"/>
  <c r="Z521" i="2" s="1"/>
  <c r="W517" i="2"/>
  <c r="X517" i="2" s="1"/>
  <c r="Z517" i="2" s="1"/>
  <c r="W513" i="2"/>
  <c r="X513" i="2" s="1"/>
  <c r="Z513" i="2" s="1"/>
  <c r="W509" i="2"/>
  <c r="X509" i="2" s="1"/>
  <c r="Z509" i="2" s="1"/>
  <c r="W505" i="2"/>
  <c r="X505" i="2" s="1"/>
  <c r="Z505" i="2" s="1"/>
  <c r="W501" i="2"/>
  <c r="X501" i="2" s="1"/>
  <c r="Z501" i="2" s="1"/>
  <c r="W497" i="2"/>
  <c r="X497" i="2" s="1"/>
  <c r="Z497" i="2" s="1"/>
  <c r="W493" i="2"/>
  <c r="X493" i="2" s="1"/>
  <c r="Z493" i="2" s="1"/>
  <c r="W489" i="2"/>
  <c r="X489" i="2" s="1"/>
  <c r="Z489" i="2" s="1"/>
  <c r="W485" i="2"/>
  <c r="X485" i="2" s="1"/>
  <c r="Z485" i="2" s="1"/>
  <c r="W481" i="2"/>
  <c r="X481" i="2" s="1"/>
  <c r="Z481" i="2" s="1"/>
  <c r="W477" i="2"/>
  <c r="X477" i="2" s="1"/>
  <c r="Z477" i="2" s="1"/>
  <c r="W998" i="2"/>
  <c r="X998" i="2" s="1"/>
  <c r="Z998" i="2" s="1"/>
  <c r="W982" i="2"/>
  <c r="X982" i="2" s="1"/>
  <c r="Z982" i="2" s="1"/>
  <c r="W970" i="2"/>
  <c r="X970" i="2" s="1"/>
  <c r="Z970" i="2" s="1"/>
  <c r="W950" i="2"/>
  <c r="X950" i="2" s="1"/>
  <c r="Z950" i="2" s="1"/>
  <c r="W934" i="2"/>
  <c r="X934" i="2" s="1"/>
  <c r="Z934" i="2" s="1"/>
  <c r="W918" i="2"/>
  <c r="X918" i="2" s="1"/>
  <c r="Z918" i="2" s="1"/>
  <c r="W906" i="2"/>
  <c r="X906" i="2" s="1"/>
  <c r="Z906" i="2" s="1"/>
  <c r="W886" i="2"/>
  <c r="X886" i="2" s="1"/>
  <c r="Z886" i="2" s="1"/>
  <c r="W870" i="2"/>
  <c r="X870" i="2" s="1"/>
  <c r="Z870" i="2" s="1"/>
  <c r="W1000" i="2"/>
  <c r="X1000" i="2" s="1"/>
  <c r="Z1000" i="2" s="1"/>
  <c r="W996" i="2"/>
  <c r="X996" i="2" s="1"/>
  <c r="Z996" i="2" s="1"/>
  <c r="W988" i="2"/>
  <c r="X988" i="2" s="1"/>
  <c r="Z988" i="2" s="1"/>
  <c r="W980" i="2"/>
  <c r="X980" i="2" s="1"/>
  <c r="Z980" i="2" s="1"/>
  <c r="W972" i="2"/>
  <c r="X972" i="2" s="1"/>
  <c r="Z972" i="2" s="1"/>
  <c r="W964" i="2"/>
  <c r="X964" i="2" s="1"/>
  <c r="Z964" i="2" s="1"/>
  <c r="W956" i="2"/>
  <c r="X956" i="2" s="1"/>
  <c r="Z956" i="2" s="1"/>
  <c r="W948" i="2"/>
  <c r="X948" i="2" s="1"/>
  <c r="Z948" i="2" s="1"/>
  <c r="W940" i="2"/>
  <c r="X940" i="2" s="1"/>
  <c r="Z940" i="2" s="1"/>
  <c r="W932" i="2"/>
  <c r="X932" i="2" s="1"/>
  <c r="Z932" i="2" s="1"/>
  <c r="W924" i="2"/>
  <c r="X924" i="2" s="1"/>
  <c r="Z924" i="2" s="1"/>
  <c r="W916" i="2"/>
  <c r="X916" i="2" s="1"/>
  <c r="Z916" i="2" s="1"/>
  <c r="W908" i="2"/>
  <c r="X908" i="2" s="1"/>
  <c r="Z908" i="2" s="1"/>
  <c r="W900" i="2"/>
  <c r="X900" i="2" s="1"/>
  <c r="Z900" i="2" s="1"/>
  <c r="W892" i="2"/>
  <c r="X892" i="2" s="1"/>
  <c r="Z892" i="2" s="1"/>
  <c r="W884" i="2"/>
  <c r="X884" i="2" s="1"/>
  <c r="Z884" i="2" s="1"/>
  <c r="W876" i="2"/>
  <c r="X876" i="2" s="1"/>
  <c r="Z876" i="2" s="1"/>
  <c r="W868" i="2"/>
  <c r="X868" i="2" s="1"/>
  <c r="Z868" i="2" s="1"/>
  <c r="W860" i="2"/>
  <c r="X860" i="2" s="1"/>
  <c r="Z860" i="2" s="1"/>
  <c r="W852" i="2"/>
  <c r="X852" i="2" s="1"/>
  <c r="Z852" i="2" s="1"/>
  <c r="W844" i="2"/>
  <c r="X844" i="2" s="1"/>
  <c r="Z844" i="2" s="1"/>
  <c r="W836" i="2"/>
  <c r="X836" i="2" s="1"/>
  <c r="Z836" i="2" s="1"/>
  <c r="W828" i="2"/>
  <c r="X828" i="2" s="1"/>
  <c r="Z828" i="2" s="1"/>
  <c r="W820" i="2"/>
  <c r="X820" i="2" s="1"/>
  <c r="Z820" i="2" s="1"/>
  <c r="W812" i="2"/>
  <c r="X812" i="2" s="1"/>
  <c r="Z812" i="2" s="1"/>
  <c r="W804" i="2"/>
  <c r="X804" i="2" s="1"/>
  <c r="Z804" i="2" s="1"/>
  <c r="W796" i="2"/>
  <c r="X796" i="2" s="1"/>
  <c r="Z796" i="2" s="1"/>
  <c r="W788" i="2"/>
  <c r="X788" i="2" s="1"/>
  <c r="Z788" i="2" s="1"/>
  <c r="W780" i="2"/>
  <c r="X780" i="2" s="1"/>
  <c r="Z780" i="2" s="1"/>
  <c r="W772" i="2"/>
  <c r="X772" i="2" s="1"/>
  <c r="Z772" i="2" s="1"/>
  <c r="W764" i="2"/>
  <c r="X764" i="2" s="1"/>
  <c r="Z764" i="2" s="1"/>
  <c r="W756" i="2"/>
  <c r="X756" i="2" s="1"/>
  <c r="Z756" i="2" s="1"/>
  <c r="X748" i="2"/>
  <c r="Z748" i="2" s="1"/>
  <c r="W748" i="2"/>
  <c r="W740" i="2"/>
  <c r="X740" i="2" s="1"/>
  <c r="Z740" i="2" s="1"/>
  <c r="W732" i="2"/>
  <c r="X732" i="2" s="1"/>
  <c r="Z732" i="2" s="1"/>
  <c r="W724" i="2"/>
  <c r="X724" i="2" s="1"/>
  <c r="Z724" i="2" s="1"/>
  <c r="W716" i="2"/>
  <c r="X716" i="2" s="1"/>
  <c r="Z716" i="2" s="1"/>
  <c r="W708" i="2"/>
  <c r="X708" i="2" s="1"/>
  <c r="Z708" i="2" s="1"/>
  <c r="W700" i="2"/>
  <c r="X700" i="2" s="1"/>
  <c r="Z700" i="2" s="1"/>
  <c r="W692" i="2"/>
  <c r="X692" i="2" s="1"/>
  <c r="Z692" i="2" s="1"/>
  <c r="W684" i="2"/>
  <c r="X684" i="2" s="1"/>
  <c r="Z684" i="2" s="1"/>
  <c r="W676" i="2"/>
  <c r="X676" i="2" s="1"/>
  <c r="Z676" i="2" s="1"/>
  <c r="W668" i="2"/>
  <c r="X668" i="2" s="1"/>
  <c r="Z668" i="2" s="1"/>
  <c r="W660" i="2"/>
  <c r="X660" i="2" s="1"/>
  <c r="Z660" i="2" s="1"/>
  <c r="W652" i="2"/>
  <c r="X652" i="2" s="1"/>
  <c r="Z652" i="2" s="1"/>
  <c r="W648" i="2"/>
  <c r="X648" i="2" s="1"/>
  <c r="Z648" i="2" s="1"/>
  <c r="W644" i="2"/>
  <c r="X644" i="2" s="1"/>
  <c r="Z644" i="2" s="1"/>
  <c r="W640" i="2"/>
  <c r="X640" i="2" s="1"/>
  <c r="Z640" i="2" s="1"/>
  <c r="W636" i="2"/>
  <c r="X636" i="2" s="1"/>
  <c r="Z636" i="2" s="1"/>
  <c r="W632" i="2"/>
  <c r="X632" i="2" s="1"/>
  <c r="Z632" i="2" s="1"/>
  <c r="X628" i="2"/>
  <c r="Z628" i="2" s="1"/>
  <c r="W628" i="2"/>
  <c r="W624" i="2"/>
  <c r="X624" i="2" s="1"/>
  <c r="Z624" i="2" s="1"/>
  <c r="W620" i="2"/>
  <c r="X620" i="2" s="1"/>
  <c r="Z620" i="2" s="1"/>
  <c r="W612" i="2"/>
  <c r="X612" i="2" s="1"/>
  <c r="Z612" i="2" s="1"/>
  <c r="W608" i="2"/>
  <c r="X608" i="2" s="1"/>
  <c r="Z608" i="2" s="1"/>
  <c r="W604" i="2"/>
  <c r="X604" i="2" s="1"/>
  <c r="Z604" i="2" s="1"/>
  <c r="W600" i="2"/>
  <c r="X600" i="2" s="1"/>
  <c r="Z600" i="2" s="1"/>
  <c r="W596" i="2"/>
  <c r="X596" i="2" s="1"/>
  <c r="Z596" i="2" s="1"/>
  <c r="W592" i="2"/>
  <c r="X592" i="2" s="1"/>
  <c r="Z592" i="2" s="1"/>
  <c r="W588" i="2"/>
  <c r="X588" i="2" s="1"/>
  <c r="Z588" i="2" s="1"/>
  <c r="W584" i="2"/>
  <c r="X584" i="2" s="1"/>
  <c r="Z584" i="2" s="1"/>
  <c r="W580" i="2"/>
  <c r="X580" i="2" s="1"/>
  <c r="Z580" i="2" s="1"/>
  <c r="W576" i="2"/>
  <c r="X576" i="2" s="1"/>
  <c r="Z576" i="2" s="1"/>
  <c r="W572" i="2"/>
  <c r="X572" i="2" s="1"/>
  <c r="Z572" i="2" s="1"/>
  <c r="W568" i="2"/>
  <c r="X568" i="2" s="1"/>
  <c r="Z568" i="2" s="1"/>
  <c r="W564" i="2"/>
  <c r="X564" i="2" s="1"/>
  <c r="Z564" i="2" s="1"/>
  <c r="W560" i="2"/>
  <c r="X560" i="2" s="1"/>
  <c r="Z560" i="2" s="1"/>
  <c r="W556" i="2"/>
  <c r="X556" i="2" s="1"/>
  <c r="Z556" i="2" s="1"/>
  <c r="W552" i="2"/>
  <c r="X552" i="2" s="1"/>
  <c r="Z552" i="2" s="1"/>
  <c r="W548" i="2"/>
  <c r="X548" i="2" s="1"/>
  <c r="Z548" i="2" s="1"/>
  <c r="W544" i="2"/>
  <c r="X544" i="2" s="1"/>
  <c r="Z544" i="2" s="1"/>
  <c r="W540" i="2"/>
  <c r="X540" i="2" s="1"/>
  <c r="Z540" i="2" s="1"/>
  <c r="W536" i="2"/>
  <c r="X536" i="2" s="1"/>
  <c r="Z536" i="2" s="1"/>
  <c r="W532" i="2"/>
  <c r="X532" i="2" s="1"/>
  <c r="Z532" i="2" s="1"/>
  <c r="W528" i="2"/>
  <c r="X528" i="2" s="1"/>
  <c r="Z528" i="2" s="1"/>
  <c r="W524" i="2"/>
  <c r="X524" i="2" s="1"/>
  <c r="Z524" i="2" s="1"/>
  <c r="W520" i="2"/>
  <c r="X520" i="2" s="1"/>
  <c r="Z520" i="2" s="1"/>
  <c r="W516" i="2"/>
  <c r="X516" i="2" s="1"/>
  <c r="Z516" i="2" s="1"/>
  <c r="W512" i="2"/>
  <c r="X512" i="2" s="1"/>
  <c r="Z512" i="2" s="1"/>
  <c r="W508" i="2"/>
  <c r="X508" i="2" s="1"/>
  <c r="Z508" i="2" s="1"/>
  <c r="W504" i="2"/>
  <c r="X504" i="2" s="1"/>
  <c r="Z504" i="2" s="1"/>
  <c r="W500" i="2"/>
  <c r="X500" i="2" s="1"/>
  <c r="Z500" i="2" s="1"/>
  <c r="W496" i="2"/>
  <c r="X496" i="2" s="1"/>
  <c r="Z496" i="2" s="1"/>
  <c r="W492" i="2"/>
  <c r="X492" i="2" s="1"/>
  <c r="Z492" i="2" s="1"/>
  <c r="W488" i="2"/>
  <c r="X488" i="2" s="1"/>
  <c r="Z488" i="2" s="1"/>
  <c r="W484" i="2"/>
  <c r="X484" i="2" s="1"/>
  <c r="Z484" i="2" s="1"/>
  <c r="W480" i="2"/>
  <c r="X480" i="2" s="1"/>
  <c r="Z480" i="2" s="1"/>
  <c r="W476" i="2"/>
  <c r="X476" i="2" s="1"/>
  <c r="Z476" i="2" s="1"/>
  <c r="W472" i="2"/>
  <c r="X472" i="2" s="1"/>
  <c r="Z472" i="2" s="1"/>
  <c r="W468" i="2"/>
  <c r="X468" i="2" s="1"/>
  <c r="Z468" i="2" s="1"/>
  <c r="X464" i="2"/>
  <c r="Z464" i="2" s="1"/>
  <c r="W464" i="2"/>
  <c r="W460" i="2"/>
  <c r="X460" i="2" s="1"/>
  <c r="Z460" i="2" s="1"/>
  <c r="W456" i="2"/>
  <c r="X456" i="2" s="1"/>
  <c r="Z456" i="2" s="1"/>
  <c r="W452" i="2"/>
  <c r="X452" i="2" s="1"/>
  <c r="Z452" i="2" s="1"/>
  <c r="W448" i="2"/>
  <c r="X448" i="2" s="1"/>
  <c r="Z448" i="2" s="1"/>
  <c r="W444" i="2"/>
  <c r="X444" i="2" s="1"/>
  <c r="Z444" i="2" s="1"/>
  <c r="W440" i="2"/>
  <c r="X440" i="2" s="1"/>
  <c r="Z440" i="2" s="1"/>
  <c r="W436" i="2"/>
  <c r="X436" i="2" s="1"/>
  <c r="Z436" i="2" s="1"/>
  <c r="W432" i="2"/>
  <c r="X432" i="2" s="1"/>
  <c r="Z432" i="2" s="1"/>
  <c r="W428" i="2"/>
  <c r="X428" i="2" s="1"/>
  <c r="Z428" i="2" s="1"/>
  <c r="W424" i="2"/>
  <c r="X424" i="2" s="1"/>
  <c r="Z424" i="2" s="1"/>
  <c r="W420" i="2"/>
  <c r="X420" i="2" s="1"/>
  <c r="Z420" i="2" s="1"/>
  <c r="W416" i="2"/>
  <c r="X416" i="2" s="1"/>
  <c r="Z416" i="2" s="1"/>
  <c r="W412" i="2"/>
  <c r="X412" i="2" s="1"/>
  <c r="Z412" i="2" s="1"/>
  <c r="W408" i="2"/>
  <c r="X408" i="2" s="1"/>
  <c r="Z408" i="2" s="1"/>
  <c r="W404" i="2"/>
  <c r="X404" i="2" s="1"/>
  <c r="Z404" i="2" s="1"/>
  <c r="W400" i="2"/>
  <c r="X400" i="2" s="1"/>
  <c r="Z400" i="2" s="1"/>
  <c r="W396" i="2"/>
  <c r="X396" i="2" s="1"/>
  <c r="Z396" i="2" s="1"/>
  <c r="W392" i="2"/>
  <c r="X392" i="2" s="1"/>
  <c r="Z392" i="2" s="1"/>
  <c r="W388" i="2"/>
  <c r="X388" i="2" s="1"/>
  <c r="Z388" i="2" s="1"/>
  <c r="W384" i="2"/>
  <c r="X384" i="2" s="1"/>
  <c r="Z384" i="2" s="1"/>
  <c r="W380" i="2"/>
  <c r="X380" i="2" s="1"/>
  <c r="Z380" i="2" s="1"/>
  <c r="W376" i="2"/>
  <c r="X376" i="2" s="1"/>
  <c r="Z376" i="2" s="1"/>
  <c r="W372" i="2"/>
  <c r="X372" i="2" s="1"/>
  <c r="Z372" i="2" s="1"/>
  <c r="W368" i="2"/>
  <c r="X368" i="2" s="1"/>
  <c r="Z368" i="2" s="1"/>
  <c r="W364" i="2"/>
  <c r="X364" i="2" s="1"/>
  <c r="Z364" i="2" s="1"/>
  <c r="X360" i="2"/>
  <c r="Z360" i="2" s="1"/>
  <c r="W360" i="2"/>
  <c r="W356" i="2"/>
  <c r="X356" i="2" s="1"/>
  <c r="Z356" i="2" s="1"/>
  <c r="W352" i="2"/>
  <c r="X352" i="2" s="1"/>
  <c r="Z352" i="2" s="1"/>
  <c r="W348" i="2"/>
  <c r="X348" i="2" s="1"/>
  <c r="Z348" i="2" s="1"/>
  <c r="W344" i="2"/>
  <c r="X344" i="2" s="1"/>
  <c r="Z344" i="2" s="1"/>
  <c r="W340" i="2"/>
  <c r="X340" i="2" s="1"/>
  <c r="Z340" i="2" s="1"/>
  <c r="W336" i="2"/>
  <c r="X336" i="2" s="1"/>
  <c r="Z336" i="2" s="1"/>
  <c r="W332" i="2"/>
  <c r="X332" i="2" s="1"/>
  <c r="Z332" i="2" s="1"/>
  <c r="W328" i="2"/>
  <c r="X328" i="2" s="1"/>
  <c r="Z328" i="2" s="1"/>
  <c r="W324" i="2"/>
  <c r="X324" i="2" s="1"/>
  <c r="Z324" i="2" s="1"/>
  <c r="W320" i="2"/>
  <c r="X320" i="2" s="1"/>
  <c r="Z320" i="2" s="1"/>
  <c r="W316" i="2"/>
  <c r="X316" i="2" s="1"/>
  <c r="Z316" i="2" s="1"/>
  <c r="W312" i="2"/>
  <c r="X312" i="2" s="1"/>
  <c r="Z312" i="2" s="1"/>
  <c r="W308" i="2"/>
  <c r="X308" i="2" s="1"/>
  <c r="Z308" i="2" s="1"/>
  <c r="W304" i="2"/>
  <c r="X304" i="2" s="1"/>
  <c r="Z304" i="2" s="1"/>
  <c r="W300" i="2"/>
  <c r="X300" i="2" s="1"/>
  <c r="Z300" i="2" s="1"/>
  <c r="W296" i="2"/>
  <c r="X296" i="2" s="1"/>
  <c r="Z296" i="2" s="1"/>
  <c r="W292" i="2"/>
  <c r="X292" i="2" s="1"/>
  <c r="Z292" i="2" s="1"/>
  <c r="W288" i="2"/>
  <c r="X288" i="2" s="1"/>
  <c r="Z288" i="2" s="1"/>
  <c r="W1002" i="2"/>
  <c r="X1002" i="2" s="1"/>
  <c r="Z1002" i="2" s="1"/>
  <c r="W986" i="2"/>
  <c r="X986" i="2" s="1"/>
  <c r="Z986" i="2" s="1"/>
  <c r="W966" i="2"/>
  <c r="X966" i="2" s="1"/>
  <c r="Z966" i="2" s="1"/>
  <c r="W954" i="2"/>
  <c r="X954" i="2" s="1"/>
  <c r="Z954" i="2" s="1"/>
  <c r="W938" i="2"/>
  <c r="X938" i="2" s="1"/>
  <c r="Z938" i="2" s="1"/>
  <c r="W922" i="2"/>
  <c r="X922" i="2" s="1"/>
  <c r="Z922" i="2" s="1"/>
  <c r="W902" i="2"/>
  <c r="X902" i="2" s="1"/>
  <c r="Z902" i="2" s="1"/>
  <c r="W890" i="2"/>
  <c r="X890" i="2" s="1"/>
  <c r="Z890" i="2" s="1"/>
  <c r="W862" i="2"/>
  <c r="X862" i="2" s="1"/>
  <c r="Z862" i="2" s="1"/>
  <c r="W992" i="2"/>
  <c r="X992" i="2" s="1"/>
  <c r="Z992" i="2" s="1"/>
  <c r="W984" i="2"/>
  <c r="X984" i="2" s="1"/>
  <c r="Z984" i="2" s="1"/>
  <c r="W976" i="2"/>
  <c r="X976" i="2" s="1"/>
  <c r="Z976" i="2" s="1"/>
  <c r="W968" i="2"/>
  <c r="X968" i="2" s="1"/>
  <c r="Z968" i="2" s="1"/>
  <c r="W960" i="2"/>
  <c r="X960" i="2" s="1"/>
  <c r="Z960" i="2" s="1"/>
  <c r="W952" i="2"/>
  <c r="X952" i="2" s="1"/>
  <c r="Z952" i="2" s="1"/>
  <c r="W944" i="2"/>
  <c r="X944" i="2" s="1"/>
  <c r="Z944" i="2" s="1"/>
  <c r="W936" i="2"/>
  <c r="X936" i="2" s="1"/>
  <c r="Z936" i="2" s="1"/>
  <c r="W928" i="2"/>
  <c r="X928" i="2" s="1"/>
  <c r="Z928" i="2" s="1"/>
  <c r="W920" i="2"/>
  <c r="X920" i="2" s="1"/>
  <c r="Z920" i="2" s="1"/>
  <c r="W912" i="2"/>
  <c r="X912" i="2" s="1"/>
  <c r="Z912" i="2" s="1"/>
  <c r="W904" i="2"/>
  <c r="X904" i="2" s="1"/>
  <c r="Z904" i="2" s="1"/>
  <c r="W896" i="2"/>
  <c r="X896" i="2" s="1"/>
  <c r="Z896" i="2" s="1"/>
  <c r="W888" i="2"/>
  <c r="X888" i="2" s="1"/>
  <c r="Z888" i="2" s="1"/>
  <c r="W880" i="2"/>
  <c r="X880" i="2" s="1"/>
  <c r="Z880" i="2" s="1"/>
  <c r="W872" i="2"/>
  <c r="X872" i="2" s="1"/>
  <c r="Z872" i="2" s="1"/>
  <c r="W864" i="2"/>
  <c r="X864" i="2" s="1"/>
  <c r="Z864" i="2" s="1"/>
  <c r="W856" i="2"/>
  <c r="X856" i="2" s="1"/>
  <c r="Z856" i="2" s="1"/>
  <c r="W848" i="2"/>
  <c r="X848" i="2" s="1"/>
  <c r="Z848" i="2" s="1"/>
  <c r="W840" i="2"/>
  <c r="X840" i="2" s="1"/>
  <c r="Z840" i="2" s="1"/>
  <c r="W832" i="2"/>
  <c r="X832" i="2" s="1"/>
  <c r="Z832" i="2" s="1"/>
  <c r="W824" i="2"/>
  <c r="X824" i="2" s="1"/>
  <c r="Z824" i="2" s="1"/>
  <c r="W816" i="2"/>
  <c r="X816" i="2" s="1"/>
  <c r="Z816" i="2" s="1"/>
  <c r="W808" i="2"/>
  <c r="X808" i="2" s="1"/>
  <c r="Z808" i="2" s="1"/>
  <c r="W800" i="2"/>
  <c r="X800" i="2" s="1"/>
  <c r="Z800" i="2" s="1"/>
  <c r="W792" i="2"/>
  <c r="X792" i="2" s="1"/>
  <c r="Z792" i="2" s="1"/>
  <c r="W784" i="2"/>
  <c r="X784" i="2" s="1"/>
  <c r="Z784" i="2" s="1"/>
  <c r="W776" i="2"/>
  <c r="X776" i="2" s="1"/>
  <c r="Z776" i="2" s="1"/>
  <c r="W768" i="2"/>
  <c r="X768" i="2" s="1"/>
  <c r="Z768" i="2" s="1"/>
  <c r="W760" i="2"/>
  <c r="X760" i="2" s="1"/>
  <c r="Z760" i="2" s="1"/>
  <c r="W752" i="2"/>
  <c r="X752" i="2" s="1"/>
  <c r="Z752" i="2" s="1"/>
  <c r="W744" i="2"/>
  <c r="X744" i="2" s="1"/>
  <c r="Z744" i="2" s="1"/>
  <c r="W736" i="2"/>
  <c r="X736" i="2" s="1"/>
  <c r="Z736" i="2" s="1"/>
  <c r="W728" i="2"/>
  <c r="X728" i="2" s="1"/>
  <c r="Z728" i="2" s="1"/>
  <c r="W720" i="2"/>
  <c r="X720" i="2" s="1"/>
  <c r="Z720" i="2" s="1"/>
  <c r="W712" i="2"/>
  <c r="X712" i="2" s="1"/>
  <c r="Z712" i="2" s="1"/>
  <c r="W704" i="2"/>
  <c r="X704" i="2" s="1"/>
  <c r="Z704" i="2" s="1"/>
  <c r="W696" i="2"/>
  <c r="X696" i="2" s="1"/>
  <c r="Z696" i="2" s="1"/>
  <c r="W688" i="2"/>
  <c r="X688" i="2" s="1"/>
  <c r="Z688" i="2" s="1"/>
  <c r="W680" i="2"/>
  <c r="X680" i="2" s="1"/>
  <c r="Z680" i="2" s="1"/>
  <c r="W672" i="2"/>
  <c r="X672" i="2" s="1"/>
  <c r="Z672" i="2" s="1"/>
  <c r="W664" i="2"/>
  <c r="X664" i="2" s="1"/>
  <c r="Z664" i="2" s="1"/>
  <c r="X656" i="2"/>
  <c r="Z656" i="2" s="1"/>
  <c r="W656" i="2"/>
  <c r="W616" i="2"/>
  <c r="X616" i="2" s="1"/>
  <c r="Z616" i="2" s="1"/>
  <c r="W1003" i="2"/>
  <c r="X1003" i="2" s="1"/>
  <c r="Z1003" i="2" s="1"/>
  <c r="W999" i="2"/>
  <c r="X999" i="2" s="1"/>
  <c r="Z999" i="2" s="1"/>
  <c r="W995" i="2"/>
  <c r="X995" i="2" s="1"/>
  <c r="Z995" i="2" s="1"/>
  <c r="W991" i="2"/>
  <c r="X991" i="2" s="1"/>
  <c r="Z991" i="2" s="1"/>
  <c r="W987" i="2"/>
  <c r="X987" i="2" s="1"/>
  <c r="Z987" i="2" s="1"/>
  <c r="W983" i="2"/>
  <c r="X983" i="2" s="1"/>
  <c r="Z983" i="2" s="1"/>
  <c r="W979" i="2"/>
  <c r="X979" i="2" s="1"/>
  <c r="Z979" i="2" s="1"/>
  <c r="W975" i="2"/>
  <c r="X975" i="2" s="1"/>
  <c r="Z975" i="2" s="1"/>
  <c r="W971" i="2"/>
  <c r="X971" i="2" s="1"/>
  <c r="Z971" i="2" s="1"/>
  <c r="W967" i="2"/>
  <c r="X967" i="2" s="1"/>
  <c r="Z967" i="2" s="1"/>
  <c r="W963" i="2"/>
  <c r="X963" i="2" s="1"/>
  <c r="Z963" i="2" s="1"/>
  <c r="W959" i="2"/>
  <c r="X959" i="2" s="1"/>
  <c r="Z959" i="2" s="1"/>
  <c r="W955" i="2"/>
  <c r="X955" i="2" s="1"/>
  <c r="Z955" i="2" s="1"/>
  <c r="W951" i="2"/>
  <c r="X951" i="2" s="1"/>
  <c r="Z951" i="2" s="1"/>
  <c r="W947" i="2"/>
  <c r="X947" i="2" s="1"/>
  <c r="Z947" i="2" s="1"/>
  <c r="W943" i="2"/>
  <c r="X943" i="2" s="1"/>
  <c r="Z943" i="2" s="1"/>
  <c r="W939" i="2"/>
  <c r="X939" i="2" s="1"/>
  <c r="Z939" i="2" s="1"/>
  <c r="W935" i="2"/>
  <c r="X935" i="2" s="1"/>
  <c r="Z935" i="2" s="1"/>
  <c r="W931" i="2"/>
  <c r="X931" i="2" s="1"/>
  <c r="Z931" i="2" s="1"/>
  <c r="W927" i="2"/>
  <c r="X927" i="2" s="1"/>
  <c r="Z927" i="2" s="1"/>
  <c r="W923" i="2"/>
  <c r="X923" i="2" s="1"/>
  <c r="Z923" i="2" s="1"/>
  <c r="W919" i="2"/>
  <c r="X919" i="2" s="1"/>
  <c r="Z919" i="2" s="1"/>
  <c r="W915" i="2"/>
  <c r="X915" i="2" s="1"/>
  <c r="Z915" i="2" s="1"/>
  <c r="W911" i="2"/>
  <c r="X911" i="2" s="1"/>
  <c r="Z911" i="2" s="1"/>
  <c r="W907" i="2"/>
  <c r="X907" i="2" s="1"/>
  <c r="Z907" i="2" s="1"/>
  <c r="W903" i="2"/>
  <c r="X903" i="2" s="1"/>
  <c r="Z903" i="2" s="1"/>
  <c r="W899" i="2"/>
  <c r="X899" i="2" s="1"/>
  <c r="Z899" i="2" s="1"/>
  <c r="W895" i="2"/>
  <c r="X895" i="2" s="1"/>
  <c r="Z895" i="2" s="1"/>
  <c r="W891" i="2"/>
  <c r="X891" i="2" s="1"/>
  <c r="Z891" i="2" s="1"/>
  <c r="W887" i="2"/>
  <c r="X887" i="2" s="1"/>
  <c r="Z887" i="2" s="1"/>
  <c r="W883" i="2"/>
  <c r="X883" i="2" s="1"/>
  <c r="Z883" i="2" s="1"/>
  <c r="W879" i="2"/>
  <c r="X879" i="2" s="1"/>
  <c r="Z879" i="2" s="1"/>
  <c r="W875" i="2"/>
  <c r="X875" i="2" s="1"/>
  <c r="Z875" i="2" s="1"/>
  <c r="W871" i="2"/>
  <c r="X871" i="2" s="1"/>
  <c r="Z871" i="2" s="1"/>
  <c r="W867" i="2"/>
  <c r="X867" i="2" s="1"/>
  <c r="Z867" i="2" s="1"/>
  <c r="W863" i="2"/>
  <c r="X863" i="2" s="1"/>
  <c r="Z863" i="2" s="1"/>
  <c r="W859" i="2"/>
  <c r="X859" i="2" s="1"/>
  <c r="Z859" i="2" s="1"/>
  <c r="W855" i="2"/>
  <c r="X855" i="2" s="1"/>
  <c r="Z855" i="2" s="1"/>
  <c r="W851" i="2"/>
  <c r="X851" i="2" s="1"/>
  <c r="Z851" i="2" s="1"/>
  <c r="W847" i="2"/>
  <c r="X847" i="2" s="1"/>
  <c r="Z847" i="2" s="1"/>
  <c r="W843" i="2"/>
  <c r="X843" i="2" s="1"/>
  <c r="Z843" i="2" s="1"/>
  <c r="W839" i="2"/>
  <c r="X839" i="2" s="1"/>
  <c r="Z839" i="2" s="1"/>
  <c r="W835" i="2"/>
  <c r="X835" i="2" s="1"/>
  <c r="Z835" i="2" s="1"/>
  <c r="W831" i="2"/>
  <c r="X831" i="2" s="1"/>
  <c r="Z831" i="2" s="1"/>
  <c r="W827" i="2"/>
  <c r="X827" i="2" s="1"/>
  <c r="Z827" i="2" s="1"/>
  <c r="W823" i="2"/>
  <c r="X823" i="2" s="1"/>
  <c r="Z823" i="2" s="1"/>
  <c r="X819" i="2"/>
  <c r="Z819" i="2" s="1"/>
  <c r="W819" i="2"/>
  <c r="W815" i="2"/>
  <c r="X815" i="2" s="1"/>
  <c r="Z815" i="2" s="1"/>
  <c r="W811" i="2"/>
  <c r="X811" i="2" s="1"/>
  <c r="Z811" i="2" s="1"/>
  <c r="W807" i="2"/>
  <c r="X807" i="2" s="1"/>
  <c r="Z807" i="2" s="1"/>
  <c r="W803" i="2"/>
  <c r="X803" i="2" s="1"/>
  <c r="Z803" i="2" s="1"/>
  <c r="W799" i="2"/>
  <c r="X799" i="2" s="1"/>
  <c r="Z799" i="2" s="1"/>
  <c r="W795" i="2"/>
  <c r="X795" i="2" s="1"/>
  <c r="Z795" i="2" s="1"/>
  <c r="W791" i="2"/>
  <c r="X791" i="2" s="1"/>
  <c r="Z791" i="2" s="1"/>
  <c r="W787" i="2"/>
  <c r="X787" i="2" s="1"/>
  <c r="Z787" i="2" s="1"/>
  <c r="W783" i="2"/>
  <c r="X783" i="2" s="1"/>
  <c r="Z783" i="2" s="1"/>
  <c r="W779" i="2"/>
  <c r="X779" i="2" s="1"/>
  <c r="Z779" i="2" s="1"/>
  <c r="W775" i="2"/>
  <c r="X775" i="2" s="1"/>
  <c r="Z775" i="2" s="1"/>
  <c r="W771" i="2"/>
  <c r="X771" i="2" s="1"/>
  <c r="Z771" i="2" s="1"/>
  <c r="W767" i="2"/>
  <c r="X767" i="2" s="1"/>
  <c r="Z767" i="2" s="1"/>
  <c r="W763" i="2"/>
  <c r="X763" i="2" s="1"/>
  <c r="Z763" i="2" s="1"/>
  <c r="W759" i="2"/>
  <c r="X759" i="2" s="1"/>
  <c r="Z759" i="2" s="1"/>
  <c r="W755" i="2"/>
  <c r="X755" i="2" s="1"/>
  <c r="Z755" i="2" s="1"/>
  <c r="W751" i="2"/>
  <c r="X751" i="2" s="1"/>
  <c r="Z751" i="2" s="1"/>
  <c r="W747" i="2"/>
  <c r="X747" i="2" s="1"/>
  <c r="Z747" i="2" s="1"/>
  <c r="W743" i="2"/>
  <c r="X743" i="2" s="1"/>
  <c r="Z743" i="2" s="1"/>
  <c r="W739" i="2"/>
  <c r="X739" i="2" s="1"/>
  <c r="Z739" i="2" s="1"/>
  <c r="W735" i="2"/>
  <c r="X735" i="2" s="1"/>
  <c r="Z735" i="2" s="1"/>
  <c r="W731" i="2"/>
  <c r="X731" i="2" s="1"/>
  <c r="Z731" i="2" s="1"/>
  <c r="W727" i="2"/>
  <c r="X727" i="2" s="1"/>
  <c r="Z727" i="2" s="1"/>
  <c r="W723" i="2"/>
  <c r="X723" i="2" s="1"/>
  <c r="Z723" i="2" s="1"/>
  <c r="W719" i="2"/>
  <c r="X719" i="2" s="1"/>
  <c r="Z719" i="2" s="1"/>
  <c r="W715" i="2"/>
  <c r="X715" i="2" s="1"/>
  <c r="Z715" i="2" s="1"/>
  <c r="W486" i="2"/>
  <c r="X486" i="2" s="1"/>
  <c r="Z486" i="2" s="1"/>
  <c r="W466" i="2"/>
  <c r="X466" i="2" s="1"/>
  <c r="Z466" i="2" s="1"/>
  <c r="W454" i="2"/>
  <c r="X454" i="2" s="1"/>
  <c r="Z454" i="2" s="1"/>
  <c r="W442" i="2"/>
  <c r="X442" i="2" s="1"/>
  <c r="Z442" i="2" s="1"/>
  <c r="W430" i="2"/>
  <c r="X430" i="2" s="1"/>
  <c r="Z430" i="2" s="1"/>
  <c r="W414" i="2"/>
  <c r="X414" i="2" s="1"/>
  <c r="Z414" i="2" s="1"/>
  <c r="W402" i="2"/>
  <c r="X402" i="2" s="1"/>
  <c r="Z402" i="2" s="1"/>
  <c r="W390" i="2"/>
  <c r="X390" i="2" s="1"/>
  <c r="Z390" i="2" s="1"/>
  <c r="W378" i="2"/>
  <c r="X378" i="2" s="1"/>
  <c r="Z378" i="2" s="1"/>
  <c r="W366" i="2"/>
  <c r="X366" i="2" s="1"/>
  <c r="Z366" i="2" s="1"/>
  <c r="W354" i="2"/>
  <c r="X354" i="2" s="1"/>
  <c r="Z354" i="2" s="1"/>
  <c r="X342" i="2"/>
  <c r="Z342" i="2" s="1"/>
  <c r="W342" i="2"/>
  <c r="W330" i="2"/>
  <c r="X330" i="2" s="1"/>
  <c r="Z330" i="2" s="1"/>
  <c r="W322" i="2"/>
  <c r="X322" i="2" s="1"/>
  <c r="Z322" i="2" s="1"/>
  <c r="W314" i="2"/>
  <c r="X314" i="2" s="1"/>
  <c r="Z314" i="2" s="1"/>
  <c r="W302" i="2"/>
  <c r="X302" i="2" s="1"/>
  <c r="Z302" i="2" s="1"/>
  <c r="W294" i="2"/>
  <c r="X294" i="2" s="1"/>
  <c r="Z294" i="2" s="1"/>
  <c r="W286" i="2"/>
  <c r="X286" i="2" s="1"/>
  <c r="Z286" i="2" s="1"/>
  <c r="W278" i="2"/>
  <c r="X278" i="2" s="1"/>
  <c r="Z278" i="2" s="1"/>
  <c r="W270" i="2"/>
  <c r="X270" i="2" s="1"/>
  <c r="Z270" i="2" s="1"/>
  <c r="W258" i="2"/>
  <c r="X258" i="2" s="1"/>
  <c r="Z258" i="2" s="1"/>
  <c r="W254" i="2"/>
  <c r="X254" i="2" s="1"/>
  <c r="Z254" i="2" s="1"/>
  <c r="W250" i="2"/>
  <c r="X250" i="2" s="1"/>
  <c r="Z250" i="2" s="1"/>
  <c r="W246" i="2"/>
  <c r="X246" i="2" s="1"/>
  <c r="Z246" i="2" s="1"/>
  <c r="W242" i="2"/>
  <c r="X242" i="2" s="1"/>
  <c r="Z242" i="2" s="1"/>
  <c r="W238" i="2"/>
  <c r="X238" i="2" s="1"/>
  <c r="Z238" i="2" s="1"/>
  <c r="W234" i="2"/>
  <c r="X234" i="2" s="1"/>
  <c r="Z234" i="2" s="1"/>
  <c r="W226" i="2"/>
  <c r="X226" i="2" s="1"/>
  <c r="Z226" i="2" s="1"/>
  <c r="W222" i="2"/>
  <c r="X222" i="2" s="1"/>
  <c r="Z222" i="2" s="1"/>
  <c r="W218" i="2"/>
  <c r="X218" i="2" s="1"/>
  <c r="Z218" i="2" s="1"/>
  <c r="W214" i="2"/>
  <c r="X214" i="2" s="1"/>
  <c r="Z214" i="2" s="1"/>
  <c r="W210" i="2"/>
  <c r="X210" i="2" s="1"/>
  <c r="Z210" i="2" s="1"/>
  <c r="W206" i="2"/>
  <c r="X206" i="2" s="1"/>
  <c r="Z206" i="2" s="1"/>
  <c r="W202" i="2"/>
  <c r="X202" i="2" s="1"/>
  <c r="Z202" i="2" s="1"/>
  <c r="W198" i="2"/>
  <c r="X198" i="2" s="1"/>
  <c r="Z198" i="2" s="1"/>
  <c r="W194" i="2"/>
  <c r="X194" i="2" s="1"/>
  <c r="Z194" i="2" s="1"/>
  <c r="W190" i="2"/>
  <c r="X190" i="2" s="1"/>
  <c r="Z190" i="2" s="1"/>
  <c r="W186" i="2"/>
  <c r="X186" i="2" s="1"/>
  <c r="Z186" i="2" s="1"/>
  <c r="W182" i="2"/>
  <c r="X182" i="2" s="1"/>
  <c r="Z182" i="2" s="1"/>
  <c r="W178" i="2"/>
  <c r="X178" i="2" s="1"/>
  <c r="Z178" i="2" s="1"/>
  <c r="W174" i="2"/>
  <c r="X174" i="2" s="1"/>
  <c r="Z174" i="2" s="1"/>
  <c r="W170" i="2"/>
  <c r="X170" i="2" s="1"/>
  <c r="Z170" i="2" s="1"/>
  <c r="W166" i="2"/>
  <c r="X166" i="2" s="1"/>
  <c r="Z166" i="2" s="1"/>
  <c r="W162" i="2"/>
  <c r="X162" i="2" s="1"/>
  <c r="Z162" i="2" s="1"/>
  <c r="W158" i="2"/>
  <c r="X158" i="2" s="1"/>
  <c r="Z158" i="2" s="1"/>
  <c r="X154" i="2"/>
  <c r="Z154" i="2" s="1"/>
  <c r="W154" i="2"/>
  <c r="W150" i="2"/>
  <c r="X150" i="2" s="1"/>
  <c r="Z150" i="2" s="1"/>
  <c r="W146" i="2"/>
  <c r="X146" i="2" s="1"/>
  <c r="Z146" i="2" s="1"/>
  <c r="W142" i="2"/>
  <c r="X142" i="2" s="1"/>
  <c r="Z142" i="2" s="1"/>
  <c r="W138" i="2"/>
  <c r="X138" i="2" s="1"/>
  <c r="Z138" i="2" s="1"/>
  <c r="W134" i="2"/>
  <c r="X134" i="2" s="1"/>
  <c r="Z134" i="2" s="1"/>
  <c r="W130" i="2"/>
  <c r="X130" i="2" s="1"/>
  <c r="Z130" i="2" s="1"/>
  <c r="W126" i="2"/>
  <c r="X126" i="2" s="1"/>
  <c r="Z126" i="2" s="1"/>
  <c r="W122" i="2"/>
  <c r="X122" i="2" s="1"/>
  <c r="Z122" i="2" s="1"/>
  <c r="W118" i="2"/>
  <c r="X118" i="2" s="1"/>
  <c r="Z118" i="2" s="1"/>
  <c r="W114" i="2"/>
  <c r="X114" i="2" s="1"/>
  <c r="Z114" i="2" s="1"/>
  <c r="W110" i="2"/>
  <c r="X110" i="2" s="1"/>
  <c r="Z110" i="2" s="1"/>
  <c r="W106" i="2"/>
  <c r="X106" i="2" s="1"/>
  <c r="Z106" i="2" s="1"/>
  <c r="W102" i="2"/>
  <c r="X102" i="2" s="1"/>
  <c r="Z102" i="2" s="1"/>
  <c r="W98" i="2"/>
  <c r="X98" i="2" s="1"/>
  <c r="Z98" i="2" s="1"/>
  <c r="W94" i="2"/>
  <c r="X94" i="2" s="1"/>
  <c r="Z94" i="2" s="1"/>
  <c r="W90" i="2"/>
  <c r="X90" i="2" s="1"/>
  <c r="Z90" i="2" s="1"/>
  <c r="W86" i="2"/>
  <c r="X86" i="2" s="1"/>
  <c r="Z86" i="2" s="1"/>
  <c r="W82" i="2"/>
  <c r="X82" i="2" s="1"/>
  <c r="Z82" i="2" s="1"/>
  <c r="W78" i="2"/>
  <c r="X78" i="2" s="1"/>
  <c r="Z78" i="2" s="1"/>
  <c r="W74" i="2"/>
  <c r="X74" i="2" s="1"/>
  <c r="Z74" i="2" s="1"/>
  <c r="W70" i="2"/>
  <c r="X70" i="2" s="1"/>
  <c r="Z70" i="2" s="1"/>
  <c r="W66" i="2"/>
  <c r="X66" i="2" s="1"/>
  <c r="Z66" i="2" s="1"/>
  <c r="W62" i="2"/>
  <c r="X62" i="2" s="1"/>
  <c r="Z62" i="2" s="1"/>
  <c r="W58" i="2"/>
  <c r="X58" i="2" s="1"/>
  <c r="Z58" i="2" s="1"/>
  <c r="W54" i="2"/>
  <c r="X54" i="2" s="1"/>
  <c r="Z54" i="2" s="1"/>
  <c r="W50" i="2"/>
  <c r="X50" i="2" s="1"/>
  <c r="Z50" i="2" s="1"/>
  <c r="W46" i="2"/>
  <c r="X46" i="2" s="1"/>
  <c r="Z46" i="2" s="1"/>
  <c r="W42" i="2"/>
  <c r="X42" i="2" s="1"/>
  <c r="Z42" i="2" s="1"/>
  <c r="W38" i="2"/>
  <c r="X38" i="2" s="1"/>
  <c r="Z38" i="2" s="1"/>
  <c r="W34" i="2"/>
  <c r="X34" i="2" s="1"/>
  <c r="Z34" i="2" s="1"/>
  <c r="W30" i="2"/>
  <c r="X30" i="2" s="1"/>
  <c r="Z30" i="2" s="1"/>
  <c r="W26" i="2"/>
  <c r="X26" i="2" s="1"/>
  <c r="Z26" i="2" s="1"/>
  <c r="W22" i="2"/>
  <c r="X22" i="2" s="1"/>
  <c r="Z22" i="2" s="1"/>
  <c r="W18" i="2"/>
  <c r="X18" i="2" s="1"/>
  <c r="Z18" i="2" s="1"/>
  <c r="W14" i="2"/>
  <c r="X14" i="2" s="1"/>
  <c r="Z14" i="2" s="1"/>
  <c r="W10" i="2"/>
  <c r="X10" i="2" s="1"/>
  <c r="Z10" i="2" s="1"/>
  <c r="W6" i="2"/>
  <c r="X6" i="2" s="1"/>
  <c r="Z6" i="2" s="1"/>
  <c r="W494" i="2"/>
  <c r="X494" i="2" s="1"/>
  <c r="Z494" i="2" s="1"/>
  <c r="W478" i="2"/>
  <c r="X478" i="2" s="1"/>
  <c r="Z478" i="2" s="1"/>
  <c r="W470" i="2"/>
  <c r="X470" i="2" s="1"/>
  <c r="Z470" i="2" s="1"/>
  <c r="W458" i="2"/>
  <c r="X458" i="2" s="1"/>
  <c r="Z458" i="2" s="1"/>
  <c r="W446" i="2"/>
  <c r="X446" i="2" s="1"/>
  <c r="Z446" i="2" s="1"/>
  <c r="W434" i="2"/>
  <c r="X434" i="2" s="1"/>
  <c r="Z434" i="2" s="1"/>
  <c r="W418" i="2"/>
  <c r="X418" i="2" s="1"/>
  <c r="Z418" i="2" s="1"/>
  <c r="W406" i="2"/>
  <c r="X406" i="2" s="1"/>
  <c r="Z406" i="2" s="1"/>
  <c r="W394" i="2"/>
  <c r="X394" i="2" s="1"/>
  <c r="Z394" i="2" s="1"/>
  <c r="W382" i="2"/>
  <c r="X382" i="2" s="1"/>
  <c r="Z382" i="2" s="1"/>
  <c r="W370" i="2"/>
  <c r="X370" i="2" s="1"/>
  <c r="Z370" i="2" s="1"/>
  <c r="W358" i="2"/>
  <c r="X358" i="2" s="1"/>
  <c r="Z358" i="2" s="1"/>
  <c r="W346" i="2"/>
  <c r="X346" i="2" s="1"/>
  <c r="Z346" i="2" s="1"/>
  <c r="W338" i="2"/>
  <c r="X338" i="2" s="1"/>
  <c r="Z338" i="2" s="1"/>
  <c r="W326" i="2"/>
  <c r="X326" i="2" s="1"/>
  <c r="Z326" i="2" s="1"/>
  <c r="W318" i="2"/>
  <c r="X318" i="2" s="1"/>
  <c r="Z318" i="2" s="1"/>
  <c r="W310" i="2"/>
  <c r="X310" i="2" s="1"/>
  <c r="Z310" i="2" s="1"/>
  <c r="W306" i="2"/>
  <c r="X306" i="2" s="1"/>
  <c r="Z306" i="2" s="1"/>
  <c r="W298" i="2"/>
  <c r="X298" i="2" s="1"/>
  <c r="Z298" i="2" s="1"/>
  <c r="W290" i="2"/>
  <c r="X290" i="2" s="1"/>
  <c r="Z290" i="2" s="1"/>
  <c r="W282" i="2"/>
  <c r="X282" i="2" s="1"/>
  <c r="Z282" i="2" s="1"/>
  <c r="W274" i="2"/>
  <c r="X274" i="2" s="1"/>
  <c r="Z274" i="2" s="1"/>
  <c r="W266" i="2"/>
  <c r="X266" i="2" s="1"/>
  <c r="Z266" i="2" s="1"/>
  <c r="W230" i="2"/>
  <c r="X230" i="2" s="1"/>
  <c r="Z230" i="2" s="1"/>
  <c r="W473" i="2"/>
  <c r="X473" i="2" s="1"/>
  <c r="Z473" i="2" s="1"/>
  <c r="W469" i="2"/>
  <c r="X469" i="2" s="1"/>
  <c r="Z469" i="2" s="1"/>
  <c r="W465" i="2"/>
  <c r="X465" i="2" s="1"/>
  <c r="Z465" i="2" s="1"/>
  <c r="W461" i="2"/>
  <c r="X461" i="2" s="1"/>
  <c r="Z461" i="2" s="1"/>
  <c r="W457" i="2"/>
  <c r="X457" i="2" s="1"/>
  <c r="Z457" i="2" s="1"/>
  <c r="W453" i="2"/>
  <c r="X453" i="2" s="1"/>
  <c r="Z453" i="2" s="1"/>
  <c r="W449" i="2"/>
  <c r="X449" i="2" s="1"/>
  <c r="Z449" i="2" s="1"/>
  <c r="W445" i="2"/>
  <c r="X445" i="2" s="1"/>
  <c r="Z445" i="2" s="1"/>
  <c r="W441" i="2"/>
  <c r="X441" i="2" s="1"/>
  <c r="Z441" i="2" s="1"/>
  <c r="W437" i="2"/>
  <c r="X437" i="2" s="1"/>
  <c r="Z437" i="2" s="1"/>
  <c r="W433" i="2"/>
  <c r="X433" i="2" s="1"/>
  <c r="Z433" i="2" s="1"/>
  <c r="W429" i="2"/>
  <c r="X429" i="2" s="1"/>
  <c r="Z429" i="2" s="1"/>
  <c r="W425" i="2"/>
  <c r="X425" i="2" s="1"/>
  <c r="Z425" i="2" s="1"/>
  <c r="W421" i="2"/>
  <c r="X421" i="2" s="1"/>
  <c r="Z421" i="2" s="1"/>
  <c r="W417" i="2"/>
  <c r="X417" i="2" s="1"/>
  <c r="Z417" i="2" s="1"/>
  <c r="W413" i="2"/>
  <c r="X413" i="2" s="1"/>
  <c r="Z413" i="2" s="1"/>
  <c r="W409" i="2"/>
  <c r="X409" i="2" s="1"/>
  <c r="Z409" i="2" s="1"/>
  <c r="W405" i="2"/>
  <c r="X405" i="2" s="1"/>
  <c r="Z405" i="2" s="1"/>
  <c r="W401" i="2"/>
  <c r="X401" i="2" s="1"/>
  <c r="Z401" i="2" s="1"/>
  <c r="W397" i="2"/>
  <c r="X397" i="2" s="1"/>
  <c r="Z397" i="2" s="1"/>
  <c r="W393" i="2"/>
  <c r="X393" i="2" s="1"/>
  <c r="Z393" i="2" s="1"/>
  <c r="W389" i="2"/>
  <c r="X389" i="2" s="1"/>
  <c r="Z389" i="2" s="1"/>
  <c r="W385" i="2"/>
  <c r="X385" i="2" s="1"/>
  <c r="Z385" i="2" s="1"/>
  <c r="W381" i="2"/>
  <c r="X381" i="2" s="1"/>
  <c r="Z381" i="2" s="1"/>
  <c r="W377" i="2"/>
  <c r="X377" i="2" s="1"/>
  <c r="Z377" i="2" s="1"/>
  <c r="W373" i="2"/>
  <c r="X373" i="2" s="1"/>
  <c r="Z373" i="2" s="1"/>
  <c r="W369" i="2"/>
  <c r="X369" i="2" s="1"/>
  <c r="Z369" i="2" s="1"/>
  <c r="W365" i="2"/>
  <c r="X365" i="2" s="1"/>
  <c r="Z365" i="2" s="1"/>
  <c r="W361" i="2"/>
  <c r="X361" i="2" s="1"/>
  <c r="Z361" i="2" s="1"/>
  <c r="W357" i="2"/>
  <c r="X357" i="2" s="1"/>
  <c r="Z357" i="2" s="1"/>
  <c r="W353" i="2"/>
  <c r="X353" i="2" s="1"/>
  <c r="Z353" i="2" s="1"/>
  <c r="W349" i="2"/>
  <c r="X349" i="2" s="1"/>
  <c r="Z349" i="2" s="1"/>
  <c r="X345" i="2"/>
  <c r="Z345" i="2" s="1"/>
  <c r="W345" i="2"/>
  <c r="W341" i="2"/>
  <c r="X341" i="2" s="1"/>
  <c r="Z341" i="2" s="1"/>
  <c r="W337" i="2"/>
  <c r="X337" i="2" s="1"/>
  <c r="Z337" i="2" s="1"/>
  <c r="W333" i="2"/>
  <c r="X333" i="2" s="1"/>
  <c r="Z333" i="2" s="1"/>
  <c r="W329" i="2"/>
  <c r="X329" i="2" s="1"/>
  <c r="Z329" i="2" s="1"/>
  <c r="W325" i="2"/>
  <c r="X325" i="2" s="1"/>
  <c r="Z325" i="2" s="1"/>
  <c r="W321" i="2"/>
  <c r="X321" i="2" s="1"/>
  <c r="Z321" i="2" s="1"/>
  <c r="W317" i="2"/>
  <c r="X317" i="2" s="1"/>
  <c r="Z317" i="2" s="1"/>
  <c r="W313" i="2"/>
  <c r="X313" i="2" s="1"/>
  <c r="Z313" i="2" s="1"/>
  <c r="W309" i="2"/>
  <c r="X309" i="2" s="1"/>
  <c r="Z309" i="2" s="1"/>
  <c r="W305" i="2"/>
  <c r="X305" i="2" s="1"/>
  <c r="Z305" i="2" s="1"/>
  <c r="W301" i="2"/>
  <c r="X301" i="2" s="1"/>
  <c r="Z301" i="2" s="1"/>
  <c r="W297" i="2"/>
  <c r="X297" i="2" s="1"/>
  <c r="Z297" i="2" s="1"/>
  <c r="W293" i="2"/>
  <c r="X293" i="2" s="1"/>
  <c r="Z293" i="2" s="1"/>
  <c r="W289" i="2"/>
  <c r="X289" i="2" s="1"/>
  <c r="Z289" i="2" s="1"/>
  <c r="W285" i="2"/>
  <c r="X285" i="2" s="1"/>
  <c r="Z285" i="2" s="1"/>
  <c r="W281" i="2"/>
  <c r="X281" i="2" s="1"/>
  <c r="Z281" i="2" s="1"/>
  <c r="W277" i="2"/>
  <c r="X277" i="2" s="1"/>
  <c r="Z277" i="2" s="1"/>
  <c r="W273" i="2"/>
  <c r="X273" i="2" s="1"/>
  <c r="Z273" i="2" s="1"/>
  <c r="W269" i="2"/>
  <c r="X269" i="2" s="1"/>
  <c r="Z269" i="2" s="1"/>
  <c r="W265" i="2"/>
  <c r="X265" i="2" s="1"/>
  <c r="Z265" i="2" s="1"/>
  <c r="W261" i="2"/>
  <c r="X261" i="2" s="1"/>
  <c r="Z261" i="2" s="1"/>
  <c r="W257" i="2"/>
  <c r="X257" i="2" s="1"/>
  <c r="Z257" i="2" s="1"/>
  <c r="W253" i="2"/>
  <c r="X253" i="2" s="1"/>
  <c r="Z253" i="2" s="1"/>
  <c r="W249" i="2"/>
  <c r="X249" i="2" s="1"/>
  <c r="Z249" i="2" s="1"/>
  <c r="W245" i="2"/>
  <c r="X245" i="2" s="1"/>
  <c r="Z245" i="2" s="1"/>
  <c r="W241" i="2"/>
  <c r="X241" i="2" s="1"/>
  <c r="Z241" i="2" s="1"/>
  <c r="W237" i="2"/>
  <c r="X237" i="2" s="1"/>
  <c r="Z237" i="2" s="1"/>
  <c r="W233" i="2"/>
  <c r="X233" i="2" s="1"/>
  <c r="Z233" i="2" s="1"/>
  <c r="W229" i="2"/>
  <c r="X229" i="2" s="1"/>
  <c r="Z229" i="2" s="1"/>
  <c r="W225" i="2"/>
  <c r="X225" i="2" s="1"/>
  <c r="Z225" i="2" s="1"/>
  <c r="W221" i="2"/>
  <c r="X221" i="2" s="1"/>
  <c r="Z221" i="2" s="1"/>
  <c r="W217" i="2"/>
  <c r="X217" i="2" s="1"/>
  <c r="Z217" i="2" s="1"/>
  <c r="W213" i="2"/>
  <c r="X213" i="2" s="1"/>
  <c r="Z213" i="2" s="1"/>
  <c r="W209" i="2"/>
  <c r="X209" i="2" s="1"/>
  <c r="Z209" i="2" s="1"/>
  <c r="W205" i="2"/>
  <c r="X205" i="2" s="1"/>
  <c r="Z205" i="2" s="1"/>
  <c r="W201" i="2"/>
  <c r="X201" i="2" s="1"/>
  <c r="Z201" i="2" s="1"/>
  <c r="W197" i="2"/>
  <c r="X197" i="2" s="1"/>
  <c r="Z197" i="2" s="1"/>
  <c r="W193" i="2"/>
  <c r="X193" i="2" s="1"/>
  <c r="Z193" i="2" s="1"/>
  <c r="W189" i="2"/>
  <c r="X189" i="2" s="1"/>
  <c r="Z189" i="2" s="1"/>
  <c r="W185" i="2"/>
  <c r="X185" i="2" s="1"/>
  <c r="Z185" i="2" s="1"/>
  <c r="W181" i="2"/>
  <c r="X181" i="2" s="1"/>
  <c r="Z181" i="2" s="1"/>
  <c r="W177" i="2"/>
  <c r="X177" i="2" s="1"/>
  <c r="Z177" i="2" s="1"/>
  <c r="W173" i="2"/>
  <c r="X173" i="2" s="1"/>
  <c r="Z173" i="2" s="1"/>
  <c r="W169" i="2"/>
  <c r="X169" i="2" s="1"/>
  <c r="Z169" i="2" s="1"/>
  <c r="W165" i="2"/>
  <c r="X165" i="2" s="1"/>
  <c r="Z165" i="2" s="1"/>
  <c r="W161" i="2"/>
  <c r="X161" i="2" s="1"/>
  <c r="Z161" i="2" s="1"/>
  <c r="W157" i="2"/>
  <c r="X157" i="2" s="1"/>
  <c r="Z157" i="2" s="1"/>
  <c r="W153" i="2"/>
  <c r="X153" i="2" s="1"/>
  <c r="Z153" i="2" s="1"/>
  <c r="W149" i="2"/>
  <c r="X149" i="2" s="1"/>
  <c r="Z149" i="2" s="1"/>
  <c r="W145" i="2"/>
  <c r="X145" i="2" s="1"/>
  <c r="Z145" i="2" s="1"/>
  <c r="W141" i="2"/>
  <c r="X141" i="2" s="1"/>
  <c r="Z141" i="2" s="1"/>
  <c r="W137" i="2"/>
  <c r="X137" i="2" s="1"/>
  <c r="Z137" i="2" s="1"/>
  <c r="W133" i="2"/>
  <c r="X133" i="2" s="1"/>
  <c r="Z133" i="2" s="1"/>
  <c r="W129" i="2"/>
  <c r="X129" i="2" s="1"/>
  <c r="Z129" i="2" s="1"/>
  <c r="W125" i="2"/>
  <c r="X125" i="2" s="1"/>
  <c r="Z125" i="2" s="1"/>
  <c r="W121" i="2"/>
  <c r="X121" i="2" s="1"/>
  <c r="Z121" i="2" s="1"/>
  <c r="W117" i="2"/>
  <c r="X117" i="2" s="1"/>
  <c r="Z117" i="2" s="1"/>
  <c r="W113" i="2"/>
  <c r="X113" i="2" s="1"/>
  <c r="Z113" i="2" s="1"/>
  <c r="W109" i="2"/>
  <c r="X109" i="2" s="1"/>
  <c r="Z109" i="2" s="1"/>
  <c r="W105" i="2"/>
  <c r="X105" i="2" s="1"/>
  <c r="Z105" i="2" s="1"/>
  <c r="W101" i="2"/>
  <c r="X101" i="2" s="1"/>
  <c r="Z101" i="2" s="1"/>
  <c r="W97" i="2"/>
  <c r="X97" i="2" s="1"/>
  <c r="Z97" i="2" s="1"/>
  <c r="W93" i="2"/>
  <c r="X93" i="2" s="1"/>
  <c r="Z93" i="2" s="1"/>
  <c r="W89" i="2"/>
  <c r="X89" i="2" s="1"/>
  <c r="Z89" i="2" s="1"/>
  <c r="W85" i="2"/>
  <c r="X85" i="2" s="1"/>
  <c r="Z85" i="2" s="1"/>
  <c r="W81" i="2"/>
  <c r="X81" i="2" s="1"/>
  <c r="Z81" i="2" s="1"/>
  <c r="W77" i="2"/>
  <c r="X77" i="2" s="1"/>
  <c r="Z77" i="2" s="1"/>
  <c r="W73" i="2"/>
  <c r="X73" i="2" s="1"/>
  <c r="Z73" i="2" s="1"/>
  <c r="W69" i="2"/>
  <c r="X69" i="2" s="1"/>
  <c r="Z69" i="2" s="1"/>
  <c r="W65" i="2"/>
  <c r="X65" i="2" s="1"/>
  <c r="Z65" i="2" s="1"/>
  <c r="W61" i="2"/>
  <c r="X61" i="2" s="1"/>
  <c r="Z61" i="2" s="1"/>
  <c r="W57" i="2"/>
  <c r="X57" i="2" s="1"/>
  <c r="Z57" i="2" s="1"/>
  <c r="W53" i="2"/>
  <c r="X53" i="2" s="1"/>
  <c r="Z53" i="2" s="1"/>
  <c r="W49" i="2"/>
  <c r="X49" i="2" s="1"/>
  <c r="Z49" i="2" s="1"/>
  <c r="W45" i="2"/>
  <c r="X45" i="2" s="1"/>
  <c r="Z45" i="2" s="1"/>
  <c r="W41" i="2"/>
  <c r="X41" i="2" s="1"/>
  <c r="Z41" i="2" s="1"/>
  <c r="W37" i="2"/>
  <c r="X37" i="2" s="1"/>
  <c r="Z37" i="2" s="1"/>
  <c r="W33" i="2"/>
  <c r="X33" i="2" s="1"/>
  <c r="Z33" i="2" s="1"/>
  <c r="W29" i="2"/>
  <c r="X29" i="2" s="1"/>
  <c r="Z29" i="2" s="1"/>
  <c r="W25" i="2"/>
  <c r="X25" i="2" s="1"/>
  <c r="Z25" i="2" s="1"/>
  <c r="W21" i="2"/>
  <c r="X21" i="2" s="1"/>
  <c r="Z21" i="2" s="1"/>
  <c r="W17" i="2"/>
  <c r="X17" i="2" s="1"/>
  <c r="Z17" i="2" s="1"/>
  <c r="W13" i="2"/>
  <c r="X13" i="2" s="1"/>
  <c r="Z13" i="2" s="1"/>
  <c r="W9" i="2"/>
  <c r="X9" i="2" s="1"/>
  <c r="Z9" i="2" s="1"/>
  <c r="W5" i="2"/>
  <c r="X5" i="2" s="1"/>
  <c r="Z5" i="2" s="1"/>
  <c r="W482" i="2"/>
  <c r="X482" i="2" s="1"/>
  <c r="Z482" i="2" s="1"/>
  <c r="W462" i="2"/>
  <c r="X462" i="2" s="1"/>
  <c r="Z462" i="2" s="1"/>
  <c r="W450" i="2"/>
  <c r="X450" i="2" s="1"/>
  <c r="Z450" i="2" s="1"/>
  <c r="W438" i="2"/>
  <c r="X438" i="2" s="1"/>
  <c r="Z438" i="2" s="1"/>
  <c r="W422" i="2"/>
  <c r="X422" i="2" s="1"/>
  <c r="Z422" i="2" s="1"/>
  <c r="W410" i="2"/>
  <c r="X410" i="2" s="1"/>
  <c r="Z410" i="2" s="1"/>
  <c r="W398" i="2"/>
  <c r="X398" i="2" s="1"/>
  <c r="Z398" i="2" s="1"/>
  <c r="W386" i="2"/>
  <c r="X386" i="2" s="1"/>
  <c r="Z386" i="2" s="1"/>
  <c r="W374" i="2"/>
  <c r="X374" i="2" s="1"/>
  <c r="Z374" i="2" s="1"/>
  <c r="W362" i="2"/>
  <c r="X362" i="2" s="1"/>
  <c r="Z362" i="2" s="1"/>
  <c r="W350" i="2"/>
  <c r="X350" i="2" s="1"/>
  <c r="Z350" i="2" s="1"/>
  <c r="W334" i="2"/>
  <c r="X334" i="2" s="1"/>
  <c r="Z334" i="2" s="1"/>
  <c r="W262" i="2"/>
  <c r="X262" i="2" s="1"/>
  <c r="Z262" i="2" s="1"/>
  <c r="W284" i="2"/>
  <c r="X284" i="2" s="1"/>
  <c r="Z284" i="2" s="1"/>
  <c r="W280" i="2"/>
  <c r="X280" i="2" s="1"/>
  <c r="Z280" i="2" s="1"/>
  <c r="W276" i="2"/>
  <c r="X276" i="2" s="1"/>
  <c r="Z276" i="2" s="1"/>
  <c r="W272" i="2"/>
  <c r="X272" i="2" s="1"/>
  <c r="Z272" i="2" s="1"/>
  <c r="W268" i="2"/>
  <c r="X268" i="2" s="1"/>
  <c r="Z268" i="2" s="1"/>
  <c r="W264" i="2"/>
  <c r="X264" i="2" s="1"/>
  <c r="Z264" i="2" s="1"/>
  <c r="W260" i="2"/>
  <c r="X260" i="2" s="1"/>
  <c r="Z260" i="2" s="1"/>
  <c r="W256" i="2"/>
  <c r="X256" i="2" s="1"/>
  <c r="Z256" i="2" s="1"/>
  <c r="W252" i="2"/>
  <c r="X252" i="2" s="1"/>
  <c r="Z252" i="2" s="1"/>
  <c r="W248" i="2"/>
  <c r="X248" i="2" s="1"/>
  <c r="Z248" i="2" s="1"/>
  <c r="W244" i="2"/>
  <c r="X244" i="2" s="1"/>
  <c r="Z244" i="2" s="1"/>
  <c r="W240" i="2"/>
  <c r="X240" i="2" s="1"/>
  <c r="Z240" i="2" s="1"/>
  <c r="W236" i="2"/>
  <c r="X236" i="2" s="1"/>
  <c r="Z236" i="2" s="1"/>
  <c r="W232" i="2"/>
  <c r="X232" i="2" s="1"/>
  <c r="Z232" i="2" s="1"/>
  <c r="W228" i="2"/>
  <c r="X228" i="2" s="1"/>
  <c r="Z228" i="2" s="1"/>
  <c r="W224" i="2"/>
  <c r="X224" i="2" s="1"/>
  <c r="Z224" i="2" s="1"/>
  <c r="W220" i="2"/>
  <c r="X220" i="2" s="1"/>
  <c r="Z220" i="2" s="1"/>
  <c r="W216" i="2"/>
  <c r="X216" i="2" s="1"/>
  <c r="Z216" i="2" s="1"/>
  <c r="W212" i="2"/>
  <c r="X212" i="2" s="1"/>
  <c r="Z212" i="2" s="1"/>
  <c r="W208" i="2"/>
  <c r="X208" i="2" s="1"/>
  <c r="Z208" i="2" s="1"/>
  <c r="W204" i="2"/>
  <c r="X204" i="2" s="1"/>
  <c r="Z204" i="2" s="1"/>
  <c r="W200" i="2"/>
  <c r="X200" i="2" s="1"/>
  <c r="Z200" i="2" s="1"/>
  <c r="W196" i="2"/>
  <c r="X196" i="2" s="1"/>
  <c r="Z196" i="2" s="1"/>
  <c r="W192" i="2"/>
  <c r="X192" i="2" s="1"/>
  <c r="Z192" i="2" s="1"/>
  <c r="W188" i="2"/>
  <c r="X188" i="2" s="1"/>
  <c r="Z188" i="2" s="1"/>
  <c r="W184" i="2"/>
  <c r="X184" i="2" s="1"/>
  <c r="Z184" i="2" s="1"/>
  <c r="W180" i="2"/>
  <c r="X180" i="2" s="1"/>
  <c r="Z180" i="2" s="1"/>
  <c r="W176" i="2"/>
  <c r="X176" i="2" s="1"/>
  <c r="Z176" i="2" s="1"/>
  <c r="W172" i="2"/>
  <c r="X172" i="2" s="1"/>
  <c r="Z172" i="2" s="1"/>
  <c r="W168" i="2"/>
  <c r="X168" i="2" s="1"/>
  <c r="Z168" i="2" s="1"/>
  <c r="W164" i="2"/>
  <c r="X164" i="2" s="1"/>
  <c r="Z164" i="2" s="1"/>
  <c r="W160" i="2"/>
  <c r="X160" i="2" s="1"/>
  <c r="Z160" i="2" s="1"/>
  <c r="W156" i="2"/>
  <c r="X156" i="2" s="1"/>
  <c r="Z156" i="2" s="1"/>
  <c r="W152" i="2"/>
  <c r="X152" i="2" s="1"/>
  <c r="Z152" i="2" s="1"/>
  <c r="W148" i="2"/>
  <c r="X148" i="2" s="1"/>
  <c r="Z148" i="2" s="1"/>
  <c r="W144" i="2"/>
  <c r="X144" i="2" s="1"/>
  <c r="Z144" i="2" s="1"/>
  <c r="W140" i="2"/>
  <c r="X140" i="2" s="1"/>
  <c r="Z140" i="2" s="1"/>
  <c r="W136" i="2"/>
  <c r="X136" i="2" s="1"/>
  <c r="Z136" i="2" s="1"/>
  <c r="W132" i="2"/>
  <c r="X132" i="2" s="1"/>
  <c r="Z132" i="2" s="1"/>
  <c r="W128" i="2"/>
  <c r="X128" i="2" s="1"/>
  <c r="Z128" i="2" s="1"/>
  <c r="W124" i="2"/>
  <c r="X124" i="2" s="1"/>
  <c r="Z124" i="2" s="1"/>
  <c r="W120" i="2"/>
  <c r="X120" i="2" s="1"/>
  <c r="Z120" i="2" s="1"/>
  <c r="W116" i="2"/>
  <c r="X116" i="2" s="1"/>
  <c r="Z116" i="2" s="1"/>
  <c r="W112" i="2"/>
  <c r="X112" i="2" s="1"/>
  <c r="Z112" i="2" s="1"/>
  <c r="W108" i="2"/>
  <c r="X108" i="2" s="1"/>
  <c r="Z108" i="2" s="1"/>
  <c r="W104" i="2"/>
  <c r="X104" i="2" s="1"/>
  <c r="Z104" i="2" s="1"/>
  <c r="W100" i="2"/>
  <c r="X100" i="2" s="1"/>
  <c r="Z100" i="2" s="1"/>
  <c r="W96" i="2"/>
  <c r="X96" i="2" s="1"/>
  <c r="Z96" i="2" s="1"/>
  <c r="W92" i="2"/>
  <c r="X92" i="2" s="1"/>
  <c r="Z92" i="2" s="1"/>
  <c r="W88" i="2"/>
  <c r="X88" i="2" s="1"/>
  <c r="Z88" i="2" s="1"/>
  <c r="W84" i="2"/>
  <c r="X84" i="2" s="1"/>
  <c r="Z84" i="2" s="1"/>
  <c r="W80" i="2"/>
  <c r="X80" i="2" s="1"/>
  <c r="Z80" i="2" s="1"/>
  <c r="W76" i="2"/>
  <c r="X76" i="2" s="1"/>
  <c r="Z76" i="2" s="1"/>
  <c r="W72" i="2"/>
  <c r="X72" i="2" s="1"/>
  <c r="Z72" i="2" s="1"/>
  <c r="W68" i="2"/>
  <c r="X68" i="2" s="1"/>
  <c r="Z68" i="2" s="1"/>
  <c r="W64" i="2"/>
  <c r="X64" i="2" s="1"/>
  <c r="Z64" i="2" s="1"/>
  <c r="W60" i="2"/>
  <c r="X60" i="2" s="1"/>
  <c r="Z60" i="2" s="1"/>
  <c r="W56" i="2"/>
  <c r="X56" i="2" s="1"/>
  <c r="Z56" i="2" s="1"/>
  <c r="W52" i="2"/>
  <c r="X52" i="2" s="1"/>
  <c r="Z52" i="2" s="1"/>
  <c r="W48" i="2"/>
  <c r="X48" i="2" s="1"/>
  <c r="Z48" i="2" s="1"/>
  <c r="W44" i="2"/>
  <c r="X44" i="2" s="1"/>
  <c r="Z44" i="2" s="1"/>
  <c r="W40" i="2"/>
  <c r="X40" i="2" s="1"/>
  <c r="Z40" i="2" s="1"/>
  <c r="W36" i="2"/>
  <c r="X36" i="2" s="1"/>
  <c r="Z36" i="2" s="1"/>
  <c r="W32" i="2"/>
  <c r="X32" i="2" s="1"/>
  <c r="Z32" i="2" s="1"/>
  <c r="W28" i="2"/>
  <c r="X28" i="2" s="1"/>
  <c r="Z28" i="2" s="1"/>
  <c r="W24" i="2"/>
  <c r="X24" i="2" s="1"/>
  <c r="Z24" i="2" s="1"/>
  <c r="W20" i="2"/>
  <c r="X20" i="2" s="1"/>
  <c r="Z20" i="2" s="1"/>
  <c r="W16" i="2"/>
  <c r="X16" i="2" s="1"/>
  <c r="Z16" i="2" s="1"/>
  <c r="W12" i="2"/>
  <c r="X12" i="2" s="1"/>
  <c r="Z12" i="2" s="1"/>
  <c r="W8" i="2"/>
  <c r="X8" i="2" s="1"/>
  <c r="Z8" i="2" s="1"/>
  <c r="W4" i="2"/>
  <c r="X4" i="2" s="1"/>
  <c r="Z4" i="2" s="1"/>
  <c r="W490" i="2"/>
  <c r="X490" i="2" s="1"/>
  <c r="Z490" i="2" s="1"/>
  <c r="W474" i="2"/>
  <c r="X474" i="2" s="1"/>
  <c r="Z474" i="2" s="1"/>
  <c r="W426" i="2"/>
  <c r="X426" i="2" s="1"/>
  <c r="Z426" i="2" s="1"/>
  <c r="W711" i="2"/>
  <c r="X711" i="2" s="1"/>
  <c r="Z711" i="2" s="1"/>
  <c r="W707" i="2"/>
  <c r="X707" i="2" s="1"/>
  <c r="Z707" i="2" s="1"/>
  <c r="W703" i="2"/>
  <c r="X703" i="2" s="1"/>
  <c r="Z703" i="2" s="1"/>
  <c r="W699" i="2"/>
  <c r="X699" i="2" s="1"/>
  <c r="Z699" i="2" s="1"/>
  <c r="W695" i="2"/>
  <c r="X695" i="2" s="1"/>
  <c r="Z695" i="2" s="1"/>
  <c r="W691" i="2"/>
  <c r="X691" i="2" s="1"/>
  <c r="Z691" i="2" s="1"/>
  <c r="W687" i="2"/>
  <c r="X687" i="2" s="1"/>
  <c r="Z687" i="2" s="1"/>
  <c r="W683" i="2"/>
  <c r="X683" i="2" s="1"/>
  <c r="Z683" i="2" s="1"/>
  <c r="W679" i="2"/>
  <c r="X679" i="2" s="1"/>
  <c r="Z679" i="2" s="1"/>
  <c r="W675" i="2"/>
  <c r="X675" i="2" s="1"/>
  <c r="Z675" i="2" s="1"/>
  <c r="W671" i="2"/>
  <c r="X671" i="2" s="1"/>
  <c r="Z671" i="2" s="1"/>
  <c r="W667" i="2"/>
  <c r="X667" i="2" s="1"/>
  <c r="Z667" i="2" s="1"/>
  <c r="W663" i="2"/>
  <c r="X663" i="2" s="1"/>
  <c r="Z663" i="2" s="1"/>
  <c r="W659" i="2"/>
  <c r="X659" i="2" s="1"/>
  <c r="Z659" i="2" s="1"/>
  <c r="W655" i="2"/>
  <c r="X655" i="2" s="1"/>
  <c r="Z655" i="2" s="1"/>
  <c r="X651" i="2"/>
  <c r="Z651" i="2" s="1"/>
  <c r="W651" i="2"/>
  <c r="W647" i="2"/>
  <c r="X647" i="2" s="1"/>
  <c r="Z647" i="2" s="1"/>
  <c r="W643" i="2"/>
  <c r="X643" i="2" s="1"/>
  <c r="Z643" i="2" s="1"/>
  <c r="W639" i="2"/>
  <c r="X639" i="2" s="1"/>
  <c r="Z639" i="2" s="1"/>
  <c r="W635" i="2"/>
  <c r="X635" i="2" s="1"/>
  <c r="Z635" i="2" s="1"/>
  <c r="W631" i="2"/>
  <c r="X631" i="2" s="1"/>
  <c r="Z631" i="2" s="1"/>
  <c r="W627" i="2"/>
  <c r="X627" i="2" s="1"/>
  <c r="Z627" i="2" s="1"/>
  <c r="W623" i="2"/>
  <c r="X623" i="2" s="1"/>
  <c r="Z623" i="2" s="1"/>
  <c r="W619" i="2"/>
  <c r="X619" i="2" s="1"/>
  <c r="Z619" i="2" s="1"/>
  <c r="W615" i="2"/>
  <c r="X615" i="2" s="1"/>
  <c r="Z615" i="2" s="1"/>
  <c r="W611" i="2"/>
  <c r="X611" i="2" s="1"/>
  <c r="Z611" i="2" s="1"/>
  <c r="W607" i="2"/>
  <c r="X607" i="2" s="1"/>
  <c r="Z607" i="2" s="1"/>
  <c r="W603" i="2"/>
  <c r="X603" i="2" s="1"/>
  <c r="Z603" i="2" s="1"/>
  <c r="W599" i="2"/>
  <c r="X599" i="2" s="1"/>
  <c r="Z599" i="2" s="1"/>
  <c r="W595" i="2"/>
  <c r="X595" i="2" s="1"/>
  <c r="Z595" i="2" s="1"/>
  <c r="W591" i="2"/>
  <c r="X591" i="2" s="1"/>
  <c r="Z591" i="2" s="1"/>
  <c r="W587" i="2"/>
  <c r="X587" i="2" s="1"/>
  <c r="Z587" i="2" s="1"/>
  <c r="W583" i="2"/>
  <c r="X583" i="2" s="1"/>
  <c r="Z583" i="2" s="1"/>
  <c r="W579" i="2"/>
  <c r="X579" i="2" s="1"/>
  <c r="Z579" i="2" s="1"/>
  <c r="W575" i="2"/>
  <c r="X575" i="2" s="1"/>
  <c r="Z575" i="2" s="1"/>
  <c r="W571" i="2"/>
  <c r="X571" i="2" s="1"/>
  <c r="Z571" i="2" s="1"/>
  <c r="W567" i="2"/>
  <c r="X567" i="2" s="1"/>
  <c r="Z567" i="2" s="1"/>
  <c r="W563" i="2"/>
  <c r="X563" i="2" s="1"/>
  <c r="Z563" i="2" s="1"/>
  <c r="W559" i="2"/>
  <c r="X559" i="2" s="1"/>
  <c r="Z559" i="2" s="1"/>
  <c r="W555" i="2"/>
  <c r="X555" i="2" s="1"/>
  <c r="Z555" i="2" s="1"/>
  <c r="W551" i="2"/>
  <c r="X551" i="2" s="1"/>
  <c r="Z551" i="2" s="1"/>
  <c r="W547" i="2"/>
  <c r="X547" i="2" s="1"/>
  <c r="Z547" i="2" s="1"/>
  <c r="W543" i="2"/>
  <c r="X543" i="2" s="1"/>
  <c r="Z543" i="2" s="1"/>
  <c r="W539" i="2"/>
  <c r="X539" i="2" s="1"/>
  <c r="Z539" i="2" s="1"/>
  <c r="W535" i="2"/>
  <c r="X535" i="2" s="1"/>
  <c r="Z535" i="2" s="1"/>
  <c r="W531" i="2"/>
  <c r="X531" i="2" s="1"/>
  <c r="Z531" i="2" s="1"/>
  <c r="W527" i="2"/>
  <c r="X527" i="2" s="1"/>
  <c r="Z527" i="2" s="1"/>
  <c r="W523" i="2"/>
  <c r="X523" i="2" s="1"/>
  <c r="Z523" i="2" s="1"/>
  <c r="W519" i="2"/>
  <c r="X519" i="2" s="1"/>
  <c r="Z519" i="2" s="1"/>
  <c r="W515" i="2"/>
  <c r="X515" i="2" s="1"/>
  <c r="Z515" i="2" s="1"/>
  <c r="W511" i="2"/>
  <c r="X511" i="2" s="1"/>
  <c r="Z511" i="2" s="1"/>
  <c r="W507" i="2"/>
  <c r="X507" i="2" s="1"/>
  <c r="Z507" i="2" s="1"/>
  <c r="W503" i="2"/>
  <c r="X503" i="2" s="1"/>
  <c r="Z503" i="2" s="1"/>
  <c r="W499" i="2"/>
  <c r="X499" i="2" s="1"/>
  <c r="Z499" i="2" s="1"/>
  <c r="W495" i="2"/>
  <c r="X495" i="2" s="1"/>
  <c r="Z495" i="2" s="1"/>
  <c r="W491" i="2"/>
  <c r="X491" i="2" s="1"/>
  <c r="Z491" i="2" s="1"/>
  <c r="W487" i="2"/>
  <c r="X487" i="2" s="1"/>
  <c r="Z487" i="2" s="1"/>
  <c r="W483" i="2"/>
  <c r="X483" i="2" s="1"/>
  <c r="Z483" i="2" s="1"/>
  <c r="W479" i="2"/>
  <c r="X479" i="2" s="1"/>
  <c r="Z479" i="2" s="1"/>
  <c r="W475" i="2"/>
  <c r="X475" i="2" s="1"/>
  <c r="Z475" i="2" s="1"/>
  <c r="W471" i="2"/>
  <c r="X471" i="2" s="1"/>
  <c r="Z471" i="2" s="1"/>
  <c r="W467" i="2"/>
  <c r="X467" i="2" s="1"/>
  <c r="Z467" i="2" s="1"/>
  <c r="W463" i="2"/>
  <c r="X463" i="2" s="1"/>
  <c r="Z463" i="2" s="1"/>
  <c r="W459" i="2"/>
  <c r="X459" i="2" s="1"/>
  <c r="Z459" i="2" s="1"/>
  <c r="W455" i="2"/>
  <c r="X455" i="2" s="1"/>
  <c r="Z455" i="2" s="1"/>
  <c r="W451" i="2"/>
  <c r="X451" i="2" s="1"/>
  <c r="Z451" i="2" s="1"/>
  <c r="W447" i="2"/>
  <c r="X447" i="2" s="1"/>
  <c r="Z447" i="2" s="1"/>
  <c r="W443" i="2"/>
  <c r="X443" i="2" s="1"/>
  <c r="Z443" i="2" s="1"/>
  <c r="W439" i="2"/>
  <c r="X439" i="2" s="1"/>
  <c r="Z439" i="2" s="1"/>
  <c r="W435" i="2"/>
  <c r="X435" i="2" s="1"/>
  <c r="Z435" i="2" s="1"/>
  <c r="W431" i="2"/>
  <c r="X431" i="2" s="1"/>
  <c r="Z431" i="2" s="1"/>
  <c r="W427" i="2"/>
  <c r="X427" i="2" s="1"/>
  <c r="Z427" i="2" s="1"/>
  <c r="W423" i="2"/>
  <c r="X423" i="2" s="1"/>
  <c r="Z423" i="2" s="1"/>
  <c r="W419" i="2"/>
  <c r="X419" i="2" s="1"/>
  <c r="Z419" i="2" s="1"/>
  <c r="W415" i="2"/>
  <c r="X415" i="2" s="1"/>
  <c r="Z415" i="2" s="1"/>
  <c r="W411" i="2"/>
  <c r="X411" i="2" s="1"/>
  <c r="Z411" i="2" s="1"/>
  <c r="W407" i="2"/>
  <c r="X407" i="2" s="1"/>
  <c r="Z407" i="2" s="1"/>
  <c r="W403" i="2"/>
  <c r="X403" i="2" s="1"/>
  <c r="Z403" i="2" s="1"/>
  <c r="W399" i="2"/>
  <c r="X399" i="2" s="1"/>
  <c r="Z399" i="2" s="1"/>
  <c r="W395" i="2"/>
  <c r="X395" i="2" s="1"/>
  <c r="Z395" i="2" s="1"/>
  <c r="W391" i="2"/>
  <c r="X391" i="2" s="1"/>
  <c r="Z391" i="2" s="1"/>
  <c r="W387" i="2"/>
  <c r="X387" i="2" s="1"/>
  <c r="Z387" i="2" s="1"/>
  <c r="W383" i="2"/>
  <c r="X383" i="2" s="1"/>
  <c r="Z383" i="2" s="1"/>
  <c r="W379" i="2"/>
  <c r="X379" i="2" s="1"/>
  <c r="Z379" i="2" s="1"/>
  <c r="W375" i="2"/>
  <c r="X375" i="2" s="1"/>
  <c r="Z375" i="2" s="1"/>
  <c r="W371" i="2"/>
  <c r="X371" i="2" s="1"/>
  <c r="Z371" i="2" s="1"/>
  <c r="W367" i="2"/>
  <c r="X367" i="2" s="1"/>
  <c r="Z367" i="2" s="1"/>
  <c r="W363" i="2"/>
  <c r="X363" i="2" s="1"/>
  <c r="Z363" i="2" s="1"/>
  <c r="W359" i="2"/>
  <c r="X359" i="2" s="1"/>
  <c r="Z359" i="2" s="1"/>
  <c r="W355" i="2"/>
  <c r="X355" i="2" s="1"/>
  <c r="Z355" i="2" s="1"/>
  <c r="W351" i="2"/>
  <c r="X351" i="2" s="1"/>
  <c r="Z351" i="2" s="1"/>
  <c r="W347" i="2"/>
  <c r="X347" i="2" s="1"/>
  <c r="Z347" i="2" s="1"/>
  <c r="W343" i="2"/>
  <c r="X343" i="2" s="1"/>
  <c r="Z343" i="2" s="1"/>
  <c r="W339" i="2"/>
  <c r="X339" i="2" s="1"/>
  <c r="Z339" i="2" s="1"/>
  <c r="W335" i="2"/>
  <c r="X335" i="2" s="1"/>
  <c r="Z335" i="2" s="1"/>
  <c r="W331" i="2"/>
  <c r="X331" i="2" s="1"/>
  <c r="Z331" i="2" s="1"/>
  <c r="W327" i="2"/>
  <c r="X327" i="2" s="1"/>
  <c r="Z327" i="2" s="1"/>
  <c r="W323" i="2"/>
  <c r="X323" i="2" s="1"/>
  <c r="Z323" i="2" s="1"/>
  <c r="W319" i="2"/>
  <c r="X319" i="2" s="1"/>
  <c r="Z319" i="2" s="1"/>
  <c r="W315" i="2"/>
  <c r="X315" i="2" s="1"/>
  <c r="Z315" i="2" s="1"/>
  <c r="W311" i="2"/>
  <c r="X311" i="2" s="1"/>
  <c r="Z311" i="2" s="1"/>
  <c r="W307" i="2"/>
  <c r="X307" i="2" s="1"/>
  <c r="Z307" i="2" s="1"/>
  <c r="W303" i="2"/>
  <c r="X303" i="2" s="1"/>
  <c r="Z303" i="2" s="1"/>
  <c r="W299" i="2"/>
  <c r="X299" i="2" s="1"/>
  <c r="Z299" i="2" s="1"/>
  <c r="W295" i="2"/>
  <c r="X295" i="2" s="1"/>
  <c r="Z295" i="2" s="1"/>
  <c r="W291" i="2"/>
  <c r="X291" i="2" s="1"/>
  <c r="Z291" i="2" s="1"/>
  <c r="W287" i="2"/>
  <c r="X287" i="2" s="1"/>
  <c r="Z287" i="2" s="1"/>
  <c r="W283" i="2"/>
  <c r="X283" i="2" s="1"/>
  <c r="Z283" i="2" s="1"/>
  <c r="W279" i="2"/>
  <c r="X279" i="2" s="1"/>
  <c r="Z279" i="2" s="1"/>
  <c r="W275" i="2"/>
  <c r="X275" i="2" s="1"/>
  <c r="Z275" i="2" s="1"/>
  <c r="W271" i="2"/>
  <c r="X271" i="2" s="1"/>
  <c r="Z271" i="2" s="1"/>
  <c r="W267" i="2"/>
  <c r="X267" i="2" s="1"/>
  <c r="Z267" i="2" s="1"/>
  <c r="W263" i="2"/>
  <c r="X263" i="2" s="1"/>
  <c r="Z263" i="2" s="1"/>
  <c r="W259" i="2"/>
  <c r="X259" i="2" s="1"/>
  <c r="Z259" i="2" s="1"/>
  <c r="W255" i="2"/>
  <c r="X255" i="2" s="1"/>
  <c r="Z255" i="2" s="1"/>
  <c r="W251" i="2"/>
  <c r="X251" i="2" s="1"/>
  <c r="Z251" i="2" s="1"/>
  <c r="W247" i="2"/>
  <c r="X247" i="2" s="1"/>
  <c r="Z247" i="2" s="1"/>
  <c r="W243" i="2"/>
  <c r="X243" i="2" s="1"/>
  <c r="Z243" i="2" s="1"/>
  <c r="W239" i="2"/>
  <c r="X239" i="2" s="1"/>
  <c r="Z239" i="2" s="1"/>
  <c r="W235" i="2"/>
  <c r="X235" i="2" s="1"/>
  <c r="Z235" i="2" s="1"/>
  <c r="W231" i="2"/>
  <c r="X231" i="2" s="1"/>
  <c r="Z231" i="2" s="1"/>
  <c r="W227" i="2"/>
  <c r="X227" i="2" s="1"/>
  <c r="Z227" i="2" s="1"/>
  <c r="W223" i="2"/>
  <c r="X223" i="2" s="1"/>
  <c r="Z223" i="2" s="1"/>
  <c r="W219" i="2"/>
  <c r="X219" i="2" s="1"/>
  <c r="Z219" i="2" s="1"/>
  <c r="W215" i="2"/>
  <c r="X215" i="2" s="1"/>
  <c r="Z215" i="2" s="1"/>
  <c r="W211" i="2"/>
  <c r="X211" i="2" s="1"/>
  <c r="Z211" i="2" s="1"/>
  <c r="W207" i="2"/>
  <c r="X207" i="2" s="1"/>
  <c r="Z207" i="2" s="1"/>
  <c r="W203" i="2"/>
  <c r="X203" i="2" s="1"/>
  <c r="Z203" i="2" s="1"/>
  <c r="W199" i="2"/>
  <c r="X199" i="2" s="1"/>
  <c r="Z199" i="2" s="1"/>
  <c r="W195" i="2"/>
  <c r="X195" i="2" s="1"/>
  <c r="Z195" i="2" s="1"/>
  <c r="W191" i="2"/>
  <c r="X191" i="2" s="1"/>
  <c r="Z191" i="2" s="1"/>
  <c r="W187" i="2"/>
  <c r="X187" i="2" s="1"/>
  <c r="Z187" i="2" s="1"/>
  <c r="W183" i="2"/>
  <c r="X183" i="2" s="1"/>
  <c r="Z183" i="2" s="1"/>
  <c r="W179" i="2"/>
  <c r="X179" i="2" s="1"/>
  <c r="Z179" i="2" s="1"/>
  <c r="W175" i="2"/>
  <c r="X175" i="2" s="1"/>
  <c r="Z175" i="2" s="1"/>
  <c r="W171" i="2"/>
  <c r="X171" i="2" s="1"/>
  <c r="Z171" i="2" s="1"/>
  <c r="W167" i="2"/>
  <c r="X167" i="2" s="1"/>
  <c r="Z167" i="2" s="1"/>
  <c r="W163" i="2"/>
  <c r="X163" i="2" s="1"/>
  <c r="Z163" i="2" s="1"/>
  <c r="W159" i="2"/>
  <c r="X159" i="2" s="1"/>
  <c r="Z159" i="2" s="1"/>
  <c r="W155" i="2"/>
  <c r="X155" i="2" s="1"/>
  <c r="Z155" i="2" s="1"/>
  <c r="W151" i="2"/>
  <c r="X151" i="2" s="1"/>
  <c r="Z151" i="2" s="1"/>
  <c r="W147" i="2"/>
  <c r="X147" i="2" s="1"/>
  <c r="Z147" i="2" s="1"/>
  <c r="W143" i="2"/>
  <c r="X143" i="2" s="1"/>
  <c r="Z143" i="2" s="1"/>
  <c r="W139" i="2"/>
  <c r="X139" i="2" s="1"/>
  <c r="Z139" i="2" s="1"/>
  <c r="W135" i="2"/>
  <c r="X135" i="2" s="1"/>
  <c r="Z135" i="2" s="1"/>
  <c r="W131" i="2"/>
  <c r="X131" i="2" s="1"/>
  <c r="Z131" i="2" s="1"/>
  <c r="W127" i="2"/>
  <c r="X127" i="2" s="1"/>
  <c r="Z127" i="2" s="1"/>
  <c r="W123" i="2"/>
  <c r="X123" i="2" s="1"/>
  <c r="Z123" i="2" s="1"/>
  <c r="W119" i="2"/>
  <c r="X119" i="2" s="1"/>
  <c r="Z119" i="2" s="1"/>
  <c r="W115" i="2"/>
  <c r="X115" i="2" s="1"/>
  <c r="Z115" i="2" s="1"/>
  <c r="W111" i="2"/>
  <c r="X111" i="2" s="1"/>
  <c r="Z111" i="2" s="1"/>
  <c r="W107" i="2"/>
  <c r="X107" i="2" s="1"/>
  <c r="Z107" i="2" s="1"/>
  <c r="W103" i="2"/>
  <c r="X103" i="2" s="1"/>
  <c r="Z103" i="2" s="1"/>
  <c r="W99" i="2"/>
  <c r="X99" i="2" s="1"/>
  <c r="Z99" i="2" s="1"/>
  <c r="W95" i="2"/>
  <c r="X95" i="2" s="1"/>
  <c r="Z95" i="2" s="1"/>
  <c r="W91" i="2"/>
  <c r="X91" i="2" s="1"/>
  <c r="Z91" i="2" s="1"/>
  <c r="W87" i="2"/>
  <c r="X87" i="2" s="1"/>
  <c r="Z87" i="2" s="1"/>
  <c r="W83" i="2"/>
  <c r="X83" i="2" s="1"/>
  <c r="Z83" i="2" s="1"/>
  <c r="W79" i="2"/>
  <c r="X79" i="2" s="1"/>
  <c r="Z79" i="2" s="1"/>
  <c r="W75" i="2"/>
  <c r="X75" i="2" s="1"/>
  <c r="Z75" i="2" s="1"/>
  <c r="W71" i="2"/>
  <c r="X71" i="2" s="1"/>
  <c r="Z71" i="2" s="1"/>
  <c r="W67" i="2"/>
  <c r="X67" i="2" s="1"/>
  <c r="Z67" i="2" s="1"/>
  <c r="W63" i="2"/>
  <c r="X63" i="2" s="1"/>
  <c r="Z63" i="2" s="1"/>
  <c r="W59" i="2"/>
  <c r="X59" i="2" s="1"/>
  <c r="Z59" i="2" s="1"/>
  <c r="W55" i="2"/>
  <c r="X55" i="2" s="1"/>
  <c r="Z55" i="2" s="1"/>
  <c r="W51" i="2"/>
  <c r="X51" i="2" s="1"/>
  <c r="Z51" i="2" s="1"/>
  <c r="W47" i="2"/>
  <c r="X47" i="2" s="1"/>
  <c r="Z47" i="2" s="1"/>
  <c r="W43" i="2"/>
  <c r="X43" i="2" s="1"/>
  <c r="Z43" i="2" s="1"/>
  <c r="W39" i="2"/>
  <c r="X39" i="2" s="1"/>
  <c r="Z39" i="2" s="1"/>
  <c r="W35" i="2"/>
  <c r="X35" i="2" s="1"/>
  <c r="Z35" i="2" s="1"/>
  <c r="W31" i="2"/>
  <c r="X31" i="2" s="1"/>
  <c r="Z31" i="2" s="1"/>
  <c r="W27" i="2"/>
  <c r="X27" i="2" s="1"/>
  <c r="Z27" i="2" s="1"/>
  <c r="W23" i="2"/>
  <c r="X23" i="2" s="1"/>
  <c r="Z23" i="2" s="1"/>
  <c r="W19" i="2"/>
  <c r="X19" i="2" s="1"/>
  <c r="Z19" i="2" s="1"/>
  <c r="W15" i="2"/>
  <c r="X15" i="2" s="1"/>
  <c r="Z15" i="2" s="1"/>
  <c r="W11" i="2"/>
  <c r="X11" i="2" s="1"/>
  <c r="Z11" i="2" s="1"/>
  <c r="W7" i="2"/>
  <c r="X7" i="2" s="1"/>
  <c r="Z7" i="2" s="1"/>
  <c r="G47" i="3"/>
  <c r="G43" i="3"/>
  <c r="G39" i="3"/>
  <c r="G35" i="3"/>
  <c r="G31" i="3"/>
  <c r="G27" i="3"/>
  <c r="G23" i="3"/>
  <c r="G19" i="3"/>
  <c r="G15" i="3"/>
  <c r="G11" i="3"/>
  <c r="G7" i="3"/>
  <c r="G46" i="3"/>
  <c r="G42" i="3"/>
  <c r="G38" i="3"/>
  <c r="G34" i="3"/>
  <c r="G30" i="3"/>
  <c r="G26" i="3"/>
  <c r="G22" i="3"/>
  <c r="G18" i="3"/>
  <c r="G14" i="3"/>
  <c r="G10" i="3"/>
  <c r="G6" i="3"/>
  <c r="G45" i="3"/>
  <c r="G41" i="3"/>
  <c r="G37" i="3"/>
  <c r="G33" i="3"/>
  <c r="G29" i="3"/>
  <c r="G25" i="3"/>
  <c r="G21" i="3"/>
  <c r="G17" i="3"/>
  <c r="G13" i="3"/>
  <c r="G9" i="3"/>
  <c r="G5" i="3"/>
  <c r="G44" i="3"/>
  <c r="G40" i="3"/>
  <c r="G36" i="3"/>
  <c r="G32" i="3"/>
  <c r="G28" i="3"/>
  <c r="G24" i="3"/>
  <c r="G20" i="3"/>
  <c r="G16" i="3"/>
  <c r="G12" i="3"/>
  <c r="G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4239ED-1681-448E-BC22-11F5782C9EE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92FE771-8AA6-472E-A0D0-7B65A2BEFCDC}" name="WorksheetConnection_Store Data.xlsx!Table1" type="102" refreshedVersion="8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StoreData.xlsxTable11"/>
        </x15:connection>
      </ext>
    </extLst>
  </connection>
</connections>
</file>

<file path=xl/sharedStrings.xml><?xml version="1.0" encoding="utf-8"?>
<sst xmlns="http://schemas.openxmlformats.org/spreadsheetml/2006/main" count="11391" uniqueCount="2133">
  <si>
    <t>Column Name</t>
  </si>
  <si>
    <t>Description</t>
  </si>
  <si>
    <t>Order No</t>
  </si>
  <si>
    <t>Nomor pembelian</t>
  </si>
  <si>
    <t>Order Date</t>
  </si>
  <si>
    <t>Tanggal pembelian</t>
  </si>
  <si>
    <t>Order Year</t>
  </si>
  <si>
    <t>Tahun pembelian</t>
  </si>
  <si>
    <t>Customer Name</t>
  </si>
  <si>
    <t>Nama pelanggan</t>
  </si>
  <si>
    <t>Address</t>
  </si>
  <si>
    <t>Alamat pelanggan</t>
  </si>
  <si>
    <t>City</t>
  </si>
  <si>
    <t>Kota pelanggan</t>
  </si>
  <si>
    <t>Customer Type</t>
  </si>
  <si>
    <t>Tipe pelanggan</t>
  </si>
  <si>
    <t>Account Manager ID</t>
  </si>
  <si>
    <t>Manager</t>
  </si>
  <si>
    <t>Order Priority</t>
  </si>
  <si>
    <t>Prioritas pembelian</t>
  </si>
  <si>
    <t>Product Name</t>
  </si>
  <si>
    <t>Nama produk</t>
  </si>
  <si>
    <t>Product Category</t>
  </si>
  <si>
    <t>Kategori produk</t>
  </si>
  <si>
    <t>Product Container</t>
  </si>
  <si>
    <t>Packing produk</t>
  </si>
  <si>
    <t>Ship Mode</t>
  </si>
  <si>
    <t>Pengiriman</t>
  </si>
  <si>
    <t>Ship Date</t>
  </si>
  <si>
    <t>Tangal pengiriman</t>
  </si>
  <si>
    <t>Cost Price</t>
  </si>
  <si>
    <t>Biaya produksi</t>
  </si>
  <si>
    <t>Retail Price</t>
  </si>
  <si>
    <t>Harga penjualan</t>
  </si>
  <si>
    <t>Profit Margin</t>
  </si>
  <si>
    <t>Keuntungan</t>
  </si>
  <si>
    <t>Order Quantity</t>
  </si>
  <si>
    <t>Jumlah pembelian</t>
  </si>
  <si>
    <t>Sub Total</t>
  </si>
  <si>
    <t>Total pembelian</t>
  </si>
  <si>
    <t>Discount %</t>
  </si>
  <si>
    <t>Diskon dalam persentase</t>
  </si>
  <si>
    <t>Discount Rp</t>
  </si>
  <si>
    <t>Diskon dalam mata uang</t>
  </si>
  <si>
    <t>Order Total</t>
  </si>
  <si>
    <t>Total keseluruhan dengan diskon</t>
  </si>
  <si>
    <t>Shipping Cost</t>
  </si>
  <si>
    <t>Biaya pengiriman</t>
  </si>
  <si>
    <t>Total</t>
  </si>
  <si>
    <t>Total yang dibayarkan</t>
  </si>
  <si>
    <t>Superstore Data</t>
  </si>
  <si>
    <t>5014-1</t>
  </si>
  <si>
    <t>Wawan Riyanti</t>
  </si>
  <si>
    <t>Jl. Antapani Lama No. 705</t>
  </si>
  <si>
    <t>Jakarta</t>
  </si>
  <si>
    <t>Home Office</t>
  </si>
  <si>
    <t>E1028</t>
  </si>
  <si>
    <t>High</t>
  </si>
  <si>
    <t>Artisan Heavy-Duty EZD  Binder With Locking Rings</t>
  </si>
  <si>
    <t>Office Supplies</t>
  </si>
  <si>
    <t>Small Box</t>
  </si>
  <si>
    <t>Regular Air</t>
  </si>
  <si>
    <t>5016-1</t>
  </si>
  <si>
    <t>Aditya Nainggolan</t>
  </si>
  <si>
    <t>Jl. Surapati No. 996</t>
  </si>
  <si>
    <t>E1029</t>
  </si>
  <si>
    <t>DrawIt Pizazz Watercolor Pencils, 10-Color Set with Brush</t>
  </si>
  <si>
    <t>Wrap Bag</t>
  </si>
  <si>
    <t>5018-1</t>
  </si>
  <si>
    <t>Rafid Sudiati</t>
  </si>
  <si>
    <t>Jalan K.H. Wahid Hasyim No. 5</t>
  </si>
  <si>
    <t>Surabaya</t>
  </si>
  <si>
    <t>Corporate</t>
  </si>
  <si>
    <t>E1030</t>
  </si>
  <si>
    <t>Critical</t>
  </si>
  <si>
    <t>Message Book, One Form per Page</t>
  </si>
  <si>
    <t>Express Air</t>
  </si>
  <si>
    <t>5019-1</t>
  </si>
  <si>
    <t>Pangestu Maulana</t>
  </si>
  <si>
    <t>Gg. Joyoboyo No. 026</t>
  </si>
  <si>
    <t>Cando S750 Color Inkjet Printer</t>
  </si>
  <si>
    <t>Technology</t>
  </si>
  <si>
    <t>Jumbo Drum</t>
  </si>
  <si>
    <t>Delivery Truck</t>
  </si>
  <si>
    <t>5020-1</t>
  </si>
  <si>
    <t>Pangestu Hariyah</t>
  </si>
  <si>
    <t>Gg. Surapati No. 4</t>
  </si>
  <si>
    <t>Consumer</t>
  </si>
  <si>
    <t>E1031</t>
  </si>
  <si>
    <t>Steady EarthWrite Recycled Pencils, Medium Soft, #2</t>
  </si>
  <si>
    <t>5023-1</t>
  </si>
  <si>
    <t>Nilam Suwarno</t>
  </si>
  <si>
    <t>Low</t>
  </si>
  <si>
    <t>12 Colored Short Pencils</t>
  </si>
  <si>
    <t>5024-1</t>
  </si>
  <si>
    <t>Endra Hutapea</t>
  </si>
  <si>
    <t>Gg. Joyoboyo No. 691</t>
  </si>
  <si>
    <t>E1032</t>
  </si>
  <si>
    <t>Multimedia Mailers</t>
  </si>
  <si>
    <t>5025-1</t>
  </si>
  <si>
    <t>Embuh Wibisono</t>
  </si>
  <si>
    <t>Jalan Ciwastra No. 383</t>
  </si>
  <si>
    <t>Pizazz Dustless Chalk Sticks</t>
  </si>
  <si>
    <t>5027-1</t>
  </si>
  <si>
    <t>Unggul Zulaika</t>
  </si>
  <si>
    <t>Jl. Jend. Sudirman No. 0</t>
  </si>
  <si>
    <t>Small Business</t>
  </si>
  <si>
    <t>Not Specified</t>
  </si>
  <si>
    <t>TypeRight Side-Opening Peel &amp; Seel Expanding Envelopes</t>
  </si>
  <si>
    <t>5029-1</t>
  </si>
  <si>
    <t>Gina Rajata</t>
  </si>
  <si>
    <t>Gang Gedebage Selatan No. 424</t>
  </si>
  <si>
    <t>E1033</t>
  </si>
  <si>
    <t>Artisan Printable Repositionable Plastic Tabs</t>
  </si>
  <si>
    <t>5031-1</t>
  </si>
  <si>
    <t>Opung Kuswoyo</t>
  </si>
  <si>
    <t>Gg. Otto Iskandardinata No. 6</t>
  </si>
  <si>
    <t>Medium</t>
  </si>
  <si>
    <t>Security-Tint Envelopes</t>
  </si>
  <si>
    <t>5033-1</t>
  </si>
  <si>
    <t>Rafi Januar</t>
  </si>
  <si>
    <t>Gg. Waringin No. 112</t>
  </si>
  <si>
    <t>E1034</t>
  </si>
  <si>
    <t>5034-1</t>
  </si>
  <si>
    <t>Ajimat Hutapea</t>
  </si>
  <si>
    <t>Jl. Dipenogoro No. 422</t>
  </si>
  <si>
    <t>Artisan Arch Ring Binders</t>
  </si>
  <si>
    <t>5036-1</t>
  </si>
  <si>
    <t>Rafi Anggriawan</t>
  </si>
  <si>
    <t>Gg. Stasiun Wonokromo No. 0</t>
  </si>
  <si>
    <t>OIC Thumb-Tacks</t>
  </si>
  <si>
    <t>5037-1</t>
  </si>
  <si>
    <t>Balamantri Mandasari</t>
  </si>
  <si>
    <t>Gang Sadang Serang No. 74</t>
  </si>
  <si>
    <t>E1035</t>
  </si>
  <si>
    <t>Apex Elite Stainless Steel Scissors</t>
  </si>
  <si>
    <t>Small Pack</t>
  </si>
  <si>
    <t>5038-1</t>
  </si>
  <si>
    <t>Gaduh Hassanah</t>
  </si>
  <si>
    <t>5039-1</t>
  </si>
  <si>
    <t>Bagya Permadi</t>
  </si>
  <si>
    <t>Jalan Jamika No. 4</t>
  </si>
  <si>
    <t>Alto Parchment Paper, Assorted Colors</t>
  </si>
  <si>
    <t>5040-1</t>
  </si>
  <si>
    <t>Labuh Permata</t>
  </si>
  <si>
    <t>Jalan Jend. A. Yani No. 48</t>
  </si>
  <si>
    <t>E1036</t>
  </si>
  <si>
    <t>Steady Colorific Colored Pencils, 12/Box</t>
  </si>
  <si>
    <t>5043-1</t>
  </si>
  <si>
    <t>Lantar Yuliarti</t>
  </si>
  <si>
    <t>Jl. Astana Anyar No. 51</t>
  </si>
  <si>
    <t>Smiths Gold Paper Clips</t>
  </si>
  <si>
    <t>5045-1</t>
  </si>
  <si>
    <t>Darijan Pratiwi</t>
  </si>
  <si>
    <t>Gang Otto Iskandardinata No. 167</t>
  </si>
  <si>
    <t>E1037</t>
  </si>
  <si>
    <t>UGen RF Keyboard</t>
  </si>
  <si>
    <t>5047-1</t>
  </si>
  <si>
    <t>Ami Utami</t>
  </si>
  <si>
    <t>Jl. S. Parman No. 91</t>
  </si>
  <si>
    <t>5048-1</t>
  </si>
  <si>
    <t>Citra Riyanti</t>
  </si>
  <si>
    <t>Smiths Standard Envelopes</t>
  </si>
  <si>
    <t>5049-1</t>
  </si>
  <si>
    <t>Aris Ardianto</t>
  </si>
  <si>
    <t>Gg. Suniaraja No. 21</t>
  </si>
  <si>
    <t>Office Shears by Apex</t>
  </si>
  <si>
    <t>5050-1</t>
  </si>
  <si>
    <t>Kenes Nababan</t>
  </si>
  <si>
    <t>Gg. M.H Thamrin No. 784</t>
  </si>
  <si>
    <t>5052-1</t>
  </si>
  <si>
    <t>Cindy Maryati</t>
  </si>
  <si>
    <t>Gg. Jakarta No. 646</t>
  </si>
  <si>
    <t>EcoTones Memo Sheets</t>
  </si>
  <si>
    <t>5055-1</t>
  </si>
  <si>
    <t>Prakosa Budiman</t>
  </si>
  <si>
    <t>Gg. Dr. Djunjunan No. 33</t>
  </si>
  <si>
    <t>Smiths Premium Bright 1-Part Blank Computer Paper</t>
  </si>
  <si>
    <t>5057-1</t>
  </si>
  <si>
    <t>Padma Nugroho</t>
  </si>
  <si>
    <t>Gg. Monginsidi No. 3</t>
  </si>
  <si>
    <t>Artisan 479 Labels</t>
  </si>
  <si>
    <t>5059-1</t>
  </si>
  <si>
    <t>Ani Maryadi</t>
  </si>
  <si>
    <t>Gang Soekarno Hatta No. 2</t>
  </si>
  <si>
    <t>E1038</t>
  </si>
  <si>
    <t>Beekin 105-Key Black Keyboard</t>
  </si>
  <si>
    <t>5060-1</t>
  </si>
  <si>
    <t>Bakidin Anggraini</t>
  </si>
  <si>
    <t>Jl. Rumah Sakit No. 738</t>
  </si>
  <si>
    <t>Adesso Programmable 142-Key Keyboard</t>
  </si>
  <si>
    <t>5061-1</t>
  </si>
  <si>
    <t>Koko Setiawan</t>
  </si>
  <si>
    <t>Gang Yos Sudarso No. 13</t>
  </si>
  <si>
    <t>E1039</t>
  </si>
  <si>
    <t>5062-1</t>
  </si>
  <si>
    <t>Teddy Yuniar</t>
  </si>
  <si>
    <t>TechSavi Access Keyboard</t>
  </si>
  <si>
    <t>5063-1</t>
  </si>
  <si>
    <t>Narji Wastuti</t>
  </si>
  <si>
    <t>Smiths SlimLine Pencil Sharpener</t>
  </si>
  <si>
    <t>5064-1</t>
  </si>
  <si>
    <t>Ami Maheswara</t>
  </si>
  <si>
    <t>Artisan Premier Heavy-Duty Binder with Round Locking Rings</t>
  </si>
  <si>
    <t>5066-1</t>
  </si>
  <si>
    <t>Pandu Mustofa</t>
  </si>
  <si>
    <t>Gang Asia Afrika No. 72</t>
  </si>
  <si>
    <t>5068-1</t>
  </si>
  <si>
    <t>Ganep Waluyo</t>
  </si>
  <si>
    <t>Jl. Jamika No. 246</t>
  </si>
  <si>
    <t>5070-1</t>
  </si>
  <si>
    <t>Elma Agustina</t>
  </si>
  <si>
    <t>Steady Liquid Accent Highlighters</t>
  </si>
  <si>
    <t>5071-1</t>
  </si>
  <si>
    <t>Wani Astuti</t>
  </si>
  <si>
    <t>Gg. Siliwangi No. 82</t>
  </si>
  <si>
    <t>Laser Neon Mac Format Diskettes, 10/Pack</t>
  </si>
  <si>
    <t>5071-2</t>
  </si>
  <si>
    <t>5075-1</t>
  </si>
  <si>
    <t>Raditya Uwais</t>
  </si>
  <si>
    <t>5077-1</t>
  </si>
  <si>
    <t>Cahyono Hidayanto</t>
  </si>
  <si>
    <t>Jl. Gardujati No. 82</t>
  </si>
  <si>
    <t>5079-1</t>
  </si>
  <si>
    <t>Rika Uwais</t>
  </si>
  <si>
    <t>Gang Pacuan Kuda No. 04</t>
  </si>
  <si>
    <t>1726 Digital Answering Machine</t>
  </si>
  <si>
    <t>Medium Box</t>
  </si>
  <si>
    <t>5081-1</t>
  </si>
  <si>
    <t>Indra Jailani</t>
  </si>
  <si>
    <t>5084-1</t>
  </si>
  <si>
    <t>5086-1</t>
  </si>
  <si>
    <t>Umaya Yulianti</t>
  </si>
  <si>
    <t>Jl. Ciwastra No. 543</t>
  </si>
  <si>
    <t>Artisan Flip-Chart Easel Binder, Black</t>
  </si>
  <si>
    <t>5087-1</t>
  </si>
  <si>
    <t>Yuni Pradipta</t>
  </si>
  <si>
    <t>Jalan Jayawijaya No. 5</t>
  </si>
  <si>
    <t>DrawIt Colored Pencils, 48-Color Set</t>
  </si>
  <si>
    <t>5089-1</t>
  </si>
  <si>
    <t>Kasiran Firgantoro</t>
  </si>
  <si>
    <t>Jalan Gardujati No. 513</t>
  </si>
  <si>
    <t>600 Series Non-Flip</t>
  </si>
  <si>
    <t>5091-1</t>
  </si>
  <si>
    <t>Gara Aryani</t>
  </si>
  <si>
    <t>Gang R.E Martadinata No. 969</t>
  </si>
  <si>
    <t>210 Trimline Phone, White</t>
  </si>
  <si>
    <t>5093-1</t>
  </si>
  <si>
    <t>Steady Major Accent Highlighters</t>
  </si>
  <si>
    <t>5095-1</t>
  </si>
  <si>
    <t>Saadat Hutapea</t>
  </si>
  <si>
    <t>Jalan PHH. Mustofa No. 625</t>
  </si>
  <si>
    <t>Aluminum Document Frame</t>
  </si>
  <si>
    <t>Furniture</t>
  </si>
  <si>
    <t>5097-1</t>
  </si>
  <si>
    <t>Asman Dongoran</t>
  </si>
  <si>
    <t>Artisan Legal 4-Ring Binder</t>
  </si>
  <si>
    <t>5099-1</t>
  </si>
  <si>
    <t>5101-1</t>
  </si>
  <si>
    <t>Cengkal Prastuti</t>
  </si>
  <si>
    <t>Gang Setiabudhi No. 1</t>
  </si>
  <si>
    <t>Bandung</t>
  </si>
  <si>
    <t>5103-1</t>
  </si>
  <si>
    <t>Danang Uyainah</t>
  </si>
  <si>
    <t>Jalan Moch. Ramdan No. 338</t>
  </si>
  <si>
    <t>Smiths General Use 3-Ring Binders</t>
  </si>
  <si>
    <t>5104-1</t>
  </si>
  <si>
    <t>Cager Prayoga</t>
  </si>
  <si>
    <t>Gg. Stasiun Wonokromo No. 32</t>
  </si>
  <si>
    <t>Alto Keyboard-In-A-Box</t>
  </si>
  <si>
    <t>5106-1</t>
  </si>
  <si>
    <t>Joko Mangunsong</t>
  </si>
  <si>
    <t>Artisan 48 Labels</t>
  </si>
  <si>
    <t>5108-1</t>
  </si>
  <si>
    <t>Gandewa Hariyah</t>
  </si>
  <si>
    <t>Jl. Sadang Serang No. 015</t>
  </si>
  <si>
    <t>UGen Ultra Professional Cordless Optical Suite</t>
  </si>
  <si>
    <t>5109-1</t>
  </si>
  <si>
    <t>Candrakanta Aryani</t>
  </si>
  <si>
    <t>Gg. Pacuan Kuda No. 49</t>
  </si>
  <si>
    <t>OIC Colored Binder Clips, Assorted Sizes</t>
  </si>
  <si>
    <t>5111-1</t>
  </si>
  <si>
    <t>Enteng Simbolon</t>
  </si>
  <si>
    <t>Gg. Raya Ujungberung No. 54</t>
  </si>
  <si>
    <t>Colored Envelopes</t>
  </si>
  <si>
    <t>5112-1</t>
  </si>
  <si>
    <t>Limar Laksmiwati</t>
  </si>
  <si>
    <t>Xit Blank Computer Paper</t>
  </si>
  <si>
    <t>5113-1</t>
  </si>
  <si>
    <t>Gara Purwanti</t>
  </si>
  <si>
    <t>Jl. Surapati No. 30</t>
  </si>
  <si>
    <t>Alto Perma 2700 Stacking Storage Drawers</t>
  </si>
  <si>
    <t>5114-1</t>
  </si>
  <si>
    <t>Cakrawala Yuniar</t>
  </si>
  <si>
    <t>TechSavi Cordless Elite Duo</t>
  </si>
  <si>
    <t>5115-1</t>
  </si>
  <si>
    <t>Gamani Laksmiwati</t>
  </si>
  <si>
    <t>Wirebound Message Book, 4 per Page</t>
  </si>
  <si>
    <t>5117-1</t>
  </si>
  <si>
    <t>Caturangga Dabukke</t>
  </si>
  <si>
    <t>Laser DVD-RAM discs</t>
  </si>
  <si>
    <t>5119-1</t>
  </si>
  <si>
    <t>Jagapati Marbun</t>
  </si>
  <si>
    <t>Jl. Laswi No. 04</t>
  </si>
  <si>
    <t>E1040</t>
  </si>
  <si>
    <t>Artisan Hi-Liter Fluorescent Desk Style Markers</t>
  </si>
  <si>
    <t>5120-1</t>
  </si>
  <si>
    <t>Saiful Putra</t>
  </si>
  <si>
    <t>5122-1</t>
  </si>
  <si>
    <t>Yuni Wastuti</t>
  </si>
  <si>
    <t>5124-1</t>
  </si>
  <si>
    <t>Cahya Purnawati</t>
  </si>
  <si>
    <t>Jalan Tebet Barat Dalam No. 229</t>
  </si>
  <si>
    <t>5125-1</t>
  </si>
  <si>
    <t>Asmadi Simanjuntak</t>
  </si>
  <si>
    <t>Gg. HOS. Cokroaminoto No. 1</t>
  </si>
  <si>
    <t>E1041</t>
  </si>
  <si>
    <t>5127-1</t>
  </si>
  <si>
    <t>Kamila Sinaga</t>
  </si>
  <si>
    <t>Gang H.J Maemunah No. 6</t>
  </si>
  <si>
    <t>Deluxe Rollaway Locking File with Drawer</t>
  </si>
  <si>
    <t>5128-1</t>
  </si>
  <si>
    <t>Ibun Haryanto</t>
  </si>
  <si>
    <t>Jalan Kutai No. 503</t>
  </si>
  <si>
    <t>5129-1</t>
  </si>
  <si>
    <t>Chandra Firmansyah</t>
  </si>
  <si>
    <t>Smiths Colored Interoffice Envelopes</t>
  </si>
  <si>
    <t>5131-1</t>
  </si>
  <si>
    <t>Eja Anggriawan</t>
  </si>
  <si>
    <t>5133-1</t>
  </si>
  <si>
    <t>Harja Pratiwi</t>
  </si>
  <si>
    <t>Wirebound Voice Message Log Book</t>
  </si>
  <si>
    <t>5134-1</t>
  </si>
  <si>
    <t>Hasan Megantara</t>
  </si>
  <si>
    <t>Jalan Gedebage Selatan No. 048</t>
  </si>
  <si>
    <t>5135-1</t>
  </si>
  <si>
    <t>5137-1</t>
  </si>
  <si>
    <t>Widya Sihotang</t>
  </si>
  <si>
    <t>5138-1</t>
  </si>
  <si>
    <t>Wulan Mustofa</t>
  </si>
  <si>
    <t>Jalan R.E Martadinata No. 6</t>
  </si>
  <si>
    <t>Smiths Metal Binder Clips</t>
  </si>
  <si>
    <t>5140-1</t>
  </si>
  <si>
    <t>Danang Mansur</t>
  </si>
  <si>
    <t>Jalan Indragiri No. 077</t>
  </si>
  <si>
    <t>3Max Organizer Strips</t>
  </si>
  <si>
    <t>5142-1</t>
  </si>
  <si>
    <t>Luhung Padmasari</t>
  </si>
  <si>
    <t>Jl. Pelajar Pejuang No. 25</t>
  </si>
  <si>
    <t>PastelOcean Color Pencil Set</t>
  </si>
  <si>
    <t>5144-1</t>
  </si>
  <si>
    <t>Respati Puspita</t>
  </si>
  <si>
    <t>Gang Pelajar Pejuang No. 95</t>
  </si>
  <si>
    <t>5148-1</t>
  </si>
  <si>
    <t>Galang Sitompul</t>
  </si>
  <si>
    <t>Economy Binders</t>
  </si>
  <si>
    <t>5150-1</t>
  </si>
  <si>
    <t>Kayla Sihombing</t>
  </si>
  <si>
    <t>Jalan Sukabumi No. 509</t>
  </si>
  <si>
    <t>HFX 6S Scientific Calculator</t>
  </si>
  <si>
    <t>5152-1</t>
  </si>
  <si>
    <t>Jumadi Suartini</t>
  </si>
  <si>
    <t>5154-1</t>
  </si>
  <si>
    <t>Rachel Pertiwi</t>
  </si>
  <si>
    <t>Jalan Lembong No. 9</t>
  </si>
  <si>
    <t>5156-1</t>
  </si>
  <si>
    <t>Ellis Wahyudin</t>
  </si>
  <si>
    <t>Self-Adhesive Removable Labels</t>
  </si>
  <si>
    <t>5158-1</t>
  </si>
  <si>
    <t>Praba Widodo</t>
  </si>
  <si>
    <t>Gang Jakarta No. 938</t>
  </si>
  <si>
    <t>TypeRight  Top-Opening Peel &amp; Seel Envelopes, Plain White</t>
  </si>
  <si>
    <t>5159-1</t>
  </si>
  <si>
    <t>Ibrani Widiastuti</t>
  </si>
  <si>
    <t>5160-1</t>
  </si>
  <si>
    <t>Karsa Kuswoyo</t>
  </si>
  <si>
    <t>Gang Gedebage Selatan No. 92</t>
  </si>
  <si>
    <t>5160-2</t>
  </si>
  <si>
    <t>5163-1</t>
  </si>
  <si>
    <t>TypeRight  Top-Opening Peel &amp; Seel  Envelopes, Gray</t>
  </si>
  <si>
    <t>5165-1</t>
  </si>
  <si>
    <t>Zulaikha Salahudin</t>
  </si>
  <si>
    <t>Artisan Non-Stick Binders</t>
  </si>
  <si>
    <t>5166-1</t>
  </si>
  <si>
    <t>DrawIt Colored Pencils</t>
  </si>
  <si>
    <t>5168-1</t>
  </si>
  <si>
    <t>Siska Halim</t>
  </si>
  <si>
    <t>Jl. HOS. Cokroaminoto No. 1</t>
  </si>
  <si>
    <t>Smiths Pen Style Liquid Stix; Assorted (yellow, pink, green, blue, orange), 5/Pack</t>
  </si>
  <si>
    <t>5168-2</t>
  </si>
  <si>
    <t>Steady Liquid Accent Tank-Style Highlighters</t>
  </si>
  <si>
    <t>5171-1</t>
  </si>
  <si>
    <t>Marsito Prasetya</t>
  </si>
  <si>
    <t>Gg. Kapten Muslihat No. 5</t>
  </si>
  <si>
    <t>Bagged Rubber Bands</t>
  </si>
  <si>
    <t>5173-1</t>
  </si>
  <si>
    <t>5174-1</t>
  </si>
  <si>
    <t>Kuncara Hasanah</t>
  </si>
  <si>
    <t>UGen Ultra Cordless Optical Suite</t>
  </si>
  <si>
    <t>5175-1</t>
  </si>
  <si>
    <t>Warta Situmorang</t>
  </si>
  <si>
    <t>Gang Jayawijaya No. 91</t>
  </si>
  <si>
    <t>5177-1</t>
  </si>
  <si>
    <t>5178-1</t>
  </si>
  <si>
    <t>Saadat Manullang</t>
  </si>
  <si>
    <t>Gang Monginsidi No. 432</t>
  </si>
  <si>
    <t>Cando PC940 Copier</t>
  </si>
  <si>
    <t>5180-1</t>
  </si>
  <si>
    <t>Rina Simanjuntak</t>
  </si>
  <si>
    <t>5181-1</t>
  </si>
  <si>
    <t>TechSavi Internet Navigator Keyboard</t>
  </si>
  <si>
    <t>5183-1</t>
  </si>
  <si>
    <t>Artisan Hi-Liter Smear-Safe Highlighters</t>
  </si>
  <si>
    <t>5185-1</t>
  </si>
  <si>
    <t>Hari Situmorang</t>
  </si>
  <si>
    <t>Artisan Hanging File Binders</t>
  </si>
  <si>
    <t>5186-1</t>
  </si>
  <si>
    <t>Oman Sihombing</t>
  </si>
  <si>
    <t>Jl. Raya Ujungberung No. 121</t>
  </si>
  <si>
    <t>Beekin 6 Outlet Metallic Surge Strip</t>
  </si>
  <si>
    <t>5188-1</t>
  </si>
  <si>
    <t>Tira Wibowo</t>
  </si>
  <si>
    <t>5189-1</t>
  </si>
  <si>
    <t>Martani Sudiati</t>
  </si>
  <si>
    <t>Jl. BKR No. 46</t>
  </si>
  <si>
    <t>5191-1</t>
  </si>
  <si>
    <t>Fluorescent Highlighters by DrawIt</t>
  </si>
  <si>
    <t>5193-1</t>
  </si>
  <si>
    <t>Gabriella Simbolon</t>
  </si>
  <si>
    <t>Artisan 481 Labels</t>
  </si>
  <si>
    <t>5194-1</t>
  </si>
  <si>
    <t>Ani Anggraini</t>
  </si>
  <si>
    <t>Jalan Kapten Muslihat No. 168</t>
  </si>
  <si>
    <t>Emerson C82 Color Inkjet Printer</t>
  </si>
  <si>
    <t>5195-1</t>
  </si>
  <si>
    <t>Bagus Pranowo</t>
  </si>
  <si>
    <t>Jalan Rajawali Barat No. 70</t>
  </si>
  <si>
    <t>Artisan Durable Binders</t>
  </si>
  <si>
    <t>5195-2</t>
  </si>
  <si>
    <t>Gang Suniaraja No. 67</t>
  </si>
  <si>
    <t>5198-1</t>
  </si>
  <si>
    <t>Warsita Megantara</t>
  </si>
  <si>
    <t>Pizazz Drawing Pencil Set</t>
  </si>
  <si>
    <t>5200-1</t>
  </si>
  <si>
    <t>Daru Haryanti</t>
  </si>
  <si>
    <t>Jalan Astana Anyar No. 41</t>
  </si>
  <si>
    <t>Artisan Poly Binder Pockets</t>
  </si>
  <si>
    <t>5201-1</t>
  </si>
  <si>
    <t>Citra Saputra</t>
  </si>
  <si>
    <t>Jl. K.H. Wahid Hasyim No. 4</t>
  </si>
  <si>
    <t>Barrel Sharpener</t>
  </si>
  <si>
    <t>5202-1</t>
  </si>
  <si>
    <t>Ismail Uwais</t>
  </si>
  <si>
    <t>5204-1</t>
  </si>
  <si>
    <t>Wardi Rahayu</t>
  </si>
  <si>
    <t>Jalan Raya Ujungberung No. 5</t>
  </si>
  <si>
    <t>Binding Machine Supplies</t>
  </si>
  <si>
    <t>5206-1</t>
  </si>
  <si>
    <t>Ajiman Mandasari</t>
  </si>
  <si>
    <t>Large Box</t>
  </si>
  <si>
    <t>5207-1</t>
  </si>
  <si>
    <t>Limar Usamah</t>
  </si>
  <si>
    <t>Jl. S. Parman No. 38</t>
  </si>
  <si>
    <t>5208-1</t>
  </si>
  <si>
    <t>Puji Haryanto</t>
  </si>
  <si>
    <t>Binder Posts</t>
  </si>
  <si>
    <t>5209-1</t>
  </si>
  <si>
    <t>Tiara Halim</t>
  </si>
  <si>
    <t>Binder Clips by OIC</t>
  </si>
  <si>
    <t>5211-1</t>
  </si>
  <si>
    <t>Hana Hastuti</t>
  </si>
  <si>
    <t>Economy Rollaway Files</t>
  </si>
  <si>
    <t>5212-1</t>
  </si>
  <si>
    <t>Self-Adhesive Ring Binder Labels</t>
  </si>
  <si>
    <t>5213-1</t>
  </si>
  <si>
    <t>5214-1</t>
  </si>
  <si>
    <t>Karta Purnawati</t>
  </si>
  <si>
    <t>Jl. Sukabumi No. 44</t>
  </si>
  <si>
    <t>5215-1</t>
  </si>
  <si>
    <t>Siska Utami</t>
  </si>
  <si>
    <t>3Max Polarizing Task Lamp with Clamp Arm, Light Gray</t>
  </si>
  <si>
    <t>5216-1</t>
  </si>
  <si>
    <t>Xanana Padmasari</t>
  </si>
  <si>
    <t>5218-1</t>
  </si>
  <si>
    <t>Latika Namaga</t>
  </si>
  <si>
    <t>Jl. Medokan Ayu No. 7</t>
  </si>
  <si>
    <t>5220-1</t>
  </si>
  <si>
    <t>Empluk Marbun</t>
  </si>
  <si>
    <t>Apex Straight Scissors</t>
  </si>
  <si>
    <t>5221-1</t>
  </si>
  <si>
    <t>Rangga Hutasoit</t>
  </si>
  <si>
    <t>5222-1</t>
  </si>
  <si>
    <t>Nugraha Nurdiyanti</t>
  </si>
  <si>
    <t>Gang Dipatiukur No. 9</t>
  </si>
  <si>
    <t>5224-1</t>
  </si>
  <si>
    <t>Intan Oktaviani</t>
  </si>
  <si>
    <t>5225-1</t>
  </si>
  <si>
    <t>5226-1</t>
  </si>
  <si>
    <t>Padma Adriansyah</t>
  </si>
  <si>
    <t>5227-1</t>
  </si>
  <si>
    <t>Artisan Binder Labels</t>
  </si>
  <si>
    <t>5229-1</t>
  </si>
  <si>
    <t>Hendri Fujiati</t>
  </si>
  <si>
    <t>Jl. Raya Ujungberung No. 86</t>
  </si>
  <si>
    <t>5231-1</t>
  </si>
  <si>
    <t>Purwanto Pratama</t>
  </si>
  <si>
    <t>Gang R.E Martadinata No. 16</t>
  </si>
  <si>
    <t>5232-1</t>
  </si>
  <si>
    <t>5234-1</t>
  </si>
  <si>
    <t>Baktianto Halim</t>
  </si>
  <si>
    <t>Alto Memo Cubes</t>
  </si>
  <si>
    <t>5235-1</t>
  </si>
  <si>
    <t>Kalim Simanjuntak</t>
  </si>
  <si>
    <t>Jalan Cikapayang No. 311</t>
  </si>
  <si>
    <t>5236-1</t>
  </si>
  <si>
    <t>Latif Nasyiah</t>
  </si>
  <si>
    <t>5238-1</t>
  </si>
  <si>
    <t>Yance Anggraini</t>
  </si>
  <si>
    <t>Jl. Erlangga No. 7</t>
  </si>
  <si>
    <t>5239-1</t>
  </si>
  <si>
    <t>Anita Siregar</t>
  </si>
  <si>
    <t>Jalan Pasteur No. 217</t>
  </si>
  <si>
    <t>5240-1</t>
  </si>
  <si>
    <t>Ikin Januar</t>
  </si>
  <si>
    <t>5241-1</t>
  </si>
  <si>
    <t>Caraka Nasyiah</t>
  </si>
  <si>
    <t>TechSavi Cordless Navigator Duo</t>
  </si>
  <si>
    <t>5242-1</t>
  </si>
  <si>
    <t>Bahuwarna Winarsih</t>
  </si>
  <si>
    <t>Jl. Pasir Koja No. 08</t>
  </si>
  <si>
    <t>Apex Preferred Stainless Steel Scissors</t>
  </si>
  <si>
    <t>5244-1</t>
  </si>
  <si>
    <t>Cindy Dongoran</t>
  </si>
  <si>
    <t>5246-1</t>
  </si>
  <si>
    <t>Dadi Anggraini</t>
  </si>
  <si>
    <t>5247-1</t>
  </si>
  <si>
    <t>Galang Namaga</t>
  </si>
  <si>
    <t>5248-1</t>
  </si>
  <si>
    <t>Naradi Handayani</t>
  </si>
  <si>
    <t>Gang Asia Afrika No. 96</t>
  </si>
  <si>
    <t>5250-1</t>
  </si>
  <si>
    <t>Almira Suryono</t>
  </si>
  <si>
    <t>Gg. Moch. Toha No. 0</t>
  </si>
  <si>
    <t>5251-1</t>
  </si>
  <si>
    <t>5253-1</t>
  </si>
  <si>
    <t>Halim Jailani</t>
  </si>
  <si>
    <t>Multi-Use Personal File Cart and Caster Set, Three Stacking Bins</t>
  </si>
  <si>
    <t>5254-1</t>
  </si>
  <si>
    <t>Desktop 3-Pocket Hot File</t>
  </si>
  <si>
    <t>5256-1</t>
  </si>
  <si>
    <t>Olga Marpaung</t>
  </si>
  <si>
    <t>Gg. Surapati No. 50</t>
  </si>
  <si>
    <t>5257-1</t>
  </si>
  <si>
    <t>Kawaya Puspasari</t>
  </si>
  <si>
    <t>5259-1</t>
  </si>
  <si>
    <t>5260-1</t>
  </si>
  <si>
    <t>Nadine Waskita</t>
  </si>
  <si>
    <t>Gang Rawamangun No. 02</t>
  </si>
  <si>
    <t>5261-1</t>
  </si>
  <si>
    <t>Kani Aryani</t>
  </si>
  <si>
    <t>600 Series Flip</t>
  </si>
  <si>
    <t>5263-1</t>
  </si>
  <si>
    <t>5265-1</t>
  </si>
  <si>
    <t>5267-1</t>
  </si>
  <si>
    <t>Putri Maryadi</t>
  </si>
  <si>
    <t>5268-1</t>
  </si>
  <si>
    <t>Ganep Uwais</t>
  </si>
  <si>
    <t>5268-2</t>
  </si>
  <si>
    <t>5272-1</t>
  </si>
  <si>
    <t>Cawisadi Anggriawan</t>
  </si>
  <si>
    <t>5274-1</t>
  </si>
  <si>
    <t>Olga Usamah</t>
  </si>
  <si>
    <t>Jalan S. Parman No. 88</t>
  </si>
  <si>
    <t>300 Series Non-Flip</t>
  </si>
  <si>
    <t>5274-2</t>
  </si>
  <si>
    <t>5277-1</t>
  </si>
  <si>
    <t>Warsita Maryadi</t>
  </si>
  <si>
    <t>5278-1</t>
  </si>
  <si>
    <t>Anom Januar</t>
  </si>
  <si>
    <t>Gg. Cihampelas No. 423</t>
  </si>
  <si>
    <t>5279-1</t>
  </si>
  <si>
    <t>Diah Sudiati</t>
  </si>
  <si>
    <t>5280-1</t>
  </si>
  <si>
    <t>Bajragin Saputra</t>
  </si>
  <si>
    <t>5282-1</t>
  </si>
  <si>
    <t>5284-1</t>
  </si>
  <si>
    <t>Prakosa Januar</t>
  </si>
  <si>
    <t>Jl. Dipenogoro No. 447</t>
  </si>
  <si>
    <t>Angle-D Binders with Locking Rings, Label Holders</t>
  </si>
  <si>
    <t>5286-1</t>
  </si>
  <si>
    <t>Ilsa Hassanah</t>
  </si>
  <si>
    <t>Brown Kraft Recycled Envelopes</t>
  </si>
  <si>
    <t>5288-1</t>
  </si>
  <si>
    <t>Eluh Usamah</t>
  </si>
  <si>
    <t>Jalan Ciumbuleuit No. 76</t>
  </si>
  <si>
    <t>5290-1</t>
  </si>
  <si>
    <t>Sakura Sihombing</t>
  </si>
  <si>
    <t>5291-1</t>
  </si>
  <si>
    <t>Steady 52201 APSCO Electric Pencil Sharpener</t>
  </si>
  <si>
    <t>5292-1</t>
  </si>
  <si>
    <t>Bancar Melani</t>
  </si>
  <si>
    <t>Gg. HOS. Cokroaminoto No. 72</t>
  </si>
  <si>
    <t>5294-1</t>
  </si>
  <si>
    <t>Eja Aryani</t>
  </si>
  <si>
    <t>5296-1</t>
  </si>
  <si>
    <t>5298-1</t>
  </si>
  <si>
    <t>Luis Siregar</t>
  </si>
  <si>
    <t>Gg. Ronggowarsito No. 033</t>
  </si>
  <si>
    <t>5299-1</t>
  </si>
  <si>
    <t>Yuliana Rahmawati</t>
  </si>
  <si>
    <t>Gang Kebonjati No. 827</t>
  </si>
  <si>
    <t>Artisan 487 Labels</t>
  </si>
  <si>
    <t>5300-1</t>
  </si>
  <si>
    <t>Wahyu Mulyani</t>
  </si>
  <si>
    <t>Jl. Kapten Muslihat No. 853</t>
  </si>
  <si>
    <t>Lumi Crayons</t>
  </si>
  <si>
    <t>5302-1</t>
  </si>
  <si>
    <t>Mujur Hariyah</t>
  </si>
  <si>
    <t>Jalan Moch. Toha No. 9</t>
  </si>
  <si>
    <t>5303-1</t>
  </si>
  <si>
    <t>Intan Widodo</t>
  </si>
  <si>
    <t>5304-1</t>
  </si>
  <si>
    <t>Tomi Putra</t>
  </si>
  <si>
    <t>Artisan Durable Poly Binders</t>
  </si>
  <si>
    <t>5305-1</t>
  </si>
  <si>
    <t>5307-1</t>
  </si>
  <si>
    <t>5309-1</t>
  </si>
  <si>
    <t>Pangeran Rahimah</t>
  </si>
  <si>
    <t>Gang Cikapayang No. 055</t>
  </si>
  <si>
    <t>Pizazz Colored Pencils</t>
  </si>
  <si>
    <t>5310-1</t>
  </si>
  <si>
    <t>Rachel Agustina</t>
  </si>
  <si>
    <t>5311-1</t>
  </si>
  <si>
    <t>Sidiq Sirait</t>
  </si>
  <si>
    <t>Apex Office Executive Series Stainless Steel Trimmers</t>
  </si>
  <si>
    <t>5312-1</t>
  </si>
  <si>
    <t>Genta Usada</t>
  </si>
  <si>
    <t>5313-1</t>
  </si>
  <si>
    <t>Kairav Winarno</t>
  </si>
  <si>
    <t>5314-1</t>
  </si>
  <si>
    <t>Daliman Pranowo</t>
  </si>
  <si>
    <t>Gg. Merdeka No. 97</t>
  </si>
  <si>
    <t>5315-1</t>
  </si>
  <si>
    <t>5316-1</t>
  </si>
  <si>
    <t>5318-1</t>
  </si>
  <si>
    <t>5319-1</t>
  </si>
  <si>
    <t>Harsaya Rahmawati</t>
  </si>
  <si>
    <t>Jalan Rumah Sakit No. 287</t>
  </si>
  <si>
    <t>3Max Polarizing Light Filter Sleeves</t>
  </si>
  <si>
    <t>5321-1</t>
  </si>
  <si>
    <t>Raditya Mayasari</t>
  </si>
  <si>
    <t>5323-1</t>
  </si>
  <si>
    <t>Tantri Handayani</t>
  </si>
  <si>
    <t>5324-1</t>
  </si>
  <si>
    <t>Michelle Oktaviani</t>
  </si>
  <si>
    <t>5326-1</t>
  </si>
  <si>
    <t>Luwar Yuniar</t>
  </si>
  <si>
    <t>5328-1</t>
  </si>
  <si>
    <t>Ega Zulaika</t>
  </si>
  <si>
    <t>5330-1</t>
  </si>
  <si>
    <t>Karya Haryanto</t>
  </si>
  <si>
    <t>Steady Pocket Accent Highlighters</t>
  </si>
  <si>
    <t>5332-1</t>
  </si>
  <si>
    <t>5334-1</t>
  </si>
  <si>
    <t>5335-1</t>
  </si>
  <si>
    <t>5335-2</t>
  </si>
  <si>
    <t>5336-1</t>
  </si>
  <si>
    <t>Prayogo Rajata</t>
  </si>
  <si>
    <t>Gg. Siliwangi No. 26</t>
  </si>
  <si>
    <t>5340-1</t>
  </si>
  <si>
    <t>Cawuk Fujiati</t>
  </si>
  <si>
    <t>Artisan Binding System Hidden Tab Executive Style Index Sets</t>
  </si>
  <si>
    <t>5342-1</t>
  </si>
  <si>
    <t>Cakrawangsa Waluyo</t>
  </si>
  <si>
    <t>Artisan Hi-Liter GlideStik Fluorescent Highlighter, Yellow Ink</t>
  </si>
  <si>
    <t>5343-1</t>
  </si>
  <si>
    <t>Rafid Rahayu</t>
  </si>
  <si>
    <t>5345-1</t>
  </si>
  <si>
    <t>Uda Megantara</t>
  </si>
  <si>
    <t>5346-1</t>
  </si>
  <si>
    <t>5347-1</t>
  </si>
  <si>
    <t>Akarsana Purwanti</t>
  </si>
  <si>
    <t>5349-1</t>
  </si>
  <si>
    <t>Dina Suryatmi</t>
  </si>
  <si>
    <t>Artisan 478 Labels</t>
  </si>
  <si>
    <t>5350-1</t>
  </si>
  <si>
    <t>Tantri Hutapea</t>
  </si>
  <si>
    <t>5352-1</t>
  </si>
  <si>
    <t>5354-1</t>
  </si>
  <si>
    <t>5355-1</t>
  </si>
  <si>
    <t>Capa Hartati</t>
  </si>
  <si>
    <t>Apex Forged Steel Scissors with Black Enamel Handles</t>
  </si>
  <si>
    <t>5357-1</t>
  </si>
  <si>
    <t>5358-1</t>
  </si>
  <si>
    <t>Najib Pratama</t>
  </si>
  <si>
    <t>5358-2</t>
  </si>
  <si>
    <t>5360-1</t>
  </si>
  <si>
    <t>Ajiono Setiawan</t>
  </si>
  <si>
    <t>5362-1</t>
  </si>
  <si>
    <t>Praba Handayani</t>
  </si>
  <si>
    <t>Smiths Bulldog Clip</t>
  </si>
  <si>
    <t>5364-1</t>
  </si>
  <si>
    <t>Imam Pertiwi</t>
  </si>
  <si>
    <t>5365-1</t>
  </si>
  <si>
    <t>5367-1</t>
  </si>
  <si>
    <t>Tantri Anggraini</t>
  </si>
  <si>
    <t>5367-2</t>
  </si>
  <si>
    <t>5369-1</t>
  </si>
  <si>
    <t>5373-1</t>
  </si>
  <si>
    <t>Daruna Mustofa</t>
  </si>
  <si>
    <t>Jalan Gegerkalong Hilir No. 763</t>
  </si>
  <si>
    <t>5375-1</t>
  </si>
  <si>
    <t>Argono Farida</t>
  </si>
  <si>
    <t>Jalan Cikapayang No. 31</t>
  </si>
  <si>
    <t>5377-1</t>
  </si>
  <si>
    <t>5379-1</t>
  </si>
  <si>
    <t>5381-1</t>
  </si>
  <si>
    <t>Salimah Habibi</t>
  </si>
  <si>
    <t>Emerson LQ-870 Dot Matrix Printer</t>
  </si>
  <si>
    <t>5383-1</t>
  </si>
  <si>
    <t>Zulfa Puspasari</t>
  </si>
  <si>
    <t>Gang Astana Anyar No. 0</t>
  </si>
  <si>
    <t>5384-1</t>
  </si>
  <si>
    <t>Ina Permata</t>
  </si>
  <si>
    <t>Gg. Surapati No. 471</t>
  </si>
  <si>
    <t>5386-1</t>
  </si>
  <si>
    <t>Wardi Yolanda</t>
  </si>
  <si>
    <t>5388-1</t>
  </si>
  <si>
    <t>Ega Rajata</t>
  </si>
  <si>
    <t>5389-1</t>
  </si>
  <si>
    <t>Rahayu Nurdiyanti</t>
  </si>
  <si>
    <t>5391-1</t>
  </si>
  <si>
    <t>Rangga Jailani</t>
  </si>
  <si>
    <t>Gg. Jamika No. 6</t>
  </si>
  <si>
    <t>5392-1</t>
  </si>
  <si>
    <t>Wadi Siregar</t>
  </si>
  <si>
    <t>5393-1</t>
  </si>
  <si>
    <t>Balapati Agustina</t>
  </si>
  <si>
    <t>5394-1</t>
  </si>
  <si>
    <t>Tasdik Nugroho</t>
  </si>
  <si>
    <t>Jl. Pasir Koja No. 059</t>
  </si>
  <si>
    <t>5395-1</t>
  </si>
  <si>
    <t>Kiandra Salahudin</t>
  </si>
  <si>
    <t>5396-1</t>
  </si>
  <si>
    <t>Usman Prabowo</t>
  </si>
  <si>
    <t>5398-1</t>
  </si>
  <si>
    <t>Bahuraksa Saragih</t>
  </si>
  <si>
    <t>5400-1</t>
  </si>
  <si>
    <t>5402-1</t>
  </si>
  <si>
    <t>Jasmani Napitupulu</t>
  </si>
  <si>
    <t>Gg. Joyoboyo No. 8</t>
  </si>
  <si>
    <t>HFX LaserJet 3310 Copier</t>
  </si>
  <si>
    <t>5402-2</t>
  </si>
  <si>
    <t>Unpadded Memo Slips</t>
  </si>
  <si>
    <t>5404-1</t>
  </si>
  <si>
    <t>Balangga Rahmawati</t>
  </si>
  <si>
    <t>Jl. W.R. Supratman No. 473</t>
  </si>
  <si>
    <t>5405-1</t>
  </si>
  <si>
    <t>Kayla Melani</t>
  </si>
  <si>
    <t>5407-1</t>
  </si>
  <si>
    <t>Raden Hasanah</t>
  </si>
  <si>
    <t>Ames Color-File Green Diamond Border X-ray Mailers</t>
  </si>
  <si>
    <t>5409-1</t>
  </si>
  <si>
    <t>Karsana Halim</t>
  </si>
  <si>
    <t>5411-1</t>
  </si>
  <si>
    <t>Artisan Hi-Liter Pen Style Six-Color Fluorescent Set</t>
  </si>
  <si>
    <t>5413-1</t>
  </si>
  <si>
    <t>Bakiadi Hassanah</t>
  </si>
  <si>
    <t>Blackstonian Pencils</t>
  </si>
  <si>
    <t>5415-1</t>
  </si>
  <si>
    <t>Luhung Sudiati</t>
  </si>
  <si>
    <t>Creator Colored Pencils</t>
  </si>
  <si>
    <t>5416-1</t>
  </si>
  <si>
    <t>Wisnu Kuswandari</t>
  </si>
  <si>
    <t>5418-1</t>
  </si>
  <si>
    <t>Apex Box Cutter Scissors</t>
  </si>
  <si>
    <t>5420-1</t>
  </si>
  <si>
    <t>Kunthara Prasetya</t>
  </si>
  <si>
    <t>5421-1</t>
  </si>
  <si>
    <t>5423-1</t>
  </si>
  <si>
    <t>Umay Hardiansyah</t>
  </si>
  <si>
    <t>5424-1</t>
  </si>
  <si>
    <t>Febi Pangestu</t>
  </si>
  <si>
    <t>Gang Sentot Alibasa No. 38</t>
  </si>
  <si>
    <t>5426-1</t>
  </si>
  <si>
    <t>Rika Mayasari</t>
  </si>
  <si>
    <t>5428-1</t>
  </si>
  <si>
    <t>Ayu Ardianto</t>
  </si>
  <si>
    <t>5430-1</t>
  </si>
  <si>
    <t>5432-1</t>
  </si>
  <si>
    <t>Rusman Aryani</t>
  </si>
  <si>
    <t>5433-1</t>
  </si>
  <si>
    <t>Jasmani Zulkarnain</t>
  </si>
  <si>
    <t>5434-1</t>
  </si>
  <si>
    <t>Jinawi Puspita</t>
  </si>
  <si>
    <t>5435-1</t>
  </si>
  <si>
    <t>Hilda Yulianti</t>
  </si>
  <si>
    <t>5436-1</t>
  </si>
  <si>
    <t>Airmail Envelopes</t>
  </si>
  <si>
    <t>5438-1</t>
  </si>
  <si>
    <t>Edi Waskita</t>
  </si>
  <si>
    <t>Jalan Asia Afrika No. 3</t>
  </si>
  <si>
    <t>5439-1</t>
  </si>
  <si>
    <t>5440-1</t>
  </si>
  <si>
    <t>5442-1</t>
  </si>
  <si>
    <t>Iriana Firmansyah</t>
  </si>
  <si>
    <t>5444-1</t>
  </si>
  <si>
    <t>Tugiman Santoso</t>
  </si>
  <si>
    <t>5445-1</t>
  </si>
  <si>
    <t>Iriana Permadi</t>
  </si>
  <si>
    <t>Smiths Colored Bar Computer Paper</t>
  </si>
  <si>
    <t>5446-1</t>
  </si>
  <si>
    <t>Rizki Purnawati</t>
  </si>
  <si>
    <t>Gang Monginsidi No. 138</t>
  </si>
  <si>
    <t>5448-1</t>
  </si>
  <si>
    <t>Panca Saptono</t>
  </si>
  <si>
    <t>5449-1</t>
  </si>
  <si>
    <t>5450-1</t>
  </si>
  <si>
    <t>Keisha Prayoga</t>
  </si>
  <si>
    <t>5451-1</t>
  </si>
  <si>
    <t>Dwi Yuniar</t>
  </si>
  <si>
    <t>5453-1</t>
  </si>
  <si>
    <t>5455-1</t>
  </si>
  <si>
    <t>Alto Perma 3000 Stacking Storage Drawers</t>
  </si>
  <si>
    <t>5456-1</t>
  </si>
  <si>
    <t>Nurul Samosir</t>
  </si>
  <si>
    <t>Jalan Pasirkoja No. 329</t>
  </si>
  <si>
    <t>5457-1</t>
  </si>
  <si>
    <t>Gang R.E Martadinata No. 35</t>
  </si>
  <si>
    <t>OIC Bulk Pack Metal Binder Clips</t>
  </si>
  <si>
    <t>5458-1</t>
  </si>
  <si>
    <t>5460-1</t>
  </si>
  <si>
    <t>Taswir Budiman</t>
  </si>
  <si>
    <t>Artisan Hi-Liter Comfort Grip Fluorescent Highlighter, Yellow Ink</t>
  </si>
  <si>
    <t>5461-1</t>
  </si>
  <si>
    <t>Asirwanda Rahimah</t>
  </si>
  <si>
    <t>5463-1</t>
  </si>
  <si>
    <t>Emerson Stylus 1520 Color Inkjet Printer</t>
  </si>
  <si>
    <t>5465-1</t>
  </si>
  <si>
    <t>Nilam Prastuti</t>
  </si>
  <si>
    <t>5467-1</t>
  </si>
  <si>
    <t>Bagas Putra</t>
  </si>
  <si>
    <t>5469-1</t>
  </si>
  <si>
    <t>Oskar Permadi</t>
  </si>
  <si>
    <t>5470-1</t>
  </si>
  <si>
    <t>Gamani Maryati</t>
  </si>
  <si>
    <t>5471-1</t>
  </si>
  <si>
    <t>Rahmi Prabowo</t>
  </si>
  <si>
    <t>5473-1</t>
  </si>
  <si>
    <t>Galiono Wibowo</t>
  </si>
  <si>
    <t>Jl. Ciwastra No. 2</t>
  </si>
  <si>
    <t>5475-1</t>
  </si>
  <si>
    <t>Viktor Sihombing</t>
  </si>
  <si>
    <t>Gang Ahmad Yani No. 6</t>
  </si>
  <si>
    <t>24 Capacity Maxi Data Binder Racks, Pearl</t>
  </si>
  <si>
    <t>5476-1</t>
  </si>
  <si>
    <t>Lega Anggriawan</t>
  </si>
  <si>
    <t>5477-1</t>
  </si>
  <si>
    <t>Cengkal Lazuardi</t>
  </si>
  <si>
    <t>5478-1</t>
  </si>
  <si>
    <t>5479-1</t>
  </si>
  <si>
    <t>Raina Laksita</t>
  </si>
  <si>
    <t>5479-2</t>
  </si>
  <si>
    <t>Assorted Color Push Pins</t>
  </si>
  <si>
    <t>5483-1</t>
  </si>
  <si>
    <t>Jamil Mustofa</t>
  </si>
  <si>
    <t>Jalan Cikutra Barat No. 96</t>
  </si>
  <si>
    <t>5485-1</t>
  </si>
  <si>
    <t>Nyana Suryatmi</t>
  </si>
  <si>
    <t>5487-1</t>
  </si>
  <si>
    <t>Natalia Palastri</t>
  </si>
  <si>
    <t>5489-1</t>
  </si>
  <si>
    <t>5491-1</t>
  </si>
  <si>
    <t>Alto 3-Hole Punch</t>
  </si>
  <si>
    <t>5493-1</t>
  </si>
  <si>
    <t>5494-1</t>
  </si>
  <si>
    <t>5496-1</t>
  </si>
  <si>
    <t>Dwi Utami</t>
  </si>
  <si>
    <t>5497-1</t>
  </si>
  <si>
    <t>Jamal Hidayanto</t>
  </si>
  <si>
    <t>5498-1</t>
  </si>
  <si>
    <t>Rahmi Prakasa</t>
  </si>
  <si>
    <t>Jalan Sadang Serang No. 54</t>
  </si>
  <si>
    <t>5500-1</t>
  </si>
  <si>
    <t>Eman Widodo</t>
  </si>
  <si>
    <t>5502-1</t>
  </si>
  <si>
    <t>Gambira Prasasta</t>
  </si>
  <si>
    <t>Gang Yos Sudarso No. 78</t>
  </si>
  <si>
    <t>5504-1</t>
  </si>
  <si>
    <t>Lanang Wijayanti</t>
  </si>
  <si>
    <t>5505-1</t>
  </si>
  <si>
    <t>Galuh Zulaika</t>
  </si>
  <si>
    <t>Jalan Otto Iskandardinata No. 1</t>
  </si>
  <si>
    <t>5506-1</t>
  </si>
  <si>
    <t>Creator Anti Dust Chalk, 12/Pack</t>
  </si>
  <si>
    <t>5507-1</t>
  </si>
  <si>
    <t>Harimurti Wulandari</t>
  </si>
  <si>
    <t>Jalan Kendalsari No. 1</t>
  </si>
  <si>
    <t>5508-1</t>
  </si>
  <si>
    <t>5510-1</t>
  </si>
  <si>
    <t>Mila Napitupulu</t>
  </si>
  <si>
    <t>5512-1</t>
  </si>
  <si>
    <t>Eka Sitorus</t>
  </si>
  <si>
    <t>5513-1</t>
  </si>
  <si>
    <t>Ade Novitasari</t>
  </si>
  <si>
    <t>Jl. Cihampelas No. 4</t>
  </si>
  <si>
    <t>5514-1</t>
  </si>
  <si>
    <t>Wardi Nasyidah</t>
  </si>
  <si>
    <t>5516-1</t>
  </si>
  <si>
    <t>5518-1</t>
  </si>
  <si>
    <t>Gatot Siregar</t>
  </si>
  <si>
    <t>5520-1</t>
  </si>
  <si>
    <t>5521-1</t>
  </si>
  <si>
    <t>5523-1</t>
  </si>
  <si>
    <t>Dwi Suartini</t>
  </si>
  <si>
    <t>Gg. Tubagus Ismail No. 864</t>
  </si>
  <si>
    <t>5525-1</t>
  </si>
  <si>
    <t>Adams "While You Were Out" Message Pads</t>
  </si>
  <si>
    <t>5526-1</t>
  </si>
  <si>
    <t>Cahyono Novitasari</t>
  </si>
  <si>
    <t>5527-1</t>
  </si>
  <si>
    <t>Puspa Maryati</t>
  </si>
  <si>
    <t>5529-1</t>
  </si>
  <si>
    <t>5531-1</t>
  </si>
  <si>
    <t>Cawisadi Wijaya</t>
  </si>
  <si>
    <t>5533-1</t>
  </si>
  <si>
    <t>Elma Samosir</t>
  </si>
  <si>
    <t>Gang Raya Setiabudhi No. 870</t>
  </si>
  <si>
    <t>5534-1</t>
  </si>
  <si>
    <t>Maman Wulandari</t>
  </si>
  <si>
    <t>Jl. Pasir Koja No. 64</t>
  </si>
  <si>
    <t>Artisan 474 Labels</t>
  </si>
  <si>
    <t>5536-1</t>
  </si>
  <si>
    <t>5537-1</t>
  </si>
  <si>
    <t>Prasetya Wahyuni</t>
  </si>
  <si>
    <t>5539-1</t>
  </si>
  <si>
    <t>Elma Susanti</t>
  </si>
  <si>
    <t>5539-2</t>
  </si>
  <si>
    <t>Smiths Paper Clips</t>
  </si>
  <si>
    <t>5541-1</t>
  </si>
  <si>
    <t>Tiara Lazuardi</t>
  </si>
  <si>
    <t>5544-1</t>
  </si>
  <si>
    <t>TechSavi Cordless Access Keyboard</t>
  </si>
  <si>
    <t>5546-1</t>
  </si>
  <si>
    <t>Upik Siregar</t>
  </si>
  <si>
    <t>Gang Medokan Ayu No. 764</t>
  </si>
  <si>
    <t>5547-1</t>
  </si>
  <si>
    <t>Taufik Najmudin</t>
  </si>
  <si>
    <t>5548-1</t>
  </si>
  <si>
    <t>Kardi Narpati</t>
  </si>
  <si>
    <t>Artisan File Folder Labels</t>
  </si>
  <si>
    <t>5549-1</t>
  </si>
  <si>
    <t>5551-1</t>
  </si>
  <si>
    <t>Gabriella Napitupulu</t>
  </si>
  <si>
    <t>Artisan Round Ring Poly Binders</t>
  </si>
  <si>
    <t>5552-1</t>
  </si>
  <si>
    <t>Kania Budiyanto</t>
  </si>
  <si>
    <t>5554-1</t>
  </si>
  <si>
    <t>5556-1</t>
  </si>
  <si>
    <t>Gada Gunawan</t>
  </si>
  <si>
    <t>5558-1</t>
  </si>
  <si>
    <t>Siska Maryadi</t>
  </si>
  <si>
    <t>Gg. BKR No. 882</t>
  </si>
  <si>
    <t>Colored Push Pins</t>
  </si>
  <si>
    <t>5558-2</t>
  </si>
  <si>
    <t>Steady Colorific Eraseable Coloring Pencils, 12 Count</t>
  </si>
  <si>
    <t>5560-1</t>
  </si>
  <si>
    <t>Mustofa Tarihoran</t>
  </si>
  <si>
    <t>5562-1</t>
  </si>
  <si>
    <t>Paris Palastri</t>
  </si>
  <si>
    <t>5564-1</t>
  </si>
  <si>
    <t>Bakiono Wahyuni</t>
  </si>
  <si>
    <t>5566-1</t>
  </si>
  <si>
    <t>Emas Kurniawan</t>
  </si>
  <si>
    <t>5566-2</t>
  </si>
  <si>
    <t>5569-1</t>
  </si>
  <si>
    <t>Bakti Simbolon</t>
  </si>
  <si>
    <t>Jl. R.E Martadinata No. 18</t>
  </si>
  <si>
    <t>5570-1</t>
  </si>
  <si>
    <t>Gatot Wibisono</t>
  </si>
  <si>
    <t>5572-1</t>
  </si>
  <si>
    <t>Abyasa Yulianti</t>
  </si>
  <si>
    <t>5574-1</t>
  </si>
  <si>
    <t>Jumadi Sitompul</t>
  </si>
  <si>
    <t>5576-1</t>
  </si>
  <si>
    <t>Cahyadi Wulandari</t>
  </si>
  <si>
    <t>5578-1</t>
  </si>
  <si>
    <t>Garang Kuswoyo</t>
  </si>
  <si>
    <t>5579-1</t>
  </si>
  <si>
    <t>Irwan Wahyuni</t>
  </si>
  <si>
    <t>Jl. Moch. Toha No. 1</t>
  </si>
  <si>
    <t>5581-1</t>
  </si>
  <si>
    <t>Gantar Kuswoyo</t>
  </si>
  <si>
    <t>5583-1</t>
  </si>
  <si>
    <t>Luis Hasanah</t>
  </si>
  <si>
    <t>5584-1</t>
  </si>
  <si>
    <t>5586-1</t>
  </si>
  <si>
    <t>Talia Maryadi</t>
  </si>
  <si>
    <t>5588-1</t>
  </si>
  <si>
    <t>Gambira Kusmawati</t>
  </si>
  <si>
    <t>5589-1</t>
  </si>
  <si>
    <t>5591-1</t>
  </si>
  <si>
    <t>Bagus Astuti</t>
  </si>
  <si>
    <t>Smiths File Caddy</t>
  </si>
  <si>
    <t>5593-1</t>
  </si>
  <si>
    <t>5594-1</t>
  </si>
  <si>
    <t>Gada Hardiansyah</t>
  </si>
  <si>
    <t>5596-1</t>
  </si>
  <si>
    <t>5597-1</t>
  </si>
  <si>
    <t>Salwa Wulandari</t>
  </si>
  <si>
    <t>5599-1</t>
  </si>
  <si>
    <t>Aswani Winarno</t>
  </si>
  <si>
    <t>5599-2</t>
  </si>
  <si>
    <t>5603-1</t>
  </si>
  <si>
    <t>5604-1</t>
  </si>
  <si>
    <t>5605-1</t>
  </si>
  <si>
    <t>Arsipatra Halimah</t>
  </si>
  <si>
    <t>5606-1</t>
  </si>
  <si>
    <t>Diah Prakasa</t>
  </si>
  <si>
    <t>Jl. Pasir Koja No. 2</t>
  </si>
  <si>
    <t>5607-1</t>
  </si>
  <si>
    <t>5609-1</t>
  </si>
  <si>
    <t>5609-2</t>
  </si>
  <si>
    <t>5612-1</t>
  </si>
  <si>
    <t>5613-1</t>
  </si>
  <si>
    <t>5615-1</t>
  </si>
  <si>
    <t>Hasim Salahudin</t>
  </si>
  <si>
    <t>5616-1</t>
  </si>
  <si>
    <t>Saka Wijaya</t>
  </si>
  <si>
    <t>5618-1</t>
  </si>
  <si>
    <t>5619-1</t>
  </si>
  <si>
    <t>Dadap Zulkarnain</t>
  </si>
  <si>
    <t>Gang W.R. Supratman No. 8</t>
  </si>
  <si>
    <t>5621-1</t>
  </si>
  <si>
    <t>Luhung Nuraini</t>
  </si>
  <si>
    <t>5621-2</t>
  </si>
  <si>
    <t>5625-1</t>
  </si>
  <si>
    <t>Dian Haryanti</t>
  </si>
  <si>
    <t>5627-1</t>
  </si>
  <si>
    <t>Latika Siregar</t>
  </si>
  <si>
    <t>5629-1</t>
  </si>
  <si>
    <t>Jaiman Marbun</t>
  </si>
  <si>
    <t>5630-1</t>
  </si>
  <si>
    <t>Cawuk Pradipta</t>
  </si>
  <si>
    <t>5631-1</t>
  </si>
  <si>
    <t>Jl. Indragiri No. 43</t>
  </si>
  <si>
    <t>5633-1</t>
  </si>
  <si>
    <t>5635-1</t>
  </si>
  <si>
    <t>Rama Firgantoro</t>
  </si>
  <si>
    <t>5637-1</t>
  </si>
  <si>
    <t>Anom Hasanah</t>
  </si>
  <si>
    <t>Jalan Gardujati No. 6</t>
  </si>
  <si>
    <t>5639-1</t>
  </si>
  <si>
    <t>5641-1</t>
  </si>
  <si>
    <t>5643-1</t>
  </si>
  <si>
    <t>5644-1</t>
  </si>
  <si>
    <t>5645-1</t>
  </si>
  <si>
    <t>5646-1</t>
  </si>
  <si>
    <t>5647-1</t>
  </si>
  <si>
    <t>Leo Pranowo</t>
  </si>
  <si>
    <t>5648-1</t>
  </si>
  <si>
    <t>Artisan Reinforcements for Hole-Punch Pages</t>
  </si>
  <si>
    <t>5650-1</t>
  </si>
  <si>
    <t>Janet Riyanti</t>
  </si>
  <si>
    <t>5651-1</t>
  </si>
  <si>
    <t>Aris Widiastuti</t>
  </si>
  <si>
    <t>5653-1</t>
  </si>
  <si>
    <t>5655-1</t>
  </si>
  <si>
    <t>Argono Pertiwi</t>
  </si>
  <si>
    <t>5655-2</t>
  </si>
  <si>
    <t>5658-1</t>
  </si>
  <si>
    <t>5659-1</t>
  </si>
  <si>
    <t>Laras Lazuardi</t>
  </si>
  <si>
    <t>Gg. Wonoayu No. 96</t>
  </si>
  <si>
    <t>5661-1</t>
  </si>
  <si>
    <t>5663-1</t>
  </si>
  <si>
    <t>Prabawa Maryadi</t>
  </si>
  <si>
    <t>Jalan Joyoboyo No. 3</t>
  </si>
  <si>
    <t>Artisan Hi-Liter EverBold Pen Style Fluorescent Highlighters, 4/Pack</t>
  </si>
  <si>
    <t>5665-1</t>
  </si>
  <si>
    <t>5667-1</t>
  </si>
  <si>
    <t>5669-1</t>
  </si>
  <si>
    <t>Citra Natsir</t>
  </si>
  <si>
    <t>5670-1</t>
  </si>
  <si>
    <t>Luluh Pratiwi</t>
  </si>
  <si>
    <t>5671-1</t>
  </si>
  <si>
    <t>5672-1</t>
  </si>
  <si>
    <t>TechSavi Cordless Keyboard</t>
  </si>
  <si>
    <t>5674-1</t>
  </si>
  <si>
    <t>Harjaya Budiyanto</t>
  </si>
  <si>
    <t>5676-1</t>
  </si>
  <si>
    <t>Panca Damanik</t>
  </si>
  <si>
    <t>5677-1</t>
  </si>
  <si>
    <t>Yoga Lestari</t>
  </si>
  <si>
    <t>Jl. Gardujati No. 178</t>
  </si>
  <si>
    <t>5679-1</t>
  </si>
  <si>
    <t>Kamidin Saptono</t>
  </si>
  <si>
    <t>5680-1</t>
  </si>
  <si>
    <t>Maimunah Safitri</t>
  </si>
  <si>
    <t>5681-1</t>
  </si>
  <si>
    <t>5682-1</t>
  </si>
  <si>
    <t>Virman Prayoga</t>
  </si>
  <si>
    <t>Gang Jend. A. Yani No. 7</t>
  </si>
  <si>
    <t>5684-1</t>
  </si>
  <si>
    <t>Gantar Permata</t>
  </si>
  <si>
    <t>Smiths Pushpins</t>
  </si>
  <si>
    <t>5685-1</t>
  </si>
  <si>
    <t>5686-1</t>
  </si>
  <si>
    <t>Rini Marbun</t>
  </si>
  <si>
    <t>5687-1</t>
  </si>
  <si>
    <t>5689-1</t>
  </si>
  <si>
    <t>5690-1</t>
  </si>
  <si>
    <t>5692-1</t>
  </si>
  <si>
    <t>5693-1</t>
  </si>
  <si>
    <t>Mumpuni Haryanto</t>
  </si>
  <si>
    <t>Gg. Moch. Toha No. 63</t>
  </si>
  <si>
    <t>5695-1</t>
  </si>
  <si>
    <t>5696-1</t>
  </si>
  <si>
    <t>Anastasia Rahimah</t>
  </si>
  <si>
    <t>Jl. Kutisari Selatan No. 078</t>
  </si>
  <si>
    <t>5698-1</t>
  </si>
  <si>
    <t>5699-1</t>
  </si>
  <si>
    <t>Raina Manullang</t>
  </si>
  <si>
    <t>5701-1</t>
  </si>
  <si>
    <t>Yulia Mahendra</t>
  </si>
  <si>
    <t>5702-1</t>
  </si>
  <si>
    <t>5703-1</t>
  </si>
  <si>
    <t>5705-1</t>
  </si>
  <si>
    <t>Darmaji Rajasa</t>
  </si>
  <si>
    <t>5706-1</t>
  </si>
  <si>
    <t>5708-1</t>
  </si>
  <si>
    <t>Lantar Gunawan</t>
  </si>
  <si>
    <t>5710-1</t>
  </si>
  <si>
    <t>Adhiarja Wahyudin</t>
  </si>
  <si>
    <t>5711-1</t>
  </si>
  <si>
    <t>Arta Rahmawati</t>
  </si>
  <si>
    <t>5712-1</t>
  </si>
  <si>
    <t>5713-1</t>
  </si>
  <si>
    <t>Taufan Gunawan</t>
  </si>
  <si>
    <t>5715-1</t>
  </si>
  <si>
    <t>5717-1</t>
  </si>
  <si>
    <t>Cengkir Pradana</t>
  </si>
  <si>
    <t>5718-1</t>
  </si>
  <si>
    <t>Ira Prasetyo</t>
  </si>
  <si>
    <t>5719-1</t>
  </si>
  <si>
    <t>5720-1</t>
  </si>
  <si>
    <t>5721-1</t>
  </si>
  <si>
    <t>Ajimin Andriani</t>
  </si>
  <si>
    <t>5722-1</t>
  </si>
  <si>
    <t>Aswani Rajata</t>
  </si>
  <si>
    <t>Gg. Rumah Sakit No. 617</t>
  </si>
  <si>
    <t>5724-1</t>
  </si>
  <si>
    <t>Oliva Melani</t>
  </si>
  <si>
    <t>5724-2</t>
  </si>
  <si>
    <t>5728-1</t>
  </si>
  <si>
    <t>Tiara Megantara</t>
  </si>
  <si>
    <t>5730-1</t>
  </si>
  <si>
    <t>Daliono Yolanda</t>
  </si>
  <si>
    <t>5731-1</t>
  </si>
  <si>
    <t>Prayitna Pangestu</t>
  </si>
  <si>
    <t>Gang Ciwastra No. 43</t>
  </si>
  <si>
    <t>5732-1</t>
  </si>
  <si>
    <t>Jati Laksmiwati</t>
  </si>
  <si>
    <t>Apex Design Stainless Steel Bent Scissors</t>
  </si>
  <si>
    <t>5734-1</t>
  </si>
  <si>
    <t>Julia Situmorang</t>
  </si>
  <si>
    <t>5736-1</t>
  </si>
  <si>
    <t>Opung Saptono</t>
  </si>
  <si>
    <t>Col-Erase Pencils with Erasers</t>
  </si>
  <si>
    <t>5737-1</t>
  </si>
  <si>
    <t>5738-1</t>
  </si>
  <si>
    <t>5740-1</t>
  </si>
  <si>
    <t>Caket Rahimah</t>
  </si>
  <si>
    <t>5741-1</t>
  </si>
  <si>
    <t>Kania Tampubolon</t>
  </si>
  <si>
    <t>5742-1</t>
  </si>
  <si>
    <t>5743-1</t>
  </si>
  <si>
    <t>Farhunnisa Yulianti</t>
  </si>
  <si>
    <t>5745-1</t>
  </si>
  <si>
    <t>5747-1</t>
  </si>
  <si>
    <t>Kajen Zulkarnain</t>
  </si>
  <si>
    <t>5749-1</t>
  </si>
  <si>
    <t>5750-1</t>
  </si>
  <si>
    <t>5752-1</t>
  </si>
  <si>
    <t>5754-1</t>
  </si>
  <si>
    <t>5755-1</t>
  </si>
  <si>
    <t>Gamani Mulyani</t>
  </si>
  <si>
    <t>5757-1</t>
  </si>
  <si>
    <t>5760-1</t>
  </si>
  <si>
    <t>Karna Pertiwi</t>
  </si>
  <si>
    <t>5762-1</t>
  </si>
  <si>
    <t>5762-2</t>
  </si>
  <si>
    <t>5766-1</t>
  </si>
  <si>
    <t>Yuni Nugroho</t>
  </si>
  <si>
    <t>5768-1</t>
  </si>
  <si>
    <t>5768-2</t>
  </si>
  <si>
    <t>5773-1</t>
  </si>
  <si>
    <t>5775-1</t>
  </si>
  <si>
    <t>5777-1</t>
  </si>
  <si>
    <t>5778-1</t>
  </si>
  <si>
    <t>5779-1</t>
  </si>
  <si>
    <t>5781-1</t>
  </si>
  <si>
    <t>Bakidin Firmansyah</t>
  </si>
  <si>
    <t>5782-1</t>
  </si>
  <si>
    <t>5784-1</t>
  </si>
  <si>
    <t>Rendy Andriani</t>
  </si>
  <si>
    <t>5786-1</t>
  </si>
  <si>
    <t>Olga Gunawan</t>
  </si>
  <si>
    <t>5787-1</t>
  </si>
  <si>
    <t>Purwa Nasyidah</t>
  </si>
  <si>
    <t>5788-1</t>
  </si>
  <si>
    <t>5790-1</t>
  </si>
  <si>
    <t>Calista Ardianto</t>
  </si>
  <si>
    <t>5791-1</t>
  </si>
  <si>
    <t>Nasim Purwanti</t>
  </si>
  <si>
    <t>5793-1</t>
  </si>
  <si>
    <t>Gambira Suryono</t>
  </si>
  <si>
    <t>5795-1</t>
  </si>
  <si>
    <t>5797-1</t>
  </si>
  <si>
    <t>5799-1</t>
  </si>
  <si>
    <t>5800-1</t>
  </si>
  <si>
    <t>Cawisono Mardhiyah</t>
  </si>
  <si>
    <t>5801-1</t>
  </si>
  <si>
    <t>5802-1</t>
  </si>
  <si>
    <t>5803-1</t>
  </si>
  <si>
    <t>Jayeng Wastuti</t>
  </si>
  <si>
    <t>5804-1</t>
  </si>
  <si>
    <t>5804-2</t>
  </si>
  <si>
    <t>5805-1</t>
  </si>
  <si>
    <t>Juli Waluyo</t>
  </si>
  <si>
    <t>Gg. Stasiun Wonokromo No. 324</t>
  </si>
  <si>
    <t>5806-1</t>
  </si>
  <si>
    <t>5807-1</t>
  </si>
  <si>
    <t>Lembah Rajasa</t>
  </si>
  <si>
    <t>Jalan Raya Setiabudhi No. 595</t>
  </si>
  <si>
    <t>5809-1</t>
  </si>
  <si>
    <t>Nilam Dabukke</t>
  </si>
  <si>
    <t>5811-1</t>
  </si>
  <si>
    <t>Mahmud Tarihoran</t>
  </si>
  <si>
    <t>5813-1</t>
  </si>
  <si>
    <t>Rahmat Handayani</t>
  </si>
  <si>
    <t>Artisan Hole Reinforcements</t>
  </si>
  <si>
    <t>5814-1</t>
  </si>
  <si>
    <t>Najwa Usamah</t>
  </si>
  <si>
    <t>5815-1</t>
  </si>
  <si>
    <t>Danuja Prayoga</t>
  </si>
  <si>
    <t>5816-1</t>
  </si>
  <si>
    <t>Warsita Nurdiyanti</t>
  </si>
  <si>
    <t>5818-1</t>
  </si>
  <si>
    <t>5819-1</t>
  </si>
  <si>
    <t>Paiman Uwais</t>
  </si>
  <si>
    <t>Gang Gedebage Selatan No. 1</t>
  </si>
  <si>
    <t>5821-1</t>
  </si>
  <si>
    <t>Mahdi Rajata</t>
  </si>
  <si>
    <t>5822-1</t>
  </si>
  <si>
    <t>5824-1</t>
  </si>
  <si>
    <t>Nilam Latupono</t>
  </si>
  <si>
    <t>5826-1</t>
  </si>
  <si>
    <t>Yoga Damanik</t>
  </si>
  <si>
    <t>5829-1</t>
  </si>
  <si>
    <t>Lukita Lestari</t>
  </si>
  <si>
    <t>5831-1</t>
  </si>
  <si>
    <t>Cakrajiya Sihombing</t>
  </si>
  <si>
    <t>5832-1</t>
  </si>
  <si>
    <t>Putu Suwarno</t>
  </si>
  <si>
    <t>5833-1</t>
  </si>
  <si>
    <t>5834-1</t>
  </si>
  <si>
    <t>5835-1</t>
  </si>
  <si>
    <t>Hilda Sihotang</t>
  </si>
  <si>
    <t>5837-1</t>
  </si>
  <si>
    <t>Kezia Astuti</t>
  </si>
  <si>
    <t>Jl. Rumah Sakit No. 65</t>
  </si>
  <si>
    <t>5838-1</t>
  </si>
  <si>
    <t>Ilyas Najmudin</t>
  </si>
  <si>
    <t>5840-1</t>
  </si>
  <si>
    <t>5841-1</t>
  </si>
  <si>
    <t>5842-1</t>
  </si>
  <si>
    <t>5843-1</t>
  </si>
  <si>
    <t>Najwa Najmudin</t>
  </si>
  <si>
    <t>5845-1</t>
  </si>
  <si>
    <t>5847-1</t>
  </si>
  <si>
    <t>5848-1</t>
  </si>
  <si>
    <t>Danuja Rajasa</t>
  </si>
  <si>
    <t>5850-1</t>
  </si>
  <si>
    <t>Hafshah Utami</t>
  </si>
  <si>
    <t>Alto Six-Outlet Power Strip, 4 Cord Length</t>
  </si>
  <si>
    <t>5852-1</t>
  </si>
  <si>
    <t>Anggabaya Palastri</t>
  </si>
  <si>
    <t>5854-1</t>
  </si>
  <si>
    <t>5856-1</t>
  </si>
  <si>
    <t>Marwata Fujiati</t>
  </si>
  <si>
    <t>Gang Dipatiukur No. 24</t>
  </si>
  <si>
    <t>5857-1</t>
  </si>
  <si>
    <t>5859-1</t>
  </si>
  <si>
    <t>5861-1</t>
  </si>
  <si>
    <t>Jayadi Safitri</t>
  </si>
  <si>
    <t>Gg. Setiabudhi No. 32</t>
  </si>
  <si>
    <t>5863-1</t>
  </si>
  <si>
    <t>5865-1</t>
  </si>
  <si>
    <t>Ratna Sitorus</t>
  </si>
  <si>
    <t>5867-1</t>
  </si>
  <si>
    <t>5868-1</t>
  </si>
  <si>
    <t>5869-1</t>
  </si>
  <si>
    <t>Galar Nasyidah</t>
  </si>
  <si>
    <t>5869-2</t>
  </si>
  <si>
    <t>5870-1</t>
  </si>
  <si>
    <t>Lembah Saragih</t>
  </si>
  <si>
    <t>5871-1</t>
  </si>
  <si>
    <t>5872-1</t>
  </si>
  <si>
    <t>Dacin Setiawan</t>
  </si>
  <si>
    <t>5873-1</t>
  </si>
  <si>
    <t>Balijan Setiawan</t>
  </si>
  <si>
    <t>5875-1</t>
  </si>
  <si>
    <t>Amelia Kuswoyo</t>
  </si>
  <si>
    <t>5877-1</t>
  </si>
  <si>
    <t>Satya Nurdiyanti</t>
  </si>
  <si>
    <t>5879-1</t>
  </si>
  <si>
    <t>5881-1</t>
  </si>
  <si>
    <t>5882-1</t>
  </si>
  <si>
    <t>Bakda Firmansyah</t>
  </si>
  <si>
    <t>5884-1</t>
  </si>
  <si>
    <t>5885-1</t>
  </si>
  <si>
    <t>Mursita Yuniar</t>
  </si>
  <si>
    <t>5886-1</t>
  </si>
  <si>
    <t>Liman Siregar</t>
  </si>
  <si>
    <t>5887-1</t>
  </si>
  <si>
    <t>5888-1</t>
  </si>
  <si>
    <t>5888-2</t>
  </si>
  <si>
    <t>5891-1</t>
  </si>
  <si>
    <t>5893-1</t>
  </si>
  <si>
    <t>Kairav Mandasari</t>
  </si>
  <si>
    <t>5894-1</t>
  </si>
  <si>
    <t>Ozy Pratama</t>
  </si>
  <si>
    <t>5896-1</t>
  </si>
  <si>
    <t>Cahyo Widodo</t>
  </si>
  <si>
    <t>Gang Lembong No. 1</t>
  </si>
  <si>
    <t>5898-1</t>
  </si>
  <si>
    <t>5899-1</t>
  </si>
  <si>
    <t>5900-1</t>
  </si>
  <si>
    <t>5902-1</t>
  </si>
  <si>
    <t>Unggul Megantara</t>
  </si>
  <si>
    <t>5904-1</t>
  </si>
  <si>
    <t>5906-1</t>
  </si>
  <si>
    <t>5907-1</t>
  </si>
  <si>
    <t>5908-1</t>
  </si>
  <si>
    <t>Lanjar Tampubolon</t>
  </si>
  <si>
    <t>5909-1</t>
  </si>
  <si>
    <t>5911-1</t>
  </si>
  <si>
    <t>5913-1</t>
  </si>
  <si>
    <t>5914-1</t>
  </si>
  <si>
    <t>Lintang Prabowo</t>
  </si>
  <si>
    <t>Jl. Suryakencana No. 75</t>
  </si>
  <si>
    <t>5916-1</t>
  </si>
  <si>
    <t>5917-1</t>
  </si>
  <si>
    <t>5919-1</t>
  </si>
  <si>
    <t>5921-1</t>
  </si>
  <si>
    <t>Elvin Yuniar</t>
  </si>
  <si>
    <t>5923-1</t>
  </si>
  <si>
    <t>5925-1</t>
  </si>
  <si>
    <t>Titi Kuswandari</t>
  </si>
  <si>
    <t>5927-1</t>
  </si>
  <si>
    <t>5928-1</t>
  </si>
  <si>
    <t>Harsaya Salahudin</t>
  </si>
  <si>
    <t>Gg. Dipenogoro No. 947</t>
  </si>
  <si>
    <t>5930-1</t>
  </si>
  <si>
    <t>5931-1</t>
  </si>
  <si>
    <t>Agus Winarsih</t>
  </si>
  <si>
    <t>5932-1</t>
  </si>
  <si>
    <t>5933-1</t>
  </si>
  <si>
    <t>Emil Mayasari</t>
  </si>
  <si>
    <t>5935-1</t>
  </si>
  <si>
    <t>5937-1</t>
  </si>
  <si>
    <t>5938-1</t>
  </si>
  <si>
    <t>Harto Firgantoro</t>
  </si>
  <si>
    <t>5939-1</t>
  </si>
  <si>
    <t>Karsana Nugroho</t>
  </si>
  <si>
    <t>5941-1</t>
  </si>
  <si>
    <t>Hasna Prakasa</t>
  </si>
  <si>
    <t>5943-1</t>
  </si>
  <si>
    <t>5943-2</t>
  </si>
  <si>
    <t>5944-1</t>
  </si>
  <si>
    <t>Ibun Hutapea</t>
  </si>
  <si>
    <t>5947-1</t>
  </si>
  <si>
    <t>Ibrani Anggraini</t>
  </si>
  <si>
    <t>5949-1</t>
  </si>
  <si>
    <t>Silvia Siregar</t>
  </si>
  <si>
    <t>5951-1</t>
  </si>
  <si>
    <t>5952-1</t>
  </si>
  <si>
    <t>5955-1</t>
  </si>
  <si>
    <t>Nalar Zulaika</t>
  </si>
  <si>
    <t>5956-1</t>
  </si>
  <si>
    <t>Artawan Mahendra</t>
  </si>
  <si>
    <t>5960-1</t>
  </si>
  <si>
    <t>Jayadi Prakasa</t>
  </si>
  <si>
    <t>5962-1</t>
  </si>
  <si>
    <t>Vega Kurniawan</t>
  </si>
  <si>
    <t>Jalan Dipatiukur No. 56</t>
  </si>
  <si>
    <t>5964-1</t>
  </si>
  <si>
    <t>5965-1</t>
  </si>
  <si>
    <t>5967-1</t>
  </si>
  <si>
    <t>5968-1</t>
  </si>
  <si>
    <t>5969-1</t>
  </si>
  <si>
    <t>Ajimin Suartini</t>
  </si>
  <si>
    <t>5971-1</t>
  </si>
  <si>
    <t>5973-1</t>
  </si>
  <si>
    <t>Sari Januar</t>
  </si>
  <si>
    <t>5974-1</t>
  </si>
  <si>
    <t>5976-1</t>
  </si>
  <si>
    <t>Lala Wacana</t>
  </si>
  <si>
    <t>5977-1</t>
  </si>
  <si>
    <t>5978-1</t>
  </si>
  <si>
    <t>5980-1</t>
  </si>
  <si>
    <t>5982-1</t>
  </si>
  <si>
    <t>5983-1</t>
  </si>
  <si>
    <t>Jatmiko Megantara</t>
  </si>
  <si>
    <t>5984-1</t>
  </si>
  <si>
    <t>Oni Prastuti</t>
  </si>
  <si>
    <t>5985-1</t>
  </si>
  <si>
    <t>5987-1</t>
  </si>
  <si>
    <t>Laila Usamah</t>
  </si>
  <si>
    <t>5988-1</t>
  </si>
  <si>
    <t>5990-1</t>
  </si>
  <si>
    <t>Carub Hardiansyah</t>
  </si>
  <si>
    <t>5990-2</t>
  </si>
  <si>
    <t>5993-1</t>
  </si>
  <si>
    <t>5994-1</t>
  </si>
  <si>
    <t>5996-1</t>
  </si>
  <si>
    <t>5997-1</t>
  </si>
  <si>
    <t>5997-2</t>
  </si>
  <si>
    <t>6000-1</t>
  </si>
  <si>
    <t>Lanjar Hakim</t>
  </si>
  <si>
    <t>6001-1</t>
  </si>
  <si>
    <t>Kawaya Hastuti</t>
  </si>
  <si>
    <t>Jalan Pasirkoja No. 750</t>
  </si>
  <si>
    <t>6002-1</t>
  </si>
  <si>
    <t>Arta Lestari</t>
  </si>
  <si>
    <t>6003-1</t>
  </si>
  <si>
    <t>6005-1</t>
  </si>
  <si>
    <t>6006-1</t>
  </si>
  <si>
    <t>Bagus Setiawan</t>
  </si>
  <si>
    <t>Jl. Monginsidi No. 1</t>
  </si>
  <si>
    <t>6007-1</t>
  </si>
  <si>
    <t>Kambali Wahyuni</t>
  </si>
  <si>
    <t>6009-1</t>
  </si>
  <si>
    <t>6011-1</t>
  </si>
  <si>
    <t>6012-1</t>
  </si>
  <si>
    <t>6014-1</t>
  </si>
  <si>
    <t>Ida Waluyo</t>
  </si>
  <si>
    <t>6014-2</t>
  </si>
  <si>
    <t>6017-1</t>
  </si>
  <si>
    <t>6019-1</t>
  </si>
  <si>
    <t>6021-1</t>
  </si>
  <si>
    <t>Zaenab Aryani</t>
  </si>
  <si>
    <t>6023-1</t>
  </si>
  <si>
    <t>6025-1</t>
  </si>
  <si>
    <t>Jais Wahyudin</t>
  </si>
  <si>
    <t>6027-1</t>
  </si>
  <si>
    <t>6029-1</t>
  </si>
  <si>
    <t>6030-1</t>
  </si>
  <si>
    <t>6032-1</t>
  </si>
  <si>
    <t>Azalea Anggriawan</t>
  </si>
  <si>
    <t>6034-1</t>
  </si>
  <si>
    <t>6036-1</t>
  </si>
  <si>
    <t>Opung Padmasari</t>
  </si>
  <si>
    <t>6037-1</t>
  </si>
  <si>
    <t>6038-1</t>
  </si>
  <si>
    <t>6039-1</t>
  </si>
  <si>
    <t>6042-1</t>
  </si>
  <si>
    <t>6044-1</t>
  </si>
  <si>
    <t>Opan Permata</t>
  </si>
  <si>
    <t>Jalan Kapten Muslihat No. 4</t>
  </si>
  <si>
    <t>6046-1</t>
  </si>
  <si>
    <t>Ophelia Natsir</t>
  </si>
  <si>
    <t>Jalan Sukajadi No. 09</t>
  </si>
  <si>
    <t>6048-1</t>
  </si>
  <si>
    <t>Rusman Adriansyah</t>
  </si>
  <si>
    <t>6050-1</t>
  </si>
  <si>
    <t>6052-1</t>
  </si>
  <si>
    <t>6054-1</t>
  </si>
  <si>
    <t>6056-1</t>
  </si>
  <si>
    <t>Nardi Simanjuntak</t>
  </si>
  <si>
    <t>6057-1</t>
  </si>
  <si>
    <t>6058-1</t>
  </si>
  <si>
    <t>Emas Megantara</t>
  </si>
  <si>
    <t>6059-1</t>
  </si>
  <si>
    <t>6061-1</t>
  </si>
  <si>
    <t>6063-1</t>
  </si>
  <si>
    <t>6065-1</t>
  </si>
  <si>
    <t>Kamidin Yolanda</t>
  </si>
  <si>
    <t>6066-1</t>
  </si>
  <si>
    <t>6067-1</t>
  </si>
  <si>
    <t>Mahmud Tampubolon</t>
  </si>
  <si>
    <t>6068-1</t>
  </si>
  <si>
    <t>6070-1</t>
  </si>
  <si>
    <t>6071-1</t>
  </si>
  <si>
    <t>6072-1</t>
  </si>
  <si>
    <t>Wirda Novitasari</t>
  </si>
  <si>
    <t>6074-1</t>
  </si>
  <si>
    <t>6076-1</t>
  </si>
  <si>
    <t>Daruna Irawan</t>
  </si>
  <si>
    <t>6077-1</t>
  </si>
  <si>
    <t>6079-1</t>
  </si>
  <si>
    <t>Karen Kuswandari</t>
  </si>
  <si>
    <t>6081-1</t>
  </si>
  <si>
    <t>6083-1</t>
  </si>
  <si>
    <t>Dimas Marbun</t>
  </si>
  <si>
    <t>6085-1</t>
  </si>
  <si>
    <t>Rahman Prastuti</t>
  </si>
  <si>
    <t>6086-1</t>
  </si>
  <si>
    <t>Endah Budiyanto</t>
  </si>
  <si>
    <t>Gg. Jayawijaya No. 34</t>
  </si>
  <si>
    <t>6088-1</t>
  </si>
  <si>
    <t>6090-1</t>
  </si>
  <si>
    <t>Icha Mandala</t>
  </si>
  <si>
    <t>6094-1</t>
  </si>
  <si>
    <t>Ina Nasyidah</t>
  </si>
  <si>
    <t>6095-1</t>
  </si>
  <si>
    <t>6096-1</t>
  </si>
  <si>
    <t>Keisha Hutasoit</t>
  </si>
  <si>
    <t>6098-1</t>
  </si>
  <si>
    <t>6099-1</t>
  </si>
  <si>
    <t>Laras Hartati</t>
  </si>
  <si>
    <t>6100-1</t>
  </si>
  <si>
    <t>6102-1</t>
  </si>
  <si>
    <t>Dadi Laksita</t>
  </si>
  <si>
    <t>6103-1</t>
  </si>
  <si>
    <t>Jindra Safitri</t>
  </si>
  <si>
    <t>6104-1</t>
  </si>
  <si>
    <t>6104-2</t>
  </si>
  <si>
    <t>6108-1</t>
  </si>
  <si>
    <t>Ayu Wastuti</t>
  </si>
  <si>
    <t>6109-1</t>
  </si>
  <si>
    <t>6110-1</t>
  </si>
  <si>
    <t>6112-1</t>
  </si>
  <si>
    <t>6113-1</t>
  </si>
  <si>
    <t>6114-1</t>
  </si>
  <si>
    <t>6116-1</t>
  </si>
  <si>
    <t>6118-1</t>
  </si>
  <si>
    <t>Ibrani Yuniar</t>
  </si>
  <si>
    <t>Jl. Kiaracondong No. 48</t>
  </si>
  <si>
    <t>Smiths Bulk Pack Metal Binder Clips</t>
  </si>
  <si>
    <t>6119-1</t>
  </si>
  <si>
    <t>6121-1</t>
  </si>
  <si>
    <t>Betania Thamrin</t>
  </si>
  <si>
    <t>6123-1</t>
  </si>
  <si>
    <t>6124-1</t>
  </si>
  <si>
    <t>6125-1</t>
  </si>
  <si>
    <t>6127-1</t>
  </si>
  <si>
    <t>6128-1</t>
  </si>
  <si>
    <t>Karna Sinaga</t>
  </si>
  <si>
    <t>6130-1</t>
  </si>
  <si>
    <t>6132-1</t>
  </si>
  <si>
    <t>Kemba Sihotang</t>
  </si>
  <si>
    <t>6134-1</t>
  </si>
  <si>
    <t>6135-1</t>
  </si>
  <si>
    <t>6136-1</t>
  </si>
  <si>
    <t>Novi Hardiansyah</t>
  </si>
  <si>
    <t>6138-1</t>
  </si>
  <si>
    <t>6140-1</t>
  </si>
  <si>
    <t>6141-1</t>
  </si>
  <si>
    <t>Alliance Rubber Bands</t>
  </si>
  <si>
    <t>6143-1</t>
  </si>
  <si>
    <t>6143-2</t>
  </si>
  <si>
    <t>6144-1</t>
  </si>
  <si>
    <t>6146-1</t>
  </si>
  <si>
    <t>6148-1</t>
  </si>
  <si>
    <t>6150-1</t>
  </si>
  <si>
    <t>6151-1</t>
  </si>
  <si>
    <t>6152-1</t>
  </si>
  <si>
    <t>6154-1</t>
  </si>
  <si>
    <t>6155-1</t>
  </si>
  <si>
    <t>Tedi Hartati</t>
  </si>
  <si>
    <t>6157-1</t>
  </si>
  <si>
    <t>6158-1</t>
  </si>
  <si>
    <t>6159-1</t>
  </si>
  <si>
    <t>6159-2</t>
  </si>
  <si>
    <t>6165-1</t>
  </si>
  <si>
    <t>Eja Mulyani</t>
  </si>
  <si>
    <t>Gg. Jakarta No. 86</t>
  </si>
  <si>
    <t>6166-1</t>
  </si>
  <si>
    <t>6167-1</t>
  </si>
  <si>
    <t>6168-1</t>
  </si>
  <si>
    <t>6169-1</t>
  </si>
  <si>
    <t>6170-1</t>
  </si>
  <si>
    <t>6172-1</t>
  </si>
  <si>
    <t>6174-1</t>
  </si>
  <si>
    <t>6175-1</t>
  </si>
  <si>
    <t>Lasmanto Yuliarti</t>
  </si>
  <si>
    <t>6176-1</t>
  </si>
  <si>
    <t>Putu Hardiansyah</t>
  </si>
  <si>
    <t>6177-1</t>
  </si>
  <si>
    <t>Hilda Halim</t>
  </si>
  <si>
    <t>6179-1</t>
  </si>
  <si>
    <t>6181-1</t>
  </si>
  <si>
    <t>Keisha Budiyanto</t>
  </si>
  <si>
    <t>6183-1</t>
  </si>
  <si>
    <t>Harja Safitri</t>
  </si>
  <si>
    <t>Gang Jakarta No. 158</t>
  </si>
  <si>
    <t>6184-1</t>
  </si>
  <si>
    <t>6185-1</t>
  </si>
  <si>
    <t>Melinda Hutapea</t>
  </si>
  <si>
    <t>6186-1</t>
  </si>
  <si>
    <t>Harjasa Irawan</t>
  </si>
  <si>
    <t>6187-1</t>
  </si>
  <si>
    <t>6189-1</t>
  </si>
  <si>
    <t>Bambang Rajata</t>
  </si>
  <si>
    <t>Gang K.H. Wahid Hasyim No. 1</t>
  </si>
  <si>
    <t>6190-1</t>
  </si>
  <si>
    <t>6191-1</t>
  </si>
  <si>
    <t>6193-1</t>
  </si>
  <si>
    <t>6194-1</t>
  </si>
  <si>
    <t>6196-1</t>
  </si>
  <si>
    <t>6197-1</t>
  </si>
  <si>
    <t>6197-2</t>
  </si>
  <si>
    <t>6201-1</t>
  </si>
  <si>
    <t>6203-1</t>
  </si>
  <si>
    <t>Tri Siregar</t>
  </si>
  <si>
    <t>Gang Merdeka No. 298</t>
  </si>
  <si>
    <t>6204-1</t>
  </si>
  <si>
    <t>6206-1</t>
  </si>
  <si>
    <t>6208-1</t>
  </si>
  <si>
    <t>Agnes Yulianti</t>
  </si>
  <si>
    <t>6209-1</t>
  </si>
  <si>
    <t>6211-1</t>
  </si>
  <si>
    <t>Jl. Yos Sudarso No. 78</t>
  </si>
  <si>
    <t>6213-1</t>
  </si>
  <si>
    <t>Imam Iswahyudi</t>
  </si>
  <si>
    <t>6214-1</t>
  </si>
  <si>
    <t>Jane Gunawan</t>
  </si>
  <si>
    <t>6215-1</t>
  </si>
  <si>
    <t>6217-1</t>
  </si>
  <si>
    <t>6219-1</t>
  </si>
  <si>
    <t>Kawaca Andriani</t>
  </si>
  <si>
    <t>6220-1</t>
  </si>
  <si>
    <t>6221-1</t>
  </si>
  <si>
    <t>Akarsana Winarno</t>
  </si>
  <si>
    <t>6222-1</t>
  </si>
  <si>
    <t>6223-1</t>
  </si>
  <si>
    <t>Dadap Riyanti</t>
  </si>
  <si>
    <t>6224-1</t>
  </si>
  <si>
    <t>6225-1</t>
  </si>
  <si>
    <t>6226-1</t>
  </si>
  <si>
    <t>6227-1</t>
  </si>
  <si>
    <t>Vicky Mardhiyah</t>
  </si>
  <si>
    <t>6228-1</t>
  </si>
  <si>
    <t>6230-1</t>
  </si>
  <si>
    <t>Abyasa Salahudin</t>
  </si>
  <si>
    <t>6231-1</t>
  </si>
  <si>
    <t>6232-1</t>
  </si>
  <si>
    <t>Bakidin Nugroho</t>
  </si>
  <si>
    <t>6234-1</t>
  </si>
  <si>
    <t>Prima Andriani</t>
  </si>
  <si>
    <t>6235-1</t>
  </si>
  <si>
    <t>Purwanto Irawan</t>
  </si>
  <si>
    <t>6237-1</t>
  </si>
  <si>
    <t>6238-1</t>
  </si>
  <si>
    <t>Opan Prasetyo</t>
  </si>
  <si>
    <t>6240-1</t>
  </si>
  <si>
    <t>6242-1</t>
  </si>
  <si>
    <t>6243-1</t>
  </si>
  <si>
    <t>Lukman Nurdiyanti</t>
  </si>
  <si>
    <t>6244-1</t>
  </si>
  <si>
    <t>6246-1</t>
  </si>
  <si>
    <t>Pangestu Sihombing</t>
  </si>
  <si>
    <t>6248-1</t>
  </si>
  <si>
    <t>Raharja Saputra</t>
  </si>
  <si>
    <t>6250-1</t>
  </si>
  <si>
    <t>Genta Iswahyudi</t>
  </si>
  <si>
    <t>6252-1</t>
  </si>
  <si>
    <t>6254-1</t>
  </si>
  <si>
    <t>Siti Maulana</t>
  </si>
  <si>
    <t>6256-1</t>
  </si>
  <si>
    <t>Mahfud Laksita</t>
  </si>
  <si>
    <t>6257-1</t>
  </si>
  <si>
    <t>6258-1</t>
  </si>
  <si>
    <t>6260-1</t>
  </si>
  <si>
    <t>6261-1</t>
  </si>
  <si>
    <t>Hasna Prasetya</t>
  </si>
  <si>
    <t>6263-1</t>
  </si>
  <si>
    <t>6264-1</t>
  </si>
  <si>
    <t>6266-1</t>
  </si>
  <si>
    <t>Empluk Uyainah</t>
  </si>
  <si>
    <t>6266-2</t>
  </si>
  <si>
    <t>6269-1</t>
  </si>
  <si>
    <t>6270-1</t>
  </si>
  <si>
    <t>Queen Fujiati</t>
  </si>
  <si>
    <t>6272-1</t>
  </si>
  <si>
    <t>6273-1</t>
  </si>
  <si>
    <t>Gandewa Sitorus</t>
  </si>
  <si>
    <t>6274-1</t>
  </si>
  <si>
    <t>6275-1</t>
  </si>
  <si>
    <t>Mila Sihotang</t>
  </si>
  <si>
    <t>6276-1</t>
  </si>
  <si>
    <t>Wisnu Rahmawati</t>
  </si>
  <si>
    <t>6278-1</t>
  </si>
  <si>
    <t>6278-2</t>
  </si>
  <si>
    <t>6280-1</t>
  </si>
  <si>
    <t>6280-2</t>
  </si>
  <si>
    <t>6281-1</t>
  </si>
  <si>
    <t>6285-1</t>
  </si>
  <si>
    <t>Margana Handayani</t>
  </si>
  <si>
    <t>6287-1</t>
  </si>
  <si>
    <t>6288-1</t>
  </si>
  <si>
    <t>6290-1</t>
  </si>
  <si>
    <t>6291-1</t>
  </si>
  <si>
    <t>6293-1</t>
  </si>
  <si>
    <t>6294-1</t>
  </si>
  <si>
    <t>6295-1</t>
  </si>
  <si>
    <t>Lega Thamrin</t>
  </si>
  <si>
    <t>6296-1</t>
  </si>
  <si>
    <t>Nabila Padmasari</t>
  </si>
  <si>
    <t>6298-1</t>
  </si>
  <si>
    <t>Kasiyah Puspasari</t>
  </si>
  <si>
    <t>Gang Ronggowarsito No. 27</t>
  </si>
  <si>
    <t>6300-1</t>
  </si>
  <si>
    <t>Cinta Rahmawati</t>
  </si>
  <si>
    <t>6301-1</t>
  </si>
  <si>
    <t>6302-1</t>
  </si>
  <si>
    <t>6303-1</t>
  </si>
  <si>
    <t>6304-1</t>
  </si>
  <si>
    <t>6306-1</t>
  </si>
  <si>
    <t>Leo Sudiati</t>
  </si>
  <si>
    <t>6307-1</t>
  </si>
  <si>
    <t>Prima Prasetyo</t>
  </si>
  <si>
    <t>6309-1</t>
  </si>
  <si>
    <t>Rahman Yuliarti</t>
  </si>
  <si>
    <t>Jl. Abdul Muis No. 3</t>
  </si>
  <si>
    <t>6311-1</t>
  </si>
  <si>
    <t>Dina Sitorus</t>
  </si>
  <si>
    <t>6313-1</t>
  </si>
  <si>
    <t>6315-1</t>
  </si>
  <si>
    <t>6316-1</t>
  </si>
  <si>
    <t>6317-1</t>
  </si>
  <si>
    <t>6319-1</t>
  </si>
  <si>
    <t>6320-1</t>
  </si>
  <si>
    <t>Radika Suartini</t>
  </si>
  <si>
    <t>6321-1</t>
  </si>
  <si>
    <t>6322-1</t>
  </si>
  <si>
    <t>6324-1</t>
  </si>
  <si>
    <t>6325-1</t>
  </si>
  <si>
    <t>6325-2</t>
  </si>
  <si>
    <t>6327-1</t>
  </si>
  <si>
    <t>Enteng Widodo</t>
  </si>
  <si>
    <t>6328-1</t>
  </si>
  <si>
    <t>6329-1</t>
  </si>
  <si>
    <t>6330-1</t>
  </si>
  <si>
    <t>6332-1</t>
  </si>
  <si>
    <t>6333-1</t>
  </si>
  <si>
    <t>Laila Tarihoran</t>
  </si>
  <si>
    <t>6335-1</t>
  </si>
  <si>
    <t>Timbul Marpaung</t>
  </si>
  <si>
    <t>6336-1</t>
  </si>
  <si>
    <t>6336-2</t>
  </si>
  <si>
    <t>6337-1</t>
  </si>
  <si>
    <t>6338-1</t>
  </si>
  <si>
    <t>6339-1</t>
  </si>
  <si>
    <t>6339-2</t>
  </si>
  <si>
    <t>6340-1</t>
  </si>
  <si>
    <t>6342-1</t>
  </si>
  <si>
    <t>Niyaga Laksita</t>
  </si>
  <si>
    <t>6343-1</t>
  </si>
  <si>
    <t>6345-1</t>
  </si>
  <si>
    <t>6346-1</t>
  </si>
  <si>
    <t>6347-1</t>
  </si>
  <si>
    <t>Vinsen Widodo</t>
  </si>
  <si>
    <t>6348-1</t>
  </si>
  <si>
    <t>6349-1</t>
  </si>
  <si>
    <t>6351-1</t>
  </si>
  <si>
    <t>Puji Waskita</t>
  </si>
  <si>
    <t>6352-1</t>
  </si>
  <si>
    <t>Wawan Haryanti</t>
  </si>
  <si>
    <t>6353-1</t>
  </si>
  <si>
    <t>Umi Marbun</t>
  </si>
  <si>
    <t>6354-1</t>
  </si>
  <si>
    <t>6355-1</t>
  </si>
  <si>
    <t>6356-1</t>
  </si>
  <si>
    <t>HFX 610 Color Digital Copier / Printer</t>
  </si>
  <si>
    <t>6358-1</t>
  </si>
  <si>
    <t>6359-1</t>
  </si>
  <si>
    <t>6361-1</t>
  </si>
  <si>
    <t>Galih Halim</t>
  </si>
  <si>
    <t>6362-1</t>
  </si>
  <si>
    <t>Vero Kusumo</t>
  </si>
  <si>
    <t>6364-1</t>
  </si>
  <si>
    <t>6365-1</t>
  </si>
  <si>
    <t>Kuncara Melani</t>
  </si>
  <si>
    <t>6367-1</t>
  </si>
  <si>
    <t>Siti Anggraini</t>
  </si>
  <si>
    <t>6369-1</t>
  </si>
  <si>
    <t>6370-1</t>
  </si>
  <si>
    <t>6371-1</t>
  </si>
  <si>
    <t>6373-1</t>
  </si>
  <si>
    <t>6374-1</t>
  </si>
  <si>
    <t>6376-1</t>
  </si>
  <si>
    <t>6377-1</t>
  </si>
  <si>
    <t>6379-1</t>
  </si>
  <si>
    <t>6380-1</t>
  </si>
  <si>
    <t>6382-1</t>
  </si>
  <si>
    <t>6384-1</t>
  </si>
  <si>
    <t>6384-2</t>
  </si>
  <si>
    <t>6387-1</t>
  </si>
  <si>
    <t>6388-1</t>
  </si>
  <si>
    <t>6389-1</t>
  </si>
  <si>
    <t>6390-1</t>
  </si>
  <si>
    <t>6391-1</t>
  </si>
  <si>
    <t>Widya Setiawan</t>
  </si>
  <si>
    <t>6392-1</t>
  </si>
  <si>
    <t>Daliman Sitorus</t>
  </si>
  <si>
    <t>6393-1</t>
  </si>
  <si>
    <t>6394-1</t>
  </si>
  <si>
    <t>6395-1</t>
  </si>
  <si>
    <t>6396-1</t>
  </si>
  <si>
    <t>6397-1</t>
  </si>
  <si>
    <t>Bancar Mulyani</t>
  </si>
  <si>
    <t>6399-1</t>
  </si>
  <si>
    <t>6401-1</t>
  </si>
  <si>
    <t>6402-1</t>
  </si>
  <si>
    <t>6403-1</t>
  </si>
  <si>
    <t>6403-2</t>
  </si>
  <si>
    <t>6407-1</t>
  </si>
  <si>
    <t>6409-1</t>
  </si>
  <si>
    <t>6411-1</t>
  </si>
  <si>
    <t>6413-1</t>
  </si>
  <si>
    <t>6414-1</t>
  </si>
  <si>
    <t>Among Firmansyah</t>
  </si>
  <si>
    <t>6415-1</t>
  </si>
  <si>
    <t>6417-1</t>
  </si>
  <si>
    <t>Gang Jend. A. Yani No. 75</t>
  </si>
  <si>
    <t>6417-2</t>
  </si>
  <si>
    <t>Gg. Gedebage Selatan No. 794</t>
  </si>
  <si>
    <t>6418-1</t>
  </si>
  <si>
    <t>6422-1</t>
  </si>
  <si>
    <t>6423-1</t>
  </si>
  <si>
    <t>6425-1</t>
  </si>
  <si>
    <t>6426-1</t>
  </si>
  <si>
    <t>Galih Mustofa</t>
  </si>
  <si>
    <t>6427-1</t>
  </si>
  <si>
    <t>6429-1</t>
  </si>
  <si>
    <t>6430-1</t>
  </si>
  <si>
    <t>6432-1</t>
  </si>
  <si>
    <t>6433-1</t>
  </si>
  <si>
    <t>6434-1</t>
  </si>
  <si>
    <t>6436-1</t>
  </si>
  <si>
    <t>6437-1</t>
  </si>
  <si>
    <t>Aditya Uyainah</t>
  </si>
  <si>
    <t>6437-2</t>
  </si>
  <si>
    <t>6438-1</t>
  </si>
  <si>
    <t>6440-1</t>
  </si>
  <si>
    <t>6442-1</t>
  </si>
  <si>
    <t>6443-1</t>
  </si>
  <si>
    <t>6445-1</t>
  </si>
  <si>
    <t>6447-1</t>
  </si>
  <si>
    <t>6449-1</t>
  </si>
  <si>
    <t>6451-1</t>
  </si>
  <si>
    <t>6453-1</t>
  </si>
  <si>
    <t>6455-1</t>
  </si>
  <si>
    <t>6457-1</t>
  </si>
  <si>
    <t>6457-2</t>
  </si>
  <si>
    <t>6460-1</t>
  </si>
  <si>
    <t>Laila Anggraini</t>
  </si>
  <si>
    <t>6461-1</t>
  </si>
  <si>
    <t>6463-1</t>
  </si>
  <si>
    <t>Wulan Hariyah</t>
  </si>
  <si>
    <t>6465-1</t>
  </si>
  <si>
    <t>Rizki Firgantoro</t>
  </si>
  <si>
    <t>6467-1</t>
  </si>
  <si>
    <t>6469-1</t>
  </si>
  <si>
    <t>6471-1</t>
  </si>
  <si>
    <t>6472-1</t>
  </si>
  <si>
    <t>Rendy Firmansyah</t>
  </si>
  <si>
    <t>6473-1</t>
  </si>
  <si>
    <t>6475-1</t>
  </si>
  <si>
    <t>6477-1</t>
  </si>
  <si>
    <t>Gaduh Marbun</t>
  </si>
  <si>
    <t>6479-1</t>
  </si>
  <si>
    <t>Pangestu Rajata</t>
  </si>
  <si>
    <t>6480-1</t>
  </si>
  <si>
    <t>Tri Rahmawati</t>
  </si>
  <si>
    <t>6482-1</t>
  </si>
  <si>
    <t>6483-1</t>
  </si>
  <si>
    <t>6484-1</t>
  </si>
  <si>
    <t>Farah Maheswara</t>
  </si>
  <si>
    <t>6485-1</t>
  </si>
  <si>
    <t>6487-1</t>
  </si>
  <si>
    <t>6489-1</t>
  </si>
  <si>
    <t>Rangga Budiman</t>
  </si>
  <si>
    <t>6491-1</t>
  </si>
  <si>
    <t>Kania Kuswandari</t>
  </si>
  <si>
    <t>Gg. Dipatiukur No. 002</t>
  </si>
  <si>
    <t>6493-1</t>
  </si>
  <si>
    <t>Hartana Nurdiyanti</t>
  </si>
  <si>
    <t>6495-1</t>
  </si>
  <si>
    <t>6496-1</t>
  </si>
  <si>
    <t>6497-1</t>
  </si>
  <si>
    <t>6498-1</t>
  </si>
  <si>
    <t>Anita Halim</t>
  </si>
  <si>
    <t>6499-1</t>
  </si>
  <si>
    <t>Olga Irawan</t>
  </si>
  <si>
    <t>6500-1</t>
  </si>
  <si>
    <t>6502-1</t>
  </si>
  <si>
    <t>Ulya Agustina</t>
  </si>
  <si>
    <t>6503-1</t>
  </si>
  <si>
    <t>6504-1</t>
  </si>
  <si>
    <t>6505-1</t>
  </si>
  <si>
    <t>6506-1</t>
  </si>
  <si>
    <t>6507-1</t>
  </si>
  <si>
    <t>6508-1</t>
  </si>
  <si>
    <t>6509-1</t>
  </si>
  <si>
    <t>6510-1</t>
  </si>
  <si>
    <t>6511-1</t>
  </si>
  <si>
    <t>Hardi Prayoga</t>
  </si>
  <si>
    <t>6512-1</t>
  </si>
  <si>
    <t>6514-1</t>
  </si>
  <si>
    <t>6515-1</t>
  </si>
  <si>
    <t>6515-2</t>
  </si>
  <si>
    <t>6517-1</t>
  </si>
  <si>
    <t>Zelaya Maryati</t>
  </si>
  <si>
    <t>6521-1</t>
  </si>
  <si>
    <t>6523-1</t>
  </si>
  <si>
    <t>6525-1</t>
  </si>
  <si>
    <t>6526-1</t>
  </si>
  <si>
    <t>6527-1</t>
  </si>
  <si>
    <t>Employee Database</t>
  </si>
  <si>
    <t>Date</t>
  </si>
  <si>
    <t>Employee ID</t>
  </si>
  <si>
    <t>First</t>
  </si>
  <si>
    <t>Last</t>
  </si>
  <si>
    <t>Full Name</t>
  </si>
  <si>
    <t>Email</t>
  </si>
  <si>
    <t>Date of Birth</t>
  </si>
  <si>
    <t>Age</t>
  </si>
  <si>
    <t>Date of Hire</t>
  </si>
  <si>
    <t>Years of Service</t>
  </si>
  <si>
    <t>Department</t>
  </si>
  <si>
    <t>Location</t>
  </si>
  <si>
    <t>Floor</t>
  </si>
  <si>
    <t>Call</t>
  </si>
  <si>
    <t>E1001</t>
  </si>
  <si>
    <t>Raina</t>
  </si>
  <si>
    <t>Aryani</t>
  </si>
  <si>
    <t>Executive</t>
  </si>
  <si>
    <t>Surabaya 10-827</t>
  </si>
  <si>
    <t>E1002</t>
  </si>
  <si>
    <t>Tari</t>
  </si>
  <si>
    <t>Anggraini</t>
  </si>
  <si>
    <t>Human Resources</t>
  </si>
  <si>
    <t>Jakarta 11-806</t>
  </si>
  <si>
    <t>E1003</t>
  </si>
  <si>
    <t>Karen</t>
  </si>
  <si>
    <t>Riyanti</t>
  </si>
  <si>
    <t>IT</t>
  </si>
  <si>
    <t>Jakarta 10-584</t>
  </si>
  <si>
    <t>E1004</t>
  </si>
  <si>
    <t>Titin</t>
  </si>
  <si>
    <t>Data</t>
  </si>
  <si>
    <t>Jakarta 10-385</t>
  </si>
  <si>
    <t>E1005</t>
  </si>
  <si>
    <t>Ilsa</t>
  </si>
  <si>
    <t>Utami</t>
  </si>
  <si>
    <t>Sales</t>
  </si>
  <si>
    <t>Jakarta 12-766</t>
  </si>
  <si>
    <t>E1006</t>
  </si>
  <si>
    <t>Jessica</t>
  </si>
  <si>
    <t>Hariyah</t>
  </si>
  <si>
    <t>Customer Service</t>
  </si>
  <si>
    <t>Surabaya 12-388</t>
  </si>
  <si>
    <t>E1007</t>
  </si>
  <si>
    <t>Almira</t>
  </si>
  <si>
    <t>Hasanah</t>
  </si>
  <si>
    <t>Jakarta 11-594</t>
  </si>
  <si>
    <t>E1008</t>
  </si>
  <si>
    <t>Sari</t>
  </si>
  <si>
    <t>Astuti</t>
  </si>
  <si>
    <t>Surabaya 12-654</t>
  </si>
  <si>
    <t>E1009</t>
  </si>
  <si>
    <t>Aurora</t>
  </si>
  <si>
    <t>Jakarta 10-851</t>
  </si>
  <si>
    <t>E1010</t>
  </si>
  <si>
    <t>Vivi</t>
  </si>
  <si>
    <t>Andriani</t>
  </si>
  <si>
    <t>Jakarta 11-316</t>
  </si>
  <si>
    <t>E1011</t>
  </si>
  <si>
    <t>Eka</t>
  </si>
  <si>
    <t>Nashiruddin</t>
  </si>
  <si>
    <t>Jakarta 10-797</t>
  </si>
  <si>
    <t>E1012</t>
  </si>
  <si>
    <t>Adiarja</t>
  </si>
  <si>
    <t>Sirait</t>
  </si>
  <si>
    <t>Surabaya 10-779</t>
  </si>
  <si>
    <t>E1013</t>
  </si>
  <si>
    <t>Sidiq</t>
  </si>
  <si>
    <t>Pranowo</t>
  </si>
  <si>
    <t>Surabaya 10-878</t>
  </si>
  <si>
    <t>E1014</t>
  </si>
  <si>
    <t>Harsana</t>
  </si>
  <si>
    <t>Budiman</t>
  </si>
  <si>
    <t>Jakarta 11-663</t>
  </si>
  <si>
    <t>E1015</t>
  </si>
  <si>
    <t>Galar</t>
  </si>
  <si>
    <t>Halim</t>
  </si>
  <si>
    <t>Surabaya 11-426</t>
  </si>
  <si>
    <t>E1016</t>
  </si>
  <si>
    <t>Kardi</t>
  </si>
  <si>
    <t>Saptono</t>
  </si>
  <si>
    <t>Jakarta 10-459</t>
  </si>
  <si>
    <t>E1017</t>
  </si>
  <si>
    <t>Sabar</t>
  </si>
  <si>
    <t>Situmorang</t>
  </si>
  <si>
    <t>Jakarta 12-465</t>
  </si>
  <si>
    <t>E1018</t>
  </si>
  <si>
    <t>Dimaz</t>
  </si>
  <si>
    <t>Zulkarnain</t>
  </si>
  <si>
    <t>Surabaya 12-440</t>
  </si>
  <si>
    <t>E1019</t>
  </si>
  <si>
    <t>Balapati</t>
  </si>
  <si>
    <t>Prasetya</t>
  </si>
  <si>
    <t>Jakarta 10-828</t>
  </si>
  <si>
    <t>E1020</t>
  </si>
  <si>
    <t>Eja</t>
  </si>
  <si>
    <t>Widodo</t>
  </si>
  <si>
    <t>Surabaya 11-611</t>
  </si>
  <si>
    <t>E1021</t>
  </si>
  <si>
    <t>Prabu</t>
  </si>
  <si>
    <t>Haryanto</t>
  </si>
  <si>
    <t>Surabaya 11-722</t>
  </si>
  <si>
    <t>E1022</t>
  </si>
  <si>
    <t>Cayadi</t>
  </si>
  <si>
    <t>Putra</t>
  </si>
  <si>
    <t>Jakarta 11-807</t>
  </si>
  <si>
    <t>E1023</t>
  </si>
  <si>
    <t>Gambira</t>
  </si>
  <si>
    <t>Jakarta 12-854</t>
  </si>
  <si>
    <t>E1024</t>
  </si>
  <si>
    <t>Salman</t>
  </si>
  <si>
    <t>Wasita</t>
  </si>
  <si>
    <t>Jakarta 12-348</t>
  </si>
  <si>
    <t>E1025</t>
  </si>
  <si>
    <t>Wardaya</t>
  </si>
  <si>
    <t>Dongoran</t>
  </si>
  <si>
    <t>Jakarta 10-401</t>
  </si>
  <si>
    <t>E1026</t>
  </si>
  <si>
    <t>Kania</t>
  </si>
  <si>
    <t>Permata</t>
  </si>
  <si>
    <t>Surabaya 11-701</t>
  </si>
  <si>
    <t>I1110</t>
  </si>
  <si>
    <t>Eva</t>
  </si>
  <si>
    <t>Yolanda</t>
  </si>
  <si>
    <t>Surabaya 12-360</t>
  </si>
  <si>
    <t>I1111</t>
  </si>
  <si>
    <t>Amalia</t>
  </si>
  <si>
    <t>Yuniar</t>
  </si>
  <si>
    <t>Surabaya 11-605</t>
  </si>
  <si>
    <t>I1112</t>
  </si>
  <si>
    <t>Ade</t>
  </si>
  <si>
    <t>Rahayu</t>
  </si>
  <si>
    <t>Surabaya 12-408</t>
  </si>
  <si>
    <t>E1027</t>
  </si>
  <si>
    <t>Zizi</t>
  </si>
  <si>
    <t>Usada</t>
  </si>
  <si>
    <t>Surabaya 11-315</t>
  </si>
  <si>
    <t>Gaduh</t>
  </si>
  <si>
    <t>Pratama</t>
  </si>
  <si>
    <t>Account Manager</t>
  </si>
  <si>
    <t>Surabaya 12-407</t>
  </si>
  <si>
    <t>Laras</t>
  </si>
  <si>
    <t>Nuraini</t>
  </si>
  <si>
    <t>Jakarta 10-503</t>
  </si>
  <si>
    <t>Cinthia</t>
  </si>
  <si>
    <t>Gunawan</t>
  </si>
  <si>
    <t>Jakarta 11-816</t>
  </si>
  <si>
    <t>Bagiya</t>
  </si>
  <si>
    <t>Sihombing</t>
  </si>
  <si>
    <t>Jakarta 10-852</t>
  </si>
  <si>
    <t>Violet</t>
  </si>
  <si>
    <t>Mentari</t>
  </si>
  <si>
    <t>Jakarta 12-689</t>
  </si>
  <si>
    <t>Paiman</t>
  </si>
  <si>
    <t>Firgantoro</t>
  </si>
  <si>
    <t>Surabaya 12-465</t>
  </si>
  <si>
    <t>Ophelia</t>
  </si>
  <si>
    <t>Mustofa</t>
  </si>
  <si>
    <t>Jakarta 12-498</t>
  </si>
  <si>
    <t>Darmanto</t>
  </si>
  <si>
    <t>Laksita</t>
  </si>
  <si>
    <t>Surabaya 10-404</t>
  </si>
  <si>
    <t>Kenari</t>
  </si>
  <si>
    <t>Rajasa</t>
  </si>
  <si>
    <t>Jakarta 11-688</t>
  </si>
  <si>
    <t>Puti</t>
  </si>
  <si>
    <t>Nadine Prakasa</t>
  </si>
  <si>
    <t>Clara</t>
  </si>
  <si>
    <t>Prasetyo</t>
  </si>
  <si>
    <t>Surabaya 11-684</t>
  </si>
  <si>
    <t>Nabila</t>
  </si>
  <si>
    <t>Prakasa</t>
  </si>
  <si>
    <t>Jakarta 12-626</t>
  </si>
  <si>
    <t>Sutan</t>
  </si>
  <si>
    <t>Tirtayasa Wasita</t>
  </si>
  <si>
    <t>Surabaya 11-585</t>
  </si>
  <si>
    <t>Winarno</t>
  </si>
  <si>
    <t>Jakarta 10-398</t>
  </si>
  <si>
    <t>raina.aryani_e@myskill.co.id</t>
  </si>
  <si>
    <t>AM Name</t>
  </si>
  <si>
    <t>index-match</t>
  </si>
  <si>
    <t>Sum of Order Total</t>
  </si>
  <si>
    <t>Row Labels</t>
  </si>
  <si>
    <t>Grand Total</t>
  </si>
  <si>
    <t>Column Labels</t>
  </si>
  <si>
    <t>Profit</t>
  </si>
  <si>
    <t>Total Expense</t>
  </si>
  <si>
    <t>Other Cost</t>
  </si>
  <si>
    <t>Manpower</t>
  </si>
  <si>
    <t>Tax</t>
  </si>
  <si>
    <t>Total Revenue</t>
  </si>
  <si>
    <t>Price per Product</t>
  </si>
  <si>
    <t>Quantity</t>
  </si>
  <si>
    <t>Low Scenario</t>
  </si>
  <si>
    <t>Price</t>
  </si>
  <si>
    <t>Shipping_Cost</t>
  </si>
  <si>
    <t>Person</t>
  </si>
  <si>
    <t>Price_per_Manpower</t>
  </si>
  <si>
    <t>solver_opt</t>
  </si>
  <si>
    <t>Mid Scenario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</si>
  <si>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</si>
  <si>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</si>
  <si>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</si>
  <si>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</si>
  <si>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</si>
  <si>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</si>
  <si>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</si>
  <si>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Created by Hp on 05/06/2022
Modified by Hp on 05/06/2022</t>
  </si>
  <si>
    <t>Goal Seek</t>
  </si>
  <si>
    <t>Profit 500 juta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</si>
</sst>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Rp&quot;* #,##0_-;\-&quot;Rp&quot;* #,##0_-;_-&quot;Rp&quot;* &quot;-&quot;_-;_-@_-"/>
    <numFmt numFmtId="164" formatCode="_-[$Rp-3809]* #,##0_-;\-[$Rp-3809]* #,##0_-;_-[$Rp-3809]* &quot;-&quot;??_-;_-@_-"/>
    <numFmt numFmtId="165" formatCode="_-[$Rp-3809]* #,##0.00_-;\-[$Rp-3809]* #,##0.00_-;_-[$Rp-3809]* &quot;-&quot;??_-;_-@"/>
    <numFmt numFmtId="166" formatCode="_-&quot;Rp&quot;* #,##0_-;\-&quot;Rp&quot;* #,##0_-;_-&quot;Rp&quot;* &quot;-&quot;_-;_-@"/>
    <numFmt numFmtId="167" formatCode="_-* #,##0_-;\-* #,##0_-;_-* &quot;-&quot;_-;_-@"/>
    <numFmt numFmtId="168" formatCode="_-[$Rp-3809]* #,##0_-;\-[$Rp-3809]* #,##0_-;_-[$Rp-3809]* &quot;-&quot;??_-;_-@"/>
  </numFmts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20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theme="10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/>
        <bgColor theme="6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 applyFont="1" applyAlignme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9" fontId="5" fillId="0" borderId="0" xfId="0" applyNumberFormat="1" applyFont="1"/>
    <xf numFmtId="0" fontId="2" fillId="0" borderId="0" xfId="0" quotePrefix="1" applyFont="1"/>
    <xf numFmtId="164" fontId="0" fillId="0" borderId="0" xfId="0" applyNumberFormat="1" applyFont="1" applyAlignment="1"/>
    <xf numFmtId="164" fontId="4" fillId="0" borderId="0" xfId="0" applyNumberFormat="1" applyFont="1"/>
    <xf numFmtId="164" fontId="5" fillId="0" borderId="0" xfId="0" applyNumberFormat="1" applyFont="1"/>
    <xf numFmtId="164" fontId="2" fillId="0" borderId="0" xfId="0" applyNumberFormat="1" applyFont="1"/>
    <xf numFmtId="14" fontId="2" fillId="0" borderId="0" xfId="0" applyNumberFormat="1" applyFont="1"/>
    <xf numFmtId="14" fontId="5" fillId="0" borderId="0" xfId="0" applyNumberFormat="1" applyFont="1"/>
    <xf numFmtId="14" fontId="0" fillId="0" borderId="0" xfId="0" applyNumberFormat="1" applyFont="1" applyAlignment="1"/>
    <xf numFmtId="14" fontId="4" fillId="0" borderId="0" xfId="0" applyNumberFormat="1" applyFont="1"/>
    <xf numFmtId="1" fontId="0" fillId="0" borderId="0" xfId="0" applyNumberFormat="1" applyFont="1" applyAlignment="1"/>
    <xf numFmtId="1" fontId="4" fillId="0" borderId="0" xfId="0" applyNumberFormat="1" applyFont="1"/>
    <xf numFmtId="0" fontId="6" fillId="0" borderId="0" xfId="0" applyFont="1"/>
    <xf numFmtId="42" fontId="0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7" xfId="0" applyFont="1" applyBorder="1" applyAlignment="1"/>
    <xf numFmtId="0" fontId="4" fillId="0" borderId="7" xfId="0" applyFont="1" applyBorder="1"/>
    <xf numFmtId="0" fontId="4" fillId="0" borderId="8" xfId="0" applyFont="1" applyBorder="1" applyAlignment="1">
      <alignment vertical="center"/>
    </xf>
    <xf numFmtId="0" fontId="0" fillId="0" borderId="0" xfId="0" applyFont="1" applyBorder="1" applyAlignment="1"/>
    <xf numFmtId="42" fontId="0" fillId="0" borderId="7" xfId="0" applyNumberFormat="1" applyFont="1" applyBorder="1" applyAlignment="1"/>
    <xf numFmtId="3" fontId="0" fillId="0" borderId="0" xfId="0" applyNumberFormat="1" applyFont="1" applyAlignment="1"/>
    <xf numFmtId="0" fontId="4" fillId="0" borderId="0" xfId="0" applyFont="1" applyBorder="1" applyAlignment="1">
      <alignment vertical="center"/>
    </xf>
    <xf numFmtId="0" fontId="7" fillId="0" borderId="0" xfId="0" applyFont="1" applyAlignment="1"/>
    <xf numFmtId="0" fontId="1" fillId="0" borderId="0" xfId="1"/>
    <xf numFmtId="166" fontId="8" fillId="0" borderId="0" xfId="1" applyNumberFormat="1" applyFont="1"/>
    <xf numFmtId="0" fontId="9" fillId="0" borderId="0" xfId="1" applyFont="1"/>
    <xf numFmtId="165" fontId="8" fillId="2" borderId="0" xfId="1" applyNumberFormat="1" applyFont="1" applyFill="1"/>
    <xf numFmtId="9" fontId="8" fillId="0" borderId="0" xfId="1" applyNumberFormat="1" applyFont="1"/>
    <xf numFmtId="168" fontId="8" fillId="0" borderId="0" xfId="1" applyNumberFormat="1" applyFont="1"/>
    <xf numFmtId="168" fontId="8" fillId="2" borderId="0" xfId="1" applyNumberFormat="1" applyFont="1" applyFill="1"/>
    <xf numFmtId="168" fontId="8" fillId="3" borderId="0" xfId="1" applyNumberFormat="1" applyFont="1" applyFill="1"/>
    <xf numFmtId="167" fontId="8" fillId="3" borderId="0" xfId="1" applyNumberFormat="1" applyFont="1" applyFill="1"/>
    <xf numFmtId="0" fontId="0" fillId="0" borderId="0" xfId="0" applyFill="1" applyBorder="1" applyAlignment="1"/>
    <xf numFmtId="167" fontId="0" fillId="0" borderId="0" xfId="0" applyNumberFormat="1" applyFill="1" applyBorder="1" applyAlignment="1"/>
    <xf numFmtId="168" fontId="0" fillId="0" borderId="0" xfId="0" applyNumberFormat="1" applyFill="1" applyBorder="1" applyAlignment="1"/>
    <xf numFmtId="168" fontId="0" fillId="0" borderId="10" xfId="0" applyNumberFormat="1" applyFill="1" applyBorder="1" applyAlignment="1"/>
    <xf numFmtId="0" fontId="10" fillId="4" borderId="11" xfId="0" applyFont="1" applyFill="1" applyBorder="1" applyAlignment="1">
      <alignment horizontal="left"/>
    </xf>
    <xf numFmtId="0" fontId="10" fillId="4" borderId="9" xfId="0" applyFont="1" applyFill="1" applyBorder="1" applyAlignment="1">
      <alignment horizontal="left"/>
    </xf>
    <xf numFmtId="0" fontId="0" fillId="0" borderId="12" xfId="0" applyFill="1" applyBorder="1" applyAlignment="1"/>
    <xf numFmtId="0" fontId="11" fillId="5" borderId="0" xfId="0" applyFont="1" applyFill="1" applyBorder="1" applyAlignment="1">
      <alignment horizontal="left"/>
    </xf>
    <xf numFmtId="0" fontId="12" fillId="5" borderId="12" xfId="0" applyFont="1" applyFill="1" applyBorder="1" applyAlignment="1">
      <alignment horizontal="left"/>
    </xf>
    <xf numFmtId="0" fontId="11" fillId="5" borderId="10" xfId="0" applyFont="1" applyFill="1" applyBorder="1" applyAlignment="1">
      <alignment horizontal="left"/>
    </xf>
    <xf numFmtId="0" fontId="13" fillId="4" borderId="9" xfId="0" applyFont="1" applyFill="1" applyBorder="1" applyAlignment="1">
      <alignment horizontal="right"/>
    </xf>
    <xf numFmtId="0" fontId="13" fillId="4" borderId="11" xfId="0" applyFont="1" applyFill="1" applyBorder="1" applyAlignment="1">
      <alignment horizontal="right"/>
    </xf>
    <xf numFmtId="167" fontId="0" fillId="6" borderId="0" xfId="0" applyNumberFormat="1" applyFill="1" applyBorder="1" applyAlignment="1"/>
    <xf numFmtId="168" fontId="0" fillId="6" borderId="0" xfId="0" applyNumberFormat="1" applyFill="1" applyBorder="1" applyAlignment="1"/>
    <xf numFmtId="0" fontId="14" fillId="0" borderId="0" xfId="0" applyFont="1" applyFill="1" applyBorder="1" applyAlignment="1">
      <alignment vertical="top" wrapText="1"/>
    </xf>
    <xf numFmtId="0" fontId="7" fillId="0" borderId="0" xfId="1" applyFont="1"/>
  </cellXfs>
  <cellStyles count="2">
    <cellStyle name="Normal" xfId="0" builtinId="0"/>
    <cellStyle name="Normal 2" xfId="1" xr:uid="{FF0C000D-34DD-4F04-9FDA-3CD6F4398798}"/>
  </cellStyles>
  <dxfs count="42">
    <dxf>
      <numFmt numFmtId="32" formatCode="_-&quot;Rp&quot;* #,##0_-;\-&quot;Rp&quot;* #,##0_-;_-&quot;Rp&quot;* &quot;-&quot;_-;_-@_-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-[$Rp-3809]* #,##0_-;\-[$Rp-3809]* #,##0_-;_-[$Rp-3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_-[$Rp-3809]* #,##0_-;\-[$Rp-3809]* #,##0_-;_-[$Rp-3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_-[$Rp-3809]* #,##0_-;\-[$Rp-3809]* #,##0_-;_-[$Rp-3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_-[$Rp-3809]* #,##0_-;\-[$Rp-3809]* #,##0_-;_-[$Rp-3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_-[$Rp-3809]* #,##0_-;\-[$Rp-3809]* #,##0_-;_-[$Rp-3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_-[$Rp-3809]* #,##0_-;\-[$Rp-3809]* #,##0_-;_-[$Rp-3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_-[$Rp-3809]* #,##0_-;\-[$Rp-3809]* #,##0_-;_-[$Rp-3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_-[$Rp-3809]* #,##0_-;\-[$Rp-3809]* #,##0_-;_-[$Rp-3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 Data.xlsx]Pivot Location!PivotTable1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800" b="0" i="0" baseline="0">
                <a:effectLst/>
              </a:rPr>
              <a:t>Penjualan Berdasarkan Kota dari tahun 2016-2020</a:t>
            </a:r>
            <a:endParaRPr lang="en-ID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Location'!$B$3:$B$4</c:f>
              <c:strCache>
                <c:ptCount val="1"/>
                <c:pt idx="0">
                  <c:v>Bandung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Location'!$A$5:$A$10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'Pivot Location'!$B$5:$B$10</c:f>
              <c:numCache>
                <c:formatCode>_("Rp"* #,##0_);_("Rp"* \(#,##0\);_("Rp"* "-"_);_(@_)</c:formatCode>
                <c:ptCount val="5"/>
                <c:pt idx="0">
                  <c:v>12834894</c:v>
                </c:pt>
                <c:pt idx="1">
                  <c:v>103212091.5</c:v>
                </c:pt>
                <c:pt idx="2">
                  <c:v>244291027.5</c:v>
                </c:pt>
                <c:pt idx="3">
                  <c:v>164519413.5</c:v>
                </c:pt>
                <c:pt idx="4">
                  <c:v>32891487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302-4793-AADF-E38C5A51F91C}"/>
            </c:ext>
          </c:extLst>
        </c:ser>
        <c:ser>
          <c:idx val="1"/>
          <c:order val="1"/>
          <c:tx>
            <c:strRef>
              <c:f>'Pivot Location'!$C$3:$C$4</c:f>
              <c:strCache>
                <c:ptCount val="1"/>
                <c:pt idx="0">
                  <c:v>Jakarta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Location'!$A$5:$A$10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'Pivot Location'!$C$5:$C$10</c:f>
              <c:numCache>
                <c:formatCode>_("Rp"* #,##0_);_("Rp"* \(#,##0\);_("Rp"* "-"_);_(@_)</c:formatCode>
                <c:ptCount val="5"/>
                <c:pt idx="0">
                  <c:v>281107575</c:v>
                </c:pt>
                <c:pt idx="1">
                  <c:v>480637303.5</c:v>
                </c:pt>
                <c:pt idx="2">
                  <c:v>624081273</c:v>
                </c:pt>
                <c:pt idx="3">
                  <c:v>394585083</c:v>
                </c:pt>
                <c:pt idx="4">
                  <c:v>100012974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302-4793-AADF-E38C5A51F91C}"/>
            </c:ext>
          </c:extLst>
        </c:ser>
        <c:ser>
          <c:idx val="2"/>
          <c:order val="2"/>
          <c:tx>
            <c:strRef>
              <c:f>'Pivot Location'!$D$3:$D$4</c:f>
              <c:strCache>
                <c:ptCount val="1"/>
                <c:pt idx="0">
                  <c:v>Surabaya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Location'!$A$5:$A$10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'Pivot Location'!$D$5:$D$10</c:f>
              <c:numCache>
                <c:formatCode>_("Rp"* #,##0_);_("Rp"* \(#,##0\);_("Rp"* "-"_);_(@_)</c:formatCode>
                <c:ptCount val="5"/>
                <c:pt idx="0">
                  <c:v>643100204.42999995</c:v>
                </c:pt>
                <c:pt idx="1">
                  <c:v>1270630798.5</c:v>
                </c:pt>
                <c:pt idx="2">
                  <c:v>1545730366.5</c:v>
                </c:pt>
                <c:pt idx="3">
                  <c:v>1442801358</c:v>
                </c:pt>
                <c:pt idx="4">
                  <c:v>362545534.5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02-4793-AADF-E38C5A51F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9865160"/>
        <c:axId val="459864176"/>
      </c:lineChart>
      <c:catAx>
        <c:axId val="459865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864176"/>
        <c:crosses val="autoZero"/>
        <c:auto val="1"/>
        <c:lblAlgn val="ctr"/>
        <c:lblOffset val="100"/>
        <c:noMultiLvlLbl val="0"/>
      </c:catAx>
      <c:valAx>
        <c:axId val="4598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p&quot;* #,##0_);_(&quot;Rp&quot;* \(#,##0\);_(&quot;Rp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8651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 Data.xlsx]Pivot Customer dan Product Type!PivotTable1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Penjualan</a:t>
            </a:r>
            <a:r>
              <a:rPr lang="en-ID" baseline="0"/>
              <a:t> Produk per Kategori Berdasarkan Tipe Customer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Customer dan Product Type'!$B$1:$B$2</c:f>
              <c:strCache>
                <c:ptCount val="1"/>
                <c:pt idx="0">
                  <c:v>Consumer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Customer dan Product Type'!$A$3:$A$6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'Pivot Customer dan Product Type'!$B$3:$B$6</c:f>
              <c:numCache>
                <c:formatCode>_("Rp"* #,##0_);_("Rp"* \(#,##0\);_("Rp"* "-"_);_(@_)</c:formatCode>
                <c:ptCount val="3"/>
                <c:pt idx="0">
                  <c:v>8849857.5</c:v>
                </c:pt>
                <c:pt idx="1">
                  <c:v>491029821</c:v>
                </c:pt>
                <c:pt idx="2">
                  <c:v>818817984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9B-47D9-B0F9-FE31ED5E6503}"/>
            </c:ext>
          </c:extLst>
        </c:ser>
        <c:ser>
          <c:idx val="1"/>
          <c:order val="1"/>
          <c:tx>
            <c:strRef>
              <c:f>'Pivot Customer dan Product Type'!$C$1:$C$2</c:f>
              <c:strCache>
                <c:ptCount val="1"/>
                <c:pt idx="0">
                  <c:v>Corporate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Customer dan Product Type'!$A$3:$A$6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'Pivot Customer dan Product Type'!$C$3:$C$6</c:f>
              <c:numCache>
                <c:formatCode>_("Rp"* #,##0_);_("Rp"* \(#,##0\);_("Rp"* "-"_);_(@_)</c:formatCode>
                <c:ptCount val="3"/>
                <c:pt idx="0">
                  <c:v>133860931.49999997</c:v>
                </c:pt>
                <c:pt idx="1">
                  <c:v>631088385</c:v>
                </c:pt>
                <c:pt idx="2">
                  <c:v>1859825970.9300001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9B-47D9-B0F9-FE31ED5E6503}"/>
            </c:ext>
          </c:extLst>
        </c:ser>
        <c:ser>
          <c:idx val="2"/>
          <c:order val="2"/>
          <c:tx>
            <c:strRef>
              <c:f>'Pivot Customer dan Product Type'!$D$1:$D$2</c:f>
              <c:strCache>
                <c:ptCount val="1"/>
                <c:pt idx="0">
                  <c:v>Home Office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Customer dan Product Type'!$A$3:$A$6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'Pivot Customer dan Product Type'!$D$3:$D$6</c:f>
              <c:numCache>
                <c:formatCode>_("Rp"* #,##0_);_("Rp"* \(#,##0\);_("Rp"* "-"_);_(@_)</c:formatCode>
                <c:ptCount val="3"/>
                <c:pt idx="0">
                  <c:v>91304811</c:v>
                </c:pt>
                <c:pt idx="1">
                  <c:v>544047604.5</c:v>
                </c:pt>
                <c:pt idx="2">
                  <c:v>1246892878.5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9B-47D9-B0F9-FE31ED5E6503}"/>
            </c:ext>
          </c:extLst>
        </c:ser>
        <c:ser>
          <c:idx val="3"/>
          <c:order val="3"/>
          <c:tx>
            <c:strRef>
              <c:f>'Pivot Customer dan Product Type'!$E$1:$E$2</c:f>
              <c:strCache>
                <c:ptCount val="1"/>
                <c:pt idx="0">
                  <c:v>Small Business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Customer dan Product Type'!$A$3:$A$6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'Pivot Customer dan Product Type'!$E$3:$E$6</c:f>
              <c:numCache>
                <c:formatCode>_("Rp"* #,##0_);_("Rp"* \(#,##0\);_("Rp"* "-"_);_(@_)</c:formatCode>
                <c:ptCount val="3"/>
                <c:pt idx="0">
                  <c:v>23635421.999999996</c:v>
                </c:pt>
                <c:pt idx="1">
                  <c:v>544684711.5</c:v>
                </c:pt>
                <c:pt idx="2">
                  <c:v>1308943006.5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9B-47D9-B0F9-FE31ED5E6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463128"/>
        <c:axId val="471447384"/>
      </c:barChart>
      <c:catAx>
        <c:axId val="471463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47384"/>
        <c:crosses val="autoZero"/>
        <c:auto val="1"/>
        <c:lblAlgn val="ctr"/>
        <c:lblOffset val="100"/>
        <c:noMultiLvlLbl val="0"/>
      </c:catAx>
      <c:valAx>
        <c:axId val="47144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p&quot;* #,##0_);_(&quot;Rp&quot;* \(#,##0\);_(&quot;Rp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63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1005840</xdr:colOff>
      <xdr:row>10</xdr:row>
      <xdr:rowOff>76200</xdr:rowOff>
    </xdr:from>
    <xdr:to>
      <xdr:col>12</xdr:col>
      <xdr:colOff>320040</xdr:colOff>
      <xdr:row>29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D9D41E-7867-84CE-BC49-2FA9C8AB7D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251460</xdr:colOff>
      <xdr:row>7</xdr:row>
      <xdr:rowOff>160020</xdr:rowOff>
    </xdr:from>
    <xdr:to>
      <xdr:col>11</xdr:col>
      <xdr:colOff>106680</xdr:colOff>
      <xdr:row>27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4EDA68-8066-BC39-7CDB-2237575693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160020</xdr:colOff>
      <xdr:row>14</xdr:row>
      <xdr:rowOff>68580</xdr:rowOff>
    </xdr:from>
    <xdr:to>
      <xdr:col>10</xdr:col>
      <xdr:colOff>525780</xdr:colOff>
      <xdr:row>26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DC2283-D4A0-99F5-B459-4939D7A309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3171" t="31189" r="29283" b="45401"/>
        <a:stretch/>
      </xdr:blipFill>
      <xdr:spPr>
        <a:xfrm>
          <a:off x="4450080" y="2628900"/>
          <a:ext cx="5036820" cy="2407920"/>
        </a:xfrm>
        <a:prstGeom prst="rect">
          <a:avLst/>
        </a:prstGeom>
      </xdr:spPr>
    </xdr:pic>
    <xdr:clientData/>
  </xdr:twoCellAnchor>
</xdr:wsDr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" refreshedDate="44715.501935416665" backgroundQuery="1" createdVersion="8" refreshedVersion="8" minRefreshableVersion="3" recordCount="0" supportSubquery="1" supportAdvancedDrill="1" xr:uid="{A551C6E0-5FC5-4AC4-8967-1A58C4935DB0}">
  <cacheSource type="external" connectionId="1"/>
  <cacheFields count="3">
    <cacheField name="[Table1].[Order Year].[Order Year]" caption="Order Year" numFmtId="0" hierarchy="2" level="1">
      <sharedItems containsSemiMixedTypes="0" containsString="0" containsNumber="1" containsInteger="1" minValue="2016" maxValue="2020" count="5">
        <n v="2016"/>
        <n v="2017"/>
        <n v="2018"/>
        <n v="2019"/>
        <n v="2020"/>
      </sharedItems>
      <extLst>
        <ext xmlns:x15="http://schemas.microsoft.com/office/spreadsheetml/2010/11/main" uri="{4F2E5C28-24EA-4eb8-9CBF-B6C8F9C3D259}">
          <x15:cachedUniqueNames>
            <x15:cachedUniqueName index="0" name="[Table1].[Order Year].&amp;[2016]"/>
            <x15:cachedUniqueName index="1" name="[Table1].[Order Year].&amp;[2017]"/>
            <x15:cachedUniqueName index="2" name="[Table1].[Order Year].&amp;[2018]"/>
            <x15:cachedUniqueName index="3" name="[Table1].[Order Year].&amp;[2019]"/>
            <x15:cachedUniqueName index="4" name="[Table1].[Order Year].&amp;[2020]"/>
          </x15:cachedUniqueNames>
        </ext>
      </extLst>
    </cacheField>
    <cacheField name="[Table1].[City].[City]" caption="City" numFmtId="0" hierarchy="5" level="1">
      <sharedItems count="3">
        <s v="Bandung"/>
        <s v="Jakarta"/>
        <s v="Surabaya"/>
      </sharedItems>
    </cacheField>
    <cacheField name="[Measures].[Sum of Order Total]" caption="Sum of Order Total" numFmtId="0" hierarchy="28" level="32767"/>
  </cacheFields>
  <cacheHierarchies count="29">
    <cacheHierarchy uniqueName="[Table1].[Order No]" caption="Order No" attribute="1" defaultMemberUniqueName="[Table1].[Order No].[All]" allUniqueName="[Table1].[Order No].[All]" dimensionUniqueName="[Table1]" displayFolder="" count="0" memberValueDatatype="130" unbalanced="0"/>
    <cacheHierarchy uniqueName="[Table1].[Order Date]" caption="Order Date" attribute="1" time="1" defaultMemberUniqueName="[Table1].[Order Date].[All]" allUniqueName="[Table1].[Order Date].[All]" dimensionUniqueName="[Table1]" displayFolder="" count="0" memberValueDatatype="7" unbalanced="0"/>
    <cacheHierarchy uniqueName="[Table1].[Order Year]" caption="Order Year" attribute="1" defaultMemberUniqueName="[Table1].[Order Year].[All]" allUniqueName="[Table1].[Order Year].[All]" dimensionUniqueName="[Table1]" displayFolder="" count="2" memberValueDatatype="20" unbalanced="0">
      <fieldsUsage count="2">
        <fieldUsage x="-1"/>
        <fieldUsage x="0"/>
      </fieldsUsage>
    </cacheHierarchy>
    <cacheHierarchy uniqueName="[Table1].[Customer Name]" caption="Customer Name" attribute="1" defaultMemberUniqueName="[Table1].[Customer Name].[All]" allUniqueName="[Table1].[Customer Name].[All]" dimensionUniqueName="[Table1]" displayFolder="" count="0" memberValueDatatype="130" unbalanced="0"/>
    <cacheHierarchy uniqueName="[Table1].[Address]" caption="Address" attribute="1" defaultMemberUniqueName="[Table1].[Address].[All]" allUniqueName="[Table1].[Address].[All]" dimensionUniqueName="[Table1]" displayFolder="" count="0" memberValueDatatype="130" unbalanced="0"/>
    <cacheHierarchy uniqueName="[Table1].[City]" caption="City" attribute="1" defaultMemberUniqueName="[Table1].[City].[All]" allUniqueName="[Table1].[City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Customer Type]" caption="Customer Type" attribute="1" defaultMemberUniqueName="[Table1].[Customer Type].[All]" allUniqueName="[Table1].[Customer Type].[All]" dimensionUniqueName="[Table1]" displayFolder="" count="2" memberValueDatatype="130" unbalanced="0"/>
    <cacheHierarchy uniqueName="[Table1].[Account Manager ID]" caption="Account Manager ID" attribute="1" defaultMemberUniqueName="[Table1].[Account Manager ID].[All]" allUniqueName="[Table1].[Account Manager ID].[All]" dimensionUniqueName="[Table1]" displayFolder="" count="0" memberValueDatatype="130" unbalanced="0"/>
    <cacheHierarchy uniqueName="[Table1].[AM Name]" caption="AM Name" attribute="1" defaultMemberUniqueName="[Table1].[AM Name].[All]" allUniqueName="[Table1].[AM Name].[All]" dimensionUniqueName="[Table1]" displayFolder="" count="0" memberValueDatatype="130" unbalanced="0"/>
    <cacheHierarchy uniqueName="[Table1].[index-match]" caption="index-match" attribute="1" defaultMemberUniqueName="[Table1].[index-match].[All]" allUniqueName="[Table1].[index-match].[All]" dimensionUniqueName="[Table1]" displayFolder="" count="0" memberValueDatatype="130" unbalanced="0"/>
    <cacheHierarchy uniqueName="[Table1].[Order Priority]" caption="Order Priority" attribute="1" defaultMemberUniqueName="[Table1].[Order Priority].[All]" allUniqueName="[Table1].[Order Priority].[All]" dimensionUniqueName="[Table1]" displayFolder="" count="0" memberValueDatatype="130" unbalanced="0"/>
    <cacheHierarchy uniqueName="[Table1].[Product Name]" caption="Product Name" attribute="1" defaultMemberUniqueName="[Table1].[Product Name].[All]" allUniqueName="[Table1].[Product Name].[All]" dimensionUniqueName="[Table1]" displayFolder="" count="0" memberValueDatatype="130" unbalanced="0"/>
    <cacheHierarchy uniqueName="[Table1].[Product Category]" caption="Product Category" attribute="1" defaultMemberUniqueName="[Table1].[Product Category].[All]" allUniqueName="[Table1].[Product Category].[All]" dimensionUniqueName="[Table1]" displayFolder="" count="2" memberValueDatatype="130" unbalanced="0"/>
    <cacheHierarchy uniqueName="[Table1].[Product Container]" caption="Product Container" attribute="1" defaultMemberUniqueName="[Table1].[Product Container].[All]" allUniqueName="[Table1].[Product Container].[All]" dimensionUniqueName="[Table1]" displayFolder="" count="0" memberValueDatatype="130" unbalanced="0"/>
    <cacheHierarchy uniqueName="[Table1].[Ship Mode]" caption="Ship Mode" attribute="1" defaultMemberUniqueName="[Table1].[Ship Mode].[All]" allUniqueName="[Table1].[Ship Mode].[All]" dimensionUniqueName="[Table1]" displayFolder="" count="0" memberValueDatatype="130" unbalanced="0"/>
    <cacheHierarchy uniqueName="[Table1].[Ship Date]" caption="Ship Date" attribute="1" defaultMemberUniqueName="[Table1].[Ship Date].[All]" allUniqueName="[Table1].[Ship Date].[All]" dimensionUniqueName="[Table1]" displayFolder="" count="0" memberValueDatatype="20" unbalanced="0"/>
    <cacheHierarchy uniqueName="[Table1].[Cost Price]" caption="Cost Price" attribute="1" defaultMemberUniqueName="[Table1].[Cost Price].[All]" allUniqueName="[Table1].[Cost Price].[All]" dimensionUniqueName="[Table1]" displayFolder="" count="0" memberValueDatatype="5" unbalanced="0"/>
    <cacheHierarchy uniqueName="[Table1].[Retail Price]" caption="Retail Price" attribute="1" defaultMemberUniqueName="[Table1].[Retail Price].[All]" allUniqueName="[Table1].[Retail Price].[All]" dimensionUniqueName="[Table1]" displayFolder="" count="0" memberValueDatatype="5" unbalanced="0"/>
    <cacheHierarchy uniqueName="[Table1].[Profit Margin]" caption="Profit Margin" attribute="1" defaultMemberUniqueName="[Table1].[Profit Margin].[All]" allUniqueName="[Table1].[Profit Margin].[All]" dimensionUniqueName="[Table1]" displayFolder="" count="0" memberValueDatatype="5" unbalanced="0"/>
    <cacheHierarchy uniqueName="[Table1].[Order Quantity]" caption="Order Quantity" attribute="1" defaultMemberUniqueName="[Table1].[Order Quantity].[All]" allUniqueName="[Table1].[Order Quantity].[All]" dimensionUniqueName="[Table1]" displayFolder="" count="0" memberValueDatatype="20" unbalanced="0"/>
    <cacheHierarchy uniqueName="[Table1].[Sub Total]" caption="Sub Total" attribute="1" defaultMemberUniqueName="[Table1].[Sub Total].[All]" allUniqueName="[Table1].[Sub Total].[All]" dimensionUniqueName="[Table1]" displayFolder="" count="0" memberValueDatatype="5" unbalanced="0"/>
    <cacheHierarchy uniqueName="[Table1].[Discount %]" caption="Discount %" attribute="1" defaultMemberUniqueName="[Table1].[Discount %].[All]" allUniqueName="[Table1].[Discount %].[All]" dimensionUniqueName="[Table1]" displayFolder="" count="0" memberValueDatatype="5" unbalanced="0"/>
    <cacheHierarchy uniqueName="[Table1].[Discount Rp]" caption="Discount Rp" attribute="1" defaultMemberUniqueName="[Table1].[Discount Rp].[All]" allUniqueName="[Table1].[Discount Rp].[All]" dimensionUniqueName="[Table1]" displayFolder="" count="0" memberValueDatatype="5" unbalanced="0"/>
    <cacheHierarchy uniqueName="[Table1].[Order Total]" caption="Order Total" attribute="1" defaultMemberUniqueName="[Table1].[Order Total].[All]" allUniqueName="[Table1].[Order Total].[All]" dimensionUniqueName="[Table1]" displayFolder="" count="0" memberValueDatatype="5" unbalanced="0"/>
    <cacheHierarchy uniqueName="[Table1].[Shipping Cost]" caption="Shipping Cost" attribute="1" defaultMemberUniqueName="[Table1].[Shipping Cost].[All]" allUniqueName="[Table1].[Shipping Cost].[All]" dimensionUniqueName="[Table1]" displayFolder="" count="0" memberValueDatatype="130" unbalanced="0"/>
    <cacheHierarchy uniqueName="[Table1].[Total]" caption="Total" attribute="1" defaultMemberUniqueName="[Table1].[Total].[All]" allUniqueName="[Table1].[Total].[All]" dimensionUniqueName="[Table1]" displayFolder="" count="0" memberValueDatatype="130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Order Total]" caption="Sum of Order Total" measure="1" displayFolder="" measureGroup="Table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3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717.312457986111" createdVersion="8" refreshedVersion="8" minRefreshableVersion="3" recordCount="1000" xr:uid="{60BDC6AA-9C1F-429C-A471-DBFF82CEDF81}">
  <cacheSource type="worksheet">
    <worksheetSource name="Table1"/>
  </cacheSource>
  <cacheFields count="26">
    <cacheField name="Order No" numFmtId="0">
      <sharedItems/>
    </cacheField>
    <cacheField name="Order Date" numFmtId="14">
      <sharedItems containsSemiMixedTypes="0" containsNonDate="0" containsDate="1" containsString="0" minDate="2016-05-26T00:00:00" maxDate="2020-03-25T00:00:00"/>
    </cacheField>
    <cacheField name="Order Year" numFmtId="0">
      <sharedItems containsSemiMixedTypes="0" containsString="0" containsNumber="1" containsInteger="1" minValue="2016" maxValue="2020"/>
    </cacheField>
    <cacheField name="Customer Name" numFmtId="0">
      <sharedItems/>
    </cacheField>
    <cacheField name="Address" numFmtId="0">
      <sharedItems/>
    </cacheField>
    <cacheField name="City" numFmtId="0">
      <sharedItems/>
    </cacheField>
    <cacheField name="Customer Type" numFmtId="0">
      <sharedItems count="4">
        <s v="Home Office"/>
        <s v="Corporate"/>
        <s v="Consumer"/>
        <s v="Small Business"/>
      </sharedItems>
    </cacheField>
    <cacheField name="Account Manager ID" numFmtId="0">
      <sharedItems/>
    </cacheField>
    <cacheField name="AM Name" numFmtId="0">
      <sharedItems/>
    </cacheField>
    <cacheField name="index-match" numFmtId="0">
      <sharedItems/>
    </cacheField>
    <cacheField name="Order Priority" numFmtId="0">
      <sharedItems/>
    </cacheField>
    <cacheField name="Product Name" numFmtId="0">
      <sharedItems/>
    </cacheField>
    <cacheField name="Product Category" numFmtId="0">
      <sharedItems count="3">
        <s v="Office Supplies"/>
        <s v="Technology"/>
        <s v="Furniture"/>
      </sharedItems>
    </cacheField>
    <cacheField name="Product Container" numFmtId="0">
      <sharedItems/>
    </cacheField>
    <cacheField name="Ship Mode" numFmtId="0">
      <sharedItems/>
    </cacheField>
    <cacheField name="Ship Date" numFmtId="0">
      <sharedItems containsSemiMixedTypes="0" containsString="0" containsNumber="1" containsInteger="1" minValue="42517" maxValue="43919"/>
    </cacheField>
    <cacheField name="Cost Price" numFmtId="164">
      <sharedItems containsSemiMixedTypes="0" containsString="0" containsNumber="1" minValue="3600" maxValue="5669850"/>
    </cacheField>
    <cacheField name="Retail Price" numFmtId="164">
      <sharedItems containsSemiMixedTypes="0" containsString="0" containsNumber="1" minValue="17100" maxValue="8999850"/>
    </cacheField>
    <cacheField name="Profit Margin" numFmtId="164">
      <sharedItems containsSemiMixedTypes="0" containsString="0" containsNumber="1" minValue="5329.5000000000073" maxValue="4740450"/>
    </cacheField>
    <cacheField name="Order Quantity" numFmtId="0">
      <sharedItems containsSemiMixedTypes="0" containsString="0" containsNumber="1" containsInteger="1" minValue="1" maxValue="50"/>
    </cacheField>
    <cacheField name="Sub Total" numFmtId="164">
      <sharedItems containsSemiMixedTypes="0" containsString="0" containsNumber="1" minValue="8250" maxValue="208579800"/>
    </cacheField>
    <cacheField name="Discount %" numFmtId="9">
      <sharedItems containsSemiMixedTypes="0" containsString="0" containsNumber="1" minValue="0" maxValue="0.1"/>
    </cacheField>
    <cacheField name="Discount Rp" numFmtId="164">
      <sharedItems containsSemiMixedTypes="0" containsString="0" containsNumber="1" minValue="0" maxValue="14985000"/>
    </cacheField>
    <cacheField name="Order Total" numFmtId="164">
      <sharedItems containsSemiMixedTypes="0" containsString="0" containsNumber="1" minValue="8167.5" maxValue="202322406"/>
    </cacheField>
    <cacheField name="Shipping Cost" numFmtId="164">
      <sharedItems containsSemiMixedTypes="0" containsString="0" containsNumber="1" containsInteger="1" minValue="5000" maxValue="500000"/>
    </cacheField>
    <cacheField name="Total" numFmtId="164">
      <sharedItems containsSemiMixedTypes="0" containsString="0" containsNumber="1" minValue="13167.5" maxValue="2028224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5014-1"/>
    <d v="2016-05-26T00:00:00"/>
    <n v="2016"/>
    <s v="Wawan Riyanti"/>
    <s v="Jl. Antapani Lama No. 705"/>
    <s v="Jakarta"/>
    <x v="0"/>
    <s v="E1028"/>
    <s v="Gaduh Pratama"/>
    <s v="Gaduh Pratama"/>
    <s v="High"/>
    <s v="Artisan Heavy-Duty EZD  Binder With Locking Rings"/>
    <x v="0"/>
    <s v="Small Box"/>
    <s v="Regular Air"/>
    <n v="42517"/>
    <n v="52800"/>
    <n v="83700"/>
    <n v="30900"/>
    <n v="29"/>
    <n v="896100"/>
    <n v="0.03"/>
    <n v="26883"/>
    <n v="869217"/>
    <n v="15000"/>
    <n v="884217"/>
  </r>
  <r>
    <s v="5016-1"/>
    <d v="2016-05-26T00:00:00"/>
    <n v="2016"/>
    <s v="Aditya Nainggolan"/>
    <s v="Jl. Surapati No. 996"/>
    <s v="Jakarta"/>
    <x v="0"/>
    <s v="E1029"/>
    <s v="Laras Nuraini"/>
    <s v="Laras Nuraini"/>
    <s v="High"/>
    <s v="DrawIt Pizazz Watercolor Pencils, 10-Color Set with Brush"/>
    <x v="0"/>
    <s v="Wrap Bag"/>
    <s v="Regular Air"/>
    <n v="42517"/>
    <n v="35850"/>
    <n v="63900"/>
    <n v="28050"/>
    <n v="29"/>
    <n v="813450"/>
    <n v="0.03"/>
    <n v="24403.5"/>
    <n v="789046.5"/>
    <n v="5000"/>
    <n v="794046.5"/>
  </r>
  <r>
    <s v="5018-1"/>
    <d v="2016-05-27T00:00:00"/>
    <n v="2016"/>
    <s v="Rafid Sudiati"/>
    <s v="Jalan K.H. Wahid Hasyim No. 5"/>
    <s v="Surabaya"/>
    <x v="1"/>
    <s v="E1030"/>
    <s v="Cinthia Gunawan"/>
    <s v="Cinthia Gunawan"/>
    <s v="Critical"/>
    <s v="Message Book, One Form per Page"/>
    <x v="0"/>
    <s v="Wrap Bag"/>
    <s v="Express Air"/>
    <n v="42519"/>
    <n v="36150"/>
    <n v="55650"/>
    <n v="19500"/>
    <n v="42"/>
    <n v="819000"/>
    <n v="7.0000000000000007E-2"/>
    <n v="57330.000000000007"/>
    <n v="761670"/>
    <n v="10000"/>
    <n v="771670"/>
  </r>
  <r>
    <s v="5019-1"/>
    <d v="2016-05-28T00:00:00"/>
    <n v="2016"/>
    <s v="Pangestu Maulana"/>
    <s v="Gg. Joyoboyo No. 026"/>
    <s v="Jakarta"/>
    <x v="0"/>
    <s v="E1028"/>
    <s v="Gaduh Pratama"/>
    <s v="Gaduh Pratama"/>
    <s v="High"/>
    <s v="Cando S750 Color Inkjet Printer"/>
    <x v="1"/>
    <s v="Jumbo Drum"/>
    <s v="Delivery Truck"/>
    <n v="42520"/>
    <n v="1125000"/>
    <n v="1814550"/>
    <n v="689550"/>
    <n v="6"/>
    <n v="4137300"/>
    <n v="0.08"/>
    <n v="330984"/>
    <n v="3806316"/>
    <n v="500000"/>
    <n v="4306316"/>
  </r>
  <r>
    <s v="5020-1"/>
    <d v="2016-05-29T00:00:00"/>
    <n v="2016"/>
    <s v="Pangestu Hariyah"/>
    <s v="Gg. Surapati No. 4"/>
    <s v="Surabaya"/>
    <x v="2"/>
    <s v="E1031"/>
    <s v="Bagiya Sihombing"/>
    <s v="Bagiya Sihombing"/>
    <s v="Critical"/>
    <s v="Steady EarthWrite Recycled Pencils, Medium Soft, #2"/>
    <x v="0"/>
    <s v="Wrap Bag"/>
    <s v="Regular Air"/>
    <n v="42520"/>
    <n v="13500"/>
    <n v="31500"/>
    <n v="18000"/>
    <n v="17"/>
    <n v="306000"/>
    <n v="0.03"/>
    <n v="9180"/>
    <n v="296820"/>
    <n v="5000"/>
    <n v="301820"/>
  </r>
  <r>
    <s v="5023-1"/>
    <d v="2016-06-01T00:00:00"/>
    <n v="2016"/>
    <s v="Nilam Suwarno"/>
    <s v="Gg. Joyoboyo No. 026"/>
    <s v="Jakarta"/>
    <x v="0"/>
    <s v="E1028"/>
    <s v="Gaduh Pratama"/>
    <s v="Gaduh Pratama"/>
    <s v="Low"/>
    <s v="12 Colored Short Pencils"/>
    <x v="0"/>
    <s v="Wrap Bag"/>
    <s v="Regular Air"/>
    <n v="42527"/>
    <n v="16350.000000000002"/>
    <n v="39000"/>
    <n v="22650"/>
    <n v="47"/>
    <n v="1064550"/>
    <n v="0.1"/>
    <n v="106455"/>
    <n v="958095"/>
    <n v="5000"/>
    <n v="963095"/>
  </r>
  <r>
    <s v="5024-1"/>
    <d v="2016-06-02T00:00:00"/>
    <n v="2016"/>
    <s v="Endra Hutapea"/>
    <s v="Gg. Joyoboyo No. 691"/>
    <s v="Surabaya"/>
    <x v="1"/>
    <s v="E1032"/>
    <s v="Violet Mentari"/>
    <s v="Violet Mentari"/>
    <s v="Critical"/>
    <s v="Multimedia Mailers"/>
    <x v="0"/>
    <s v="Small Box"/>
    <s v="Regular Air"/>
    <n v="42525"/>
    <n v="1490850"/>
    <n v="2443950"/>
    <n v="953100"/>
    <n v="32"/>
    <n v="30499200"/>
    <n v="0.09"/>
    <n v="2744928"/>
    <n v="27754272"/>
    <n v="15000"/>
    <n v="27769272"/>
  </r>
  <r>
    <s v="5025-1"/>
    <d v="2016-06-04T00:00:00"/>
    <n v="2016"/>
    <s v="Embuh Wibisono"/>
    <s v="Jalan Ciwastra No. 383"/>
    <s v="Surabaya"/>
    <x v="2"/>
    <s v="E1032"/>
    <s v="Violet Mentari"/>
    <s v="Violet Mentari"/>
    <s v="Critical"/>
    <s v="Pizazz Dustless Chalk Sticks"/>
    <x v="0"/>
    <s v="Wrap Bag"/>
    <s v="Regular Air"/>
    <n v="42527"/>
    <n v="16350.000000000002"/>
    <n v="25200"/>
    <n v="8849.9999999999982"/>
    <n v="33"/>
    <n v="292049.99999999994"/>
    <n v="0.04"/>
    <n v="11681.999999999998"/>
    <n v="280367.99999999994"/>
    <n v="5000"/>
    <n v="285367.99999999994"/>
  </r>
  <r>
    <s v="5027-1"/>
    <d v="2016-06-06T00:00:00"/>
    <n v="2016"/>
    <s v="Unggul Zulaika"/>
    <s v="Jl. Jend. Sudirman No. 0"/>
    <s v="Surabaya"/>
    <x v="3"/>
    <s v="E1030"/>
    <s v="Cinthia Gunawan"/>
    <s v="Cinthia Gunawan"/>
    <s v="Not Specified"/>
    <s v="TypeRight Side-Opening Peel &amp; Seel Expanding Envelopes"/>
    <x v="0"/>
    <s v="Small Box"/>
    <s v="Regular Air"/>
    <n v="42528"/>
    <n v="814350"/>
    <n v="1357200"/>
    <n v="542850"/>
    <n v="8"/>
    <n v="4342800"/>
    <n v="7.0000000000000007E-2"/>
    <n v="303996"/>
    <n v="4038804"/>
    <n v="15000"/>
    <n v="4053804"/>
  </r>
  <r>
    <s v="5029-1"/>
    <d v="2016-06-07T00:00:00"/>
    <n v="2016"/>
    <s v="Gina Rajata"/>
    <s v="Gang Gedebage Selatan No. 424"/>
    <s v="Surabaya"/>
    <x v="1"/>
    <s v="E1033"/>
    <s v="Paiman Firgantoro"/>
    <s v="Paiman Firgantoro"/>
    <s v="Not Specified"/>
    <s v="Artisan Printable Repositionable Plastic Tabs"/>
    <x v="0"/>
    <s v="Small Box"/>
    <s v="Regular Air"/>
    <n v="42528"/>
    <n v="79950"/>
    <n v="129000"/>
    <n v="49050"/>
    <n v="48"/>
    <n v="2354400"/>
    <n v="0"/>
    <n v="0"/>
    <n v="2354400"/>
    <n v="15000"/>
    <n v="2369400"/>
  </r>
  <r>
    <s v="5031-1"/>
    <d v="2016-06-09T00:00:00"/>
    <n v="2016"/>
    <s v="Opung Kuswoyo"/>
    <s v="Gg. Otto Iskandardinata No. 6"/>
    <s v="Jakarta"/>
    <x v="1"/>
    <s v="E1029"/>
    <s v="Laras Nuraini"/>
    <s v="Laras Nuraini"/>
    <s v="Medium"/>
    <s v="Security-Tint Envelopes"/>
    <x v="0"/>
    <s v="Small Box"/>
    <s v="Regular Air"/>
    <n v="42532"/>
    <n v="73350"/>
    <n v="114600"/>
    <n v="41250"/>
    <n v="18"/>
    <n v="742500"/>
    <n v="0.1"/>
    <n v="74250"/>
    <n v="668250"/>
    <n v="15000"/>
    <n v="683250"/>
  </r>
  <r>
    <s v="5033-1"/>
    <d v="2016-06-09T00:00:00"/>
    <n v="2016"/>
    <s v="Rafi Januar"/>
    <s v="Gg. Waringin No. 112"/>
    <s v="Surabaya"/>
    <x v="1"/>
    <s v="E1034"/>
    <s v="Ophelia Mustofa"/>
    <s v="Ophelia Mustofa"/>
    <s v="Medium"/>
    <s v="TypeRight Side-Opening Peel &amp; Seel Expanding Envelopes"/>
    <x v="0"/>
    <s v="Small Box"/>
    <s v="Regular Air"/>
    <n v="42532"/>
    <n v="814350"/>
    <n v="1357200"/>
    <n v="542850"/>
    <n v="3"/>
    <n v="1628550"/>
    <n v="0.03"/>
    <n v="48856.5"/>
    <n v="1579693.5"/>
    <n v="15000"/>
    <n v="1594693.5"/>
  </r>
  <r>
    <s v="5034-1"/>
    <d v="2016-06-10T00:00:00"/>
    <n v="2016"/>
    <s v="Ajimat Hutapea"/>
    <s v="Jl. Dipenogoro No. 422"/>
    <s v="Surabaya"/>
    <x v="1"/>
    <s v="E1032"/>
    <s v="Violet Mentari"/>
    <s v="Violet Mentari"/>
    <s v="High"/>
    <s v="Artisan Arch Ring Binders"/>
    <x v="0"/>
    <s v="Small Box"/>
    <s v="Regular Air"/>
    <n v="42531"/>
    <n v="540300"/>
    <n v="871500"/>
    <n v="331200"/>
    <n v="50"/>
    <n v="16560000"/>
    <n v="0.05"/>
    <n v="828000"/>
    <n v="15732000"/>
    <n v="15000"/>
    <n v="15747000"/>
  </r>
  <r>
    <s v="5036-1"/>
    <d v="2016-06-19T00:00:00"/>
    <n v="2016"/>
    <s v="Rafi Anggriawan"/>
    <s v="Gg. Stasiun Wonokromo No. 0"/>
    <s v="Jakarta"/>
    <x v="1"/>
    <s v="E1028"/>
    <s v="Gaduh Pratama"/>
    <s v="Gaduh Pratama"/>
    <s v="Critical"/>
    <s v="OIC Thumb-Tacks"/>
    <x v="0"/>
    <s v="Wrap Bag"/>
    <s v="Regular Air"/>
    <n v="42543"/>
    <n v="10650"/>
    <n v="17100"/>
    <n v="6450"/>
    <n v="50"/>
    <n v="322500"/>
    <n v="0.06"/>
    <n v="19350"/>
    <n v="303150"/>
    <n v="5000"/>
    <n v="308150"/>
  </r>
  <r>
    <s v="5037-1"/>
    <d v="2016-06-23T00:00:00"/>
    <n v="2016"/>
    <s v="Balamantri Mandasari"/>
    <s v="Gang Sadang Serang No. 74"/>
    <s v="Surabaya"/>
    <x v="0"/>
    <s v="E1035"/>
    <s v="Darmanto Laksita"/>
    <s v="Darmanto Laksita"/>
    <s v="Critical"/>
    <s v="Apex Elite Stainless Steel Scissors"/>
    <x v="0"/>
    <s v="Small Pack"/>
    <s v="Regular Air"/>
    <n v="42546"/>
    <n v="51300"/>
    <n v="125100"/>
    <n v="73800"/>
    <n v="16"/>
    <n v="1180800"/>
    <n v="0.03"/>
    <n v="35424"/>
    <n v="1145376"/>
    <n v="10000"/>
    <n v="1155376"/>
  </r>
  <r>
    <s v="5038-1"/>
    <d v="2016-06-25T00:00:00"/>
    <n v="2016"/>
    <s v="Gaduh Hassanah"/>
    <s v="Gg. Otto Iskandardinata No. 6"/>
    <s v="Jakarta"/>
    <x v="1"/>
    <s v="E1029"/>
    <s v="Laras Nuraini"/>
    <s v="Laras Nuraini"/>
    <s v="Low"/>
    <s v="OIC Thumb-Tacks"/>
    <x v="0"/>
    <s v="Wrap Bag"/>
    <s v="Regular Air"/>
    <n v="42546"/>
    <n v="10650"/>
    <n v="17100"/>
    <n v="6450"/>
    <n v="38"/>
    <n v="245100"/>
    <n v="0.02"/>
    <n v="4902"/>
    <n v="240198"/>
    <n v="5000"/>
    <n v="245198"/>
  </r>
  <r>
    <s v="5039-1"/>
    <d v="2016-06-27T00:00:00"/>
    <n v="2016"/>
    <s v="Bagya Permadi"/>
    <s v="Jalan Jamika No. 4"/>
    <s v="Surabaya"/>
    <x v="1"/>
    <s v="E1033"/>
    <s v="Paiman Firgantoro"/>
    <s v="Paiman Firgantoro"/>
    <s v="Medium"/>
    <s v="Alto Parchment Paper, Assorted Colors"/>
    <x v="0"/>
    <s v="Small Box"/>
    <s v="Regular Air"/>
    <n v="42549"/>
    <n v="68850"/>
    <n v="109200"/>
    <n v="40350"/>
    <n v="22"/>
    <n v="887700"/>
    <n v="0.01"/>
    <n v="8877"/>
    <n v="878823"/>
    <n v="15000"/>
    <n v="893823"/>
  </r>
  <r>
    <s v="5040-1"/>
    <d v="2016-06-28T00:00:00"/>
    <n v="2016"/>
    <s v="Labuh Permata"/>
    <s v="Jalan Jend. A. Yani No. 48"/>
    <s v="Surabaya"/>
    <x v="3"/>
    <s v="E1036"/>
    <s v="Kenari Rajasa"/>
    <s v="Kenari Rajasa"/>
    <s v="Low"/>
    <s v="Steady Colorific Colored Pencils, 12/Box"/>
    <x v="0"/>
    <s v="Wrap Bag"/>
    <s v="Regular Air"/>
    <n v="42553"/>
    <n v="19500"/>
    <n v="43200"/>
    <n v="23700"/>
    <n v="48"/>
    <n v="1137600"/>
    <n v="7.0000000000000007E-2"/>
    <n v="79632.000000000015"/>
    <n v="1057968"/>
    <n v="5000"/>
    <n v="1062968"/>
  </r>
  <r>
    <s v="5043-1"/>
    <d v="2016-07-05T00:00:00"/>
    <n v="2016"/>
    <s v="Lantar Yuliarti"/>
    <s v="Jl. Astana Anyar No. 51"/>
    <s v="Surabaya"/>
    <x v="3"/>
    <s v="E1031"/>
    <s v="Bagiya Sihombing"/>
    <s v="Bagiya Sihombing"/>
    <s v="High"/>
    <s v="Smiths Gold Paper Clips"/>
    <x v="0"/>
    <s v="Wrap Bag"/>
    <s v="Regular Air"/>
    <n v="42559"/>
    <n v="27300"/>
    <n v="44700"/>
    <n v="17400"/>
    <n v="22"/>
    <n v="382800"/>
    <n v="0.04"/>
    <n v="15312"/>
    <n v="367488"/>
    <n v="5000"/>
    <n v="372488"/>
  </r>
  <r>
    <s v="5045-1"/>
    <d v="2016-07-08T00:00:00"/>
    <n v="2016"/>
    <s v="Darijan Pratiwi"/>
    <s v="Gang Otto Iskandardinata No. 167"/>
    <s v="Surabaya"/>
    <x v="2"/>
    <s v="E1037"/>
    <s v="Puti Nadine Prakasa"/>
    <s v="Puti Nadine Prakasa"/>
    <s v="Not Specified"/>
    <s v="UGen RF Keyboard"/>
    <x v="1"/>
    <s v="Small Box"/>
    <s v="Regular Air"/>
    <n v="42561"/>
    <n v="1223850"/>
    <n v="2399850"/>
    <n v="1176000"/>
    <n v="30"/>
    <n v="35280000"/>
    <n v="0.01"/>
    <n v="352800"/>
    <n v="34927200"/>
    <n v="15000"/>
    <n v="34942200"/>
  </r>
  <r>
    <s v="5047-1"/>
    <d v="2016-07-09T00:00:00"/>
    <n v="2016"/>
    <s v="Ami Utami"/>
    <s v="Jl. S. Parman No. 91"/>
    <s v="Surabaya"/>
    <x v="0"/>
    <s v="E1034"/>
    <s v="Ophelia Mustofa"/>
    <s v="Ophelia Mustofa"/>
    <s v="Low"/>
    <s v="Artisan Printable Repositionable Plastic Tabs"/>
    <x v="0"/>
    <s v="Small Box"/>
    <s v="Regular Air"/>
    <n v="42567"/>
    <n v="79950"/>
    <n v="129000"/>
    <n v="49050"/>
    <n v="37"/>
    <n v="1814850"/>
    <n v="0.04"/>
    <n v="72594"/>
    <n v="1742256"/>
    <n v="15000"/>
    <n v="1757256"/>
  </r>
  <r>
    <s v="5048-1"/>
    <d v="2016-07-09T00:00:00"/>
    <n v="2016"/>
    <s v="Citra Riyanti"/>
    <s v="Jalan Jend. A. Yani No. 48"/>
    <s v="Surabaya"/>
    <x v="3"/>
    <s v="E1036"/>
    <s v="Kenari Rajasa"/>
    <s v="Kenari Rajasa"/>
    <s v="Medium"/>
    <s v="Smiths Standard Envelopes"/>
    <x v="0"/>
    <s v="Small Box"/>
    <s v="Regular Air"/>
    <n v="42560"/>
    <n v="52800"/>
    <n v="85200"/>
    <n v="32400"/>
    <n v="24"/>
    <n v="777600"/>
    <n v="0.06"/>
    <n v="46656"/>
    <n v="730944"/>
    <n v="15000"/>
    <n v="745944"/>
  </r>
  <r>
    <s v="5049-1"/>
    <d v="2016-07-12T00:00:00"/>
    <n v="2016"/>
    <s v="Aris Ardianto"/>
    <s v="Gg. Suniaraja No. 21"/>
    <s v="Surabaya"/>
    <x v="1"/>
    <s v="E1031"/>
    <s v="Bagiya Sihombing"/>
    <s v="Bagiya Sihombing"/>
    <s v="Not Specified"/>
    <s v="Office Shears by Apex"/>
    <x v="0"/>
    <s v="Small Pack"/>
    <s v="Regular Air"/>
    <n v="42564"/>
    <n v="14100"/>
    <n v="31200"/>
    <n v="17100"/>
    <n v="4"/>
    <n v="68400"/>
    <n v="0.02"/>
    <n v="1368"/>
    <n v="67032"/>
    <n v="10000"/>
    <n v="77032"/>
  </r>
  <r>
    <s v="5050-1"/>
    <d v="2016-08-01T00:00:00"/>
    <n v="2016"/>
    <s v="Kenes Nababan"/>
    <s v="Gg. M.H Thamrin No. 784"/>
    <s v="Jakarta"/>
    <x v="1"/>
    <s v="E1029"/>
    <s v="Laras Nuraini"/>
    <s v="Laras Nuraini"/>
    <s v="Not Specified"/>
    <s v="Artisan Printable Repositionable Plastic Tabs"/>
    <x v="0"/>
    <s v="Small Box"/>
    <s v="Regular Air"/>
    <n v="42584"/>
    <n v="79950"/>
    <n v="129000"/>
    <n v="49050"/>
    <n v="36"/>
    <n v="1765800"/>
    <n v="0.06"/>
    <n v="105948"/>
    <n v="1659852"/>
    <n v="15000"/>
    <n v="1674852"/>
  </r>
  <r>
    <s v="5052-1"/>
    <d v="2016-08-02T00:00:00"/>
    <n v="2016"/>
    <s v="Cindy Maryati"/>
    <s v="Gg. Jakarta No. 646"/>
    <s v="Jakarta"/>
    <x v="3"/>
    <s v="E1029"/>
    <s v="Laras Nuraini"/>
    <s v="Laras Nuraini"/>
    <s v="Not Specified"/>
    <s v="EcoTones Memo Sheets"/>
    <x v="0"/>
    <s v="Wrap Bag"/>
    <s v="Regular Air"/>
    <n v="42586"/>
    <n v="37800"/>
    <n v="60000"/>
    <n v="22200"/>
    <n v="31"/>
    <n v="688200"/>
    <n v="0.01"/>
    <n v="6882"/>
    <n v="681318"/>
    <n v="5000"/>
    <n v="686318"/>
  </r>
  <r>
    <s v="5055-1"/>
    <d v="2016-08-09T00:00:00"/>
    <n v="2016"/>
    <s v="Prakosa Budiman"/>
    <s v="Gg. Dr. Djunjunan No. 33"/>
    <s v="Surabaya"/>
    <x v="0"/>
    <s v="E1032"/>
    <s v="Violet Mentari"/>
    <s v="Violet Mentari"/>
    <s v="High"/>
    <s v="Smiths Premium Bright 1-Part Blank Computer Paper"/>
    <x v="0"/>
    <s v="Small Box"/>
    <s v="Express Air"/>
    <n v="42592"/>
    <n v="114150"/>
    <n v="184200"/>
    <n v="70050"/>
    <n v="29"/>
    <n v="2031450"/>
    <n v="0"/>
    <n v="0"/>
    <n v="2031450"/>
    <n v="30000"/>
    <n v="2061450"/>
  </r>
  <r>
    <s v="5057-1"/>
    <d v="2016-08-10T00:00:00"/>
    <n v="2016"/>
    <s v="Padma Nugroho"/>
    <s v="Gg. Monginsidi No. 3"/>
    <s v="Jakarta"/>
    <x v="1"/>
    <s v="E1029"/>
    <s v="Laras Nuraini"/>
    <s v="Laras Nuraini"/>
    <s v="Medium"/>
    <s v="Artisan 479 Labels"/>
    <x v="0"/>
    <s v="Small Box"/>
    <s v="Regular Air"/>
    <n v="42594"/>
    <n v="23850"/>
    <n v="39150"/>
    <n v="15300"/>
    <n v="9"/>
    <n v="137700"/>
    <n v="0.06"/>
    <n v="8262"/>
    <n v="129438"/>
    <n v="15000"/>
    <n v="144438"/>
  </r>
  <r>
    <s v="5059-1"/>
    <d v="2016-08-10T00:00:00"/>
    <n v="2016"/>
    <s v="Ani Maryadi"/>
    <s v="Gang Soekarno Hatta No. 2"/>
    <s v="Surabaya"/>
    <x v="1"/>
    <s v="E1038"/>
    <s v="Clara Prasetyo"/>
    <s v="Clara Prasetyo"/>
    <s v="Medium"/>
    <s v="Beekin 105-Key Black Keyboard"/>
    <x v="1"/>
    <s v="Small Box"/>
    <s v="Regular Air"/>
    <n v="42592"/>
    <n v="95850"/>
    <n v="299700"/>
    <n v="203850"/>
    <n v="7"/>
    <n v="1426950"/>
    <n v="0.01"/>
    <n v="14269.5"/>
    <n v="1412680.5"/>
    <n v="15000"/>
    <n v="1427680.5"/>
  </r>
  <r>
    <s v="5060-1"/>
    <d v="2016-08-12T00:00:00"/>
    <n v="2016"/>
    <s v="Bakidin Anggraini"/>
    <s v="Jl. Rumah Sakit No. 738"/>
    <s v="Jakarta"/>
    <x v="1"/>
    <s v="E1028"/>
    <s v="Gaduh Pratama"/>
    <s v="Gaduh Pratama"/>
    <s v="Medium"/>
    <s v="Adesso Programmable 142-Key Keyboard"/>
    <x v="1"/>
    <s v="Small Box"/>
    <s v="Express Air"/>
    <n v="42595"/>
    <n v="480300.00000000006"/>
    <n v="2287200"/>
    <n v="1806900"/>
    <n v="16"/>
    <n v="28910400"/>
    <n v="0.1"/>
    <n v="2891040"/>
    <n v="26019360"/>
    <n v="30000"/>
    <n v="26049360"/>
  </r>
  <r>
    <s v="5061-1"/>
    <d v="2016-08-12T00:00:00"/>
    <n v="2016"/>
    <s v="Koko Setiawan"/>
    <s v="Gang Yos Sudarso No. 13"/>
    <s v="Surabaya"/>
    <x v="3"/>
    <s v="E1039"/>
    <s v="Nabila Prakasa"/>
    <s v="Nabila Prakasa"/>
    <s v="Not Specified"/>
    <s v="Smiths Premium Bright 1-Part Blank Computer Paper"/>
    <x v="0"/>
    <s v="Small Box"/>
    <s v="Regular Air"/>
    <n v="42596"/>
    <n v="114150"/>
    <n v="184200"/>
    <n v="70050"/>
    <n v="27"/>
    <n v="1891350"/>
    <n v="0.03"/>
    <n v="56740.5"/>
    <n v="1834609.5"/>
    <n v="15000"/>
    <n v="1849609.5"/>
  </r>
  <r>
    <s v="5062-1"/>
    <d v="2016-08-12T00:00:00"/>
    <n v="2016"/>
    <s v="Teddy Yuniar"/>
    <s v="Jl. Jend. Sudirman No. 0"/>
    <s v="Surabaya"/>
    <x v="2"/>
    <s v="E1030"/>
    <s v="Cinthia Gunawan"/>
    <s v="Cinthia Gunawan"/>
    <s v="Not Specified"/>
    <s v="TechSavi Access Keyboard"/>
    <x v="1"/>
    <s v="Small Box"/>
    <s v="Regular Air"/>
    <n v="42596"/>
    <n v="151050"/>
    <n v="239700"/>
    <n v="88650"/>
    <n v="39"/>
    <n v="3457350"/>
    <n v="0.09"/>
    <n v="311161.5"/>
    <n v="3146188.5"/>
    <n v="15000"/>
    <n v="3161188.5"/>
  </r>
  <r>
    <s v="5063-1"/>
    <d v="2016-08-13T00:00:00"/>
    <n v="2016"/>
    <s v="Narji Wastuti"/>
    <s v="Gg. Joyoboyo No. 026"/>
    <s v="Jakarta"/>
    <x v="1"/>
    <s v="E1028"/>
    <s v="Gaduh Pratama"/>
    <s v="Gaduh Pratama"/>
    <s v="Not Specified"/>
    <s v="Smiths SlimLine Pencil Sharpener"/>
    <x v="0"/>
    <s v="Small Pack"/>
    <s v="Regular Air"/>
    <n v="42597"/>
    <n v="71850"/>
    <n v="179550"/>
    <n v="107700"/>
    <n v="7"/>
    <n v="753900"/>
    <n v="0.05"/>
    <n v="37695"/>
    <n v="716205"/>
    <n v="10000"/>
    <n v="726205"/>
  </r>
  <r>
    <s v="5064-1"/>
    <d v="2016-08-14T00:00:00"/>
    <n v="2016"/>
    <s v="Ami Maheswara"/>
    <s v="Jl. Rumah Sakit No. 738"/>
    <s v="Jakarta"/>
    <x v="0"/>
    <s v="E1028"/>
    <s v="Gaduh Pratama"/>
    <s v="Gaduh Pratama"/>
    <s v="Not Specified"/>
    <s v="Artisan Premier Heavy-Duty Binder with Round Locking Rings"/>
    <x v="0"/>
    <s v="Small Box"/>
    <s v="Regular Air"/>
    <n v="42597"/>
    <n v="130650.00000000001"/>
    <n v="214200"/>
    <n v="83549.999999999985"/>
    <n v="42"/>
    <n v="3509099.9999999995"/>
    <n v="0.1"/>
    <n v="350910"/>
    <n v="3158189.9999999995"/>
    <n v="15000"/>
    <n v="3173189.9999999995"/>
  </r>
  <r>
    <s v="5066-1"/>
    <d v="2016-08-14T00:00:00"/>
    <n v="2016"/>
    <s v="Pandu Mustofa"/>
    <s v="Gang Asia Afrika No. 72"/>
    <s v="Surabaya"/>
    <x v="3"/>
    <s v="E1037"/>
    <s v="Puti Nadine Prakasa"/>
    <s v="Puti Nadine Prakasa"/>
    <s v="Critical"/>
    <s v="TypeRight Side-Opening Peel &amp; Seel Expanding Envelopes"/>
    <x v="0"/>
    <s v="Small Box"/>
    <s v="Regular Air"/>
    <n v="42597"/>
    <n v="814350"/>
    <n v="1357200"/>
    <n v="542850"/>
    <n v="15"/>
    <n v="8142750"/>
    <n v="0.05"/>
    <n v="407137.5"/>
    <n v="7735612.5"/>
    <n v="15000"/>
    <n v="7750612.5"/>
  </r>
  <r>
    <s v="5068-1"/>
    <d v="2016-08-15T00:00:00"/>
    <n v="2016"/>
    <s v="Ganep Waluyo"/>
    <s v="Jl. Jamika No. 246"/>
    <s v="Surabaya"/>
    <x v="3"/>
    <s v="E1038"/>
    <s v="Clara Prasetyo"/>
    <s v="Clara Prasetyo"/>
    <s v="Critical"/>
    <s v="Smiths Standard Envelopes"/>
    <x v="0"/>
    <s v="Small Box"/>
    <s v="Regular Air"/>
    <n v="42599"/>
    <n v="52800"/>
    <n v="85200"/>
    <n v="32400"/>
    <n v="20"/>
    <n v="648000"/>
    <n v="7.0000000000000007E-2"/>
    <n v="45360.000000000007"/>
    <n v="602640"/>
    <n v="15000"/>
    <n v="617640"/>
  </r>
  <r>
    <s v="5070-1"/>
    <d v="2016-08-16T00:00:00"/>
    <n v="2016"/>
    <s v="Elma Agustina"/>
    <s v="Gg. Waringin No. 112"/>
    <s v="Surabaya"/>
    <x v="1"/>
    <s v="E1034"/>
    <s v="Ophelia Mustofa"/>
    <s v="Ophelia Mustofa"/>
    <s v="Critical"/>
    <s v="Steady Liquid Accent Highlighters"/>
    <x v="0"/>
    <s v="Wrap Bag"/>
    <s v="Regular Air"/>
    <n v="42600"/>
    <n v="52050"/>
    <n v="100200"/>
    <n v="48150"/>
    <n v="41"/>
    <n v="1974150"/>
    <n v="0.08"/>
    <n v="157932"/>
    <n v="1816218"/>
    <n v="5000"/>
    <n v="1821218"/>
  </r>
  <r>
    <s v="5071-1"/>
    <d v="2016-08-17T00:00:00"/>
    <n v="2016"/>
    <s v="Wani Astuti"/>
    <s v="Gg. Siliwangi No. 82"/>
    <s v="Surabaya"/>
    <x v="1"/>
    <s v="E1036"/>
    <s v="Kenari Rajasa"/>
    <s v="Kenari Rajasa"/>
    <s v="Medium"/>
    <s v="Laser Neon Mac Format Diskettes, 10/Pack"/>
    <x v="1"/>
    <s v="Small Pack"/>
    <s v="Regular Air"/>
    <n v="42600"/>
    <n v="28050"/>
    <n v="33379.500000000007"/>
    <n v="5329.5000000000073"/>
    <n v="41"/>
    <n v="218509.50000000029"/>
    <n v="0.06"/>
    <n v="13110.570000000016"/>
    <n v="205398.93000000028"/>
    <n v="10000"/>
    <n v="215398.93000000028"/>
  </r>
  <r>
    <s v="5071-2"/>
    <d v="2016-08-17T00:00:00"/>
    <n v="2016"/>
    <s v="Wani Astuti"/>
    <s v="Gg. Siliwangi No. 82"/>
    <s v="Surabaya"/>
    <x v="1"/>
    <s v="E1036"/>
    <s v="Kenari Rajasa"/>
    <s v="Kenari Rajasa"/>
    <s v="Medium"/>
    <s v="Steady Liquid Accent Highlighters"/>
    <x v="0"/>
    <s v="Wrap Bag"/>
    <s v="Regular Air"/>
    <n v="42600"/>
    <n v="52050"/>
    <n v="100200"/>
    <n v="48150"/>
    <n v="2"/>
    <n v="96300"/>
    <n v="0.01"/>
    <n v="963"/>
    <n v="95337"/>
    <n v="5000"/>
    <n v="100337"/>
  </r>
  <r>
    <s v="5075-1"/>
    <d v="2016-08-17T00:00:00"/>
    <n v="2016"/>
    <s v="Raditya Uwais"/>
    <s v="Jl. Antapani Lama No. 705"/>
    <s v="Jakarta"/>
    <x v="1"/>
    <s v="E1028"/>
    <s v="Gaduh Pratama"/>
    <s v="Gaduh Pratama"/>
    <s v="Low"/>
    <s v="TechSavi Access Keyboard"/>
    <x v="1"/>
    <s v="Small Box"/>
    <s v="Regular Air"/>
    <n v="42604"/>
    <n v="151050"/>
    <n v="239700"/>
    <n v="88650"/>
    <n v="34"/>
    <n v="3014100"/>
    <n v="0.1"/>
    <n v="301410"/>
    <n v="2712690"/>
    <n v="15000"/>
    <n v="2727690"/>
  </r>
  <r>
    <s v="5077-1"/>
    <d v="2016-08-19T00:00:00"/>
    <n v="2016"/>
    <s v="Cahyono Hidayanto"/>
    <s v="Jl. Gardujati No. 82"/>
    <s v="Surabaya"/>
    <x v="3"/>
    <s v="E1037"/>
    <s v="Puti Nadine Prakasa"/>
    <s v="Puti Nadine Prakasa"/>
    <s v="Not Specified"/>
    <s v="Smiths SlimLine Pencil Sharpener"/>
    <x v="0"/>
    <s v="Small Pack"/>
    <s v="Regular Air"/>
    <n v="42603"/>
    <n v="71850"/>
    <n v="179550"/>
    <n v="107700"/>
    <n v="18"/>
    <n v="1938600"/>
    <n v="0.08"/>
    <n v="155088"/>
    <n v="1783512"/>
    <n v="10000"/>
    <n v="1793512"/>
  </r>
  <r>
    <s v="5079-1"/>
    <d v="2016-08-21T00:00:00"/>
    <n v="2016"/>
    <s v="Rika Uwais"/>
    <s v="Gang Pacuan Kuda No. 04"/>
    <s v="Surabaya"/>
    <x v="0"/>
    <s v="E1037"/>
    <s v="Puti Nadine Prakasa"/>
    <s v="Puti Nadine Prakasa"/>
    <s v="Critical"/>
    <s v="1726 Digital Answering Machine"/>
    <x v="1"/>
    <s v="Medium Box"/>
    <s v="Express Air"/>
    <n v="42604"/>
    <n v="132300"/>
    <n v="314850"/>
    <n v="182550"/>
    <n v="8"/>
    <n v="1460400"/>
    <n v="0.09"/>
    <n v="131436"/>
    <n v="1328964"/>
    <n v="40000"/>
    <n v="1368964"/>
  </r>
  <r>
    <s v="5081-1"/>
    <d v="2016-08-21T00:00:00"/>
    <n v="2016"/>
    <s v="Indra Jailani"/>
    <s v="Gg. Jakarta No. 646"/>
    <s v="Jakarta"/>
    <x v="2"/>
    <s v="E1029"/>
    <s v="Laras Nuraini"/>
    <s v="Laras Nuraini"/>
    <s v="Critical"/>
    <s v="Pizazz Dustless Chalk Sticks"/>
    <x v="0"/>
    <s v="Wrap Bag"/>
    <s v="Regular Air"/>
    <n v="42605"/>
    <n v="16350.000000000002"/>
    <n v="25200"/>
    <n v="8849.9999999999982"/>
    <n v="18"/>
    <n v="159299.99999999997"/>
    <n v="0.06"/>
    <n v="9557.9999999999982"/>
    <n v="149741.99999999997"/>
    <n v="5000"/>
    <n v="154741.99999999997"/>
  </r>
  <r>
    <s v="5084-1"/>
    <d v="2016-08-25T00:00:00"/>
    <n v="2016"/>
    <s v="Aditya Nainggolan"/>
    <s v="Jl. Surapati No. 996"/>
    <s v="Jakarta"/>
    <x v="0"/>
    <s v="E1029"/>
    <s v="Laras Nuraini"/>
    <s v="Laras Nuraini"/>
    <s v="Medium"/>
    <s v="EcoTones Memo Sheets"/>
    <x v="0"/>
    <s v="Wrap Bag"/>
    <s v="Express Air"/>
    <n v="42609"/>
    <n v="37800"/>
    <n v="60000"/>
    <n v="22200"/>
    <n v="19"/>
    <n v="421800"/>
    <n v="0.09"/>
    <n v="37962"/>
    <n v="383838"/>
    <n v="10000"/>
    <n v="393838"/>
  </r>
  <r>
    <s v="5086-1"/>
    <d v="2016-08-26T00:00:00"/>
    <n v="2016"/>
    <s v="Umaya Yulianti"/>
    <s v="Jl. Ciwastra No. 543"/>
    <s v="Jakarta"/>
    <x v="0"/>
    <s v="E1029"/>
    <s v="Laras Nuraini"/>
    <s v="Laras Nuraini"/>
    <s v="High"/>
    <s v="Artisan Flip-Chart Easel Binder, Black"/>
    <x v="0"/>
    <s v="Small Box"/>
    <s v="Regular Air"/>
    <n v="42609"/>
    <n v="208200"/>
    <n v="335700"/>
    <n v="127500"/>
    <n v="26"/>
    <n v="3315000"/>
    <n v="0.1"/>
    <n v="331500"/>
    <n v="2983500"/>
    <n v="15000"/>
    <n v="2998500"/>
  </r>
  <r>
    <s v="5087-1"/>
    <d v="2016-08-26T00:00:00"/>
    <n v="2016"/>
    <s v="Yuni Pradipta"/>
    <s v="Jalan Jayawijaya No. 5"/>
    <s v="Surabaya"/>
    <x v="1"/>
    <s v="E1033"/>
    <s v="Paiman Firgantoro"/>
    <s v="Paiman Firgantoro"/>
    <s v="Not Specified"/>
    <s v="DrawIt Colored Pencils, 48-Color Set"/>
    <x v="0"/>
    <s v="Wrap Bag"/>
    <s v="Regular Air"/>
    <n v="42610"/>
    <n v="323400"/>
    <n v="548250"/>
    <n v="224850"/>
    <n v="45"/>
    <n v="10118250"/>
    <n v="0.1"/>
    <n v="1011825"/>
    <n v="9106425"/>
    <n v="5000"/>
    <n v="9111425"/>
  </r>
  <r>
    <s v="5089-1"/>
    <d v="2016-08-27T00:00:00"/>
    <n v="2016"/>
    <s v="Kasiran Firgantoro"/>
    <s v="Jalan Gardujati No. 513"/>
    <s v="Surabaya"/>
    <x v="2"/>
    <s v="E1036"/>
    <s v="Kenari Rajasa"/>
    <s v="Kenari Rajasa"/>
    <s v="High"/>
    <s v="600 Series Non-Flip"/>
    <x v="1"/>
    <s v="Small Box"/>
    <s v="Express Air"/>
    <n v="42610"/>
    <n v="296700"/>
    <n v="689850"/>
    <n v="393150"/>
    <n v="14"/>
    <n v="5504100"/>
    <n v="0.02"/>
    <n v="110082"/>
    <n v="5394018"/>
    <n v="30000"/>
    <n v="5424018"/>
  </r>
  <r>
    <s v="5091-1"/>
    <d v="2016-08-31T00:00:00"/>
    <n v="2016"/>
    <s v="Gara Aryani"/>
    <s v="Gang R.E Martadinata No. 969"/>
    <s v="Surabaya"/>
    <x v="0"/>
    <s v="E1036"/>
    <s v="Kenari Rajasa"/>
    <s v="Kenari Rajasa"/>
    <s v="High"/>
    <s v="210 Trimline Phone, White"/>
    <x v="1"/>
    <s v="Medium Box"/>
    <s v="Regular Air"/>
    <n v="42614"/>
    <n v="148650"/>
    <n v="239850"/>
    <n v="91200"/>
    <n v="7"/>
    <n v="638400"/>
    <n v="0.03"/>
    <n v="19152"/>
    <n v="619248"/>
    <n v="20000"/>
    <n v="639248"/>
  </r>
  <r>
    <s v="5093-1"/>
    <d v="2016-08-31T00:00:00"/>
    <n v="2016"/>
    <s v="Ami Maheswara"/>
    <s v="Jl. Rumah Sakit No. 738"/>
    <s v="Jakarta"/>
    <x v="0"/>
    <s v="E1028"/>
    <s v="Gaduh Pratama"/>
    <s v="Gaduh Pratama"/>
    <s v="Not Specified"/>
    <s v="Steady Major Accent Highlighters"/>
    <x v="0"/>
    <s v="Wrap Bag"/>
    <s v="Regular Air"/>
    <n v="42614"/>
    <n v="56250"/>
    <n v="106200"/>
    <n v="49950"/>
    <n v="29"/>
    <n v="1448550"/>
    <n v="0.04"/>
    <n v="57942"/>
    <n v="1390608"/>
    <n v="5000"/>
    <n v="1395608"/>
  </r>
  <r>
    <s v="5095-1"/>
    <d v="2016-09-01T00:00:00"/>
    <n v="2016"/>
    <s v="Saadat Hutapea"/>
    <s v="Jalan PHH. Mustofa No. 625"/>
    <s v="Surabaya"/>
    <x v="1"/>
    <s v="E1034"/>
    <s v="Ophelia Mustofa"/>
    <s v="Ophelia Mustofa"/>
    <s v="High"/>
    <s v="Aluminum Document Frame"/>
    <x v="2"/>
    <s v="Small Pack"/>
    <s v="Regular Air"/>
    <n v="42615"/>
    <n v="82500"/>
    <n v="183300"/>
    <n v="100800"/>
    <n v="35"/>
    <n v="3528000"/>
    <n v="0"/>
    <n v="0"/>
    <n v="3528000"/>
    <n v="10000"/>
    <n v="3538000"/>
  </r>
  <r>
    <s v="5097-1"/>
    <d v="2016-09-01T00:00:00"/>
    <n v="2016"/>
    <s v="Asman Dongoran"/>
    <s v="Jl. Astana Anyar No. 51"/>
    <s v="Surabaya"/>
    <x v="3"/>
    <s v="E1031"/>
    <s v="Bagiya Sihombing"/>
    <s v="Bagiya Sihombing"/>
    <s v="Not Specified"/>
    <s v="Artisan Legal 4-Ring Binder"/>
    <x v="0"/>
    <s v="Small Box"/>
    <s v="Regular Air"/>
    <n v="42616"/>
    <n v="204600"/>
    <n v="314700"/>
    <n v="110100"/>
    <n v="47"/>
    <n v="5174700"/>
    <n v="0.1"/>
    <n v="517470"/>
    <n v="4657230"/>
    <n v="15000"/>
    <n v="4672230"/>
  </r>
  <r>
    <s v="5099-1"/>
    <d v="2016-09-02T00:00:00"/>
    <n v="2016"/>
    <s v="Raditya Uwais"/>
    <s v="Jl. Antapani Lama No. 705"/>
    <s v="Jakarta"/>
    <x v="2"/>
    <s v="E1028"/>
    <s v="Gaduh Pratama"/>
    <s v="Gaduh Pratama"/>
    <s v="High"/>
    <s v="Apex Elite Stainless Steel Scissors"/>
    <x v="0"/>
    <s v="Small Pack"/>
    <s v="Regular Air"/>
    <n v="42615"/>
    <n v="51300"/>
    <n v="125100"/>
    <n v="73800"/>
    <n v="24"/>
    <n v="1771200"/>
    <n v="0.1"/>
    <n v="177120"/>
    <n v="1594080"/>
    <n v="10000"/>
    <n v="1604080"/>
  </r>
  <r>
    <s v="5101-1"/>
    <d v="2016-09-03T00:00:00"/>
    <n v="2016"/>
    <s v="Cengkal Prastuti"/>
    <s v="Gang Setiabudhi No. 1"/>
    <s v="Bandung"/>
    <x v="3"/>
    <s v="E1036"/>
    <s v="Kenari Rajasa"/>
    <s v="Kenari Rajasa"/>
    <s v="Critical"/>
    <s v="Alto Parchment Paper, Assorted Colors"/>
    <x v="0"/>
    <s v="Small Box"/>
    <s v="Express Air"/>
    <n v="42617"/>
    <n v="68850"/>
    <n v="109200"/>
    <n v="40350"/>
    <n v="2"/>
    <n v="80700"/>
    <n v="0.08"/>
    <n v="6456"/>
    <n v="74244"/>
    <n v="30000"/>
    <n v="104244"/>
  </r>
  <r>
    <s v="5103-1"/>
    <d v="2016-09-03T00:00:00"/>
    <n v="2016"/>
    <s v="Danang Uyainah"/>
    <s v="Jalan Moch. Ramdan No. 338"/>
    <s v="Jakarta"/>
    <x v="1"/>
    <s v="E1028"/>
    <s v="Gaduh Pratama"/>
    <s v="Gaduh Pratama"/>
    <s v="Critical"/>
    <s v="Smiths General Use 3-Ring Binders"/>
    <x v="0"/>
    <s v="Small Box"/>
    <s v="Regular Air"/>
    <n v="42618"/>
    <n v="17700"/>
    <n v="28200"/>
    <n v="10500"/>
    <n v="1"/>
    <n v="10500"/>
    <n v="0.05"/>
    <n v="525"/>
    <n v="9975"/>
    <n v="15000"/>
    <n v="24975"/>
  </r>
  <r>
    <s v="5104-1"/>
    <d v="2016-09-04T00:00:00"/>
    <n v="2016"/>
    <s v="Cager Prayoga"/>
    <s v="Gg. Stasiun Wonokromo No. 32"/>
    <s v="Surabaya"/>
    <x v="0"/>
    <s v="E1036"/>
    <s v="Kenari Rajasa"/>
    <s v="Kenari Rajasa"/>
    <s v="Medium"/>
    <s v="Alto Keyboard-In-A-Box"/>
    <x v="1"/>
    <s v="Small Box"/>
    <s v="Express Air"/>
    <n v="42619"/>
    <n v="96000"/>
    <n v="436500"/>
    <n v="340500"/>
    <n v="33"/>
    <n v="11236500"/>
    <n v="0.01"/>
    <n v="112365"/>
    <n v="11124135"/>
    <n v="30000"/>
    <n v="11154135"/>
  </r>
  <r>
    <s v="5106-1"/>
    <d v="2016-09-07T00:00:00"/>
    <n v="2016"/>
    <s v="Joko Mangunsong"/>
    <s v="Gang Otto Iskandardinata No. 167"/>
    <s v="Surabaya"/>
    <x v="3"/>
    <s v="E1037"/>
    <s v="Puti Nadine Prakasa"/>
    <s v="Puti Nadine Prakasa"/>
    <s v="Critical"/>
    <s v="Artisan 48 Labels"/>
    <x v="0"/>
    <s v="Small Box"/>
    <s v="Regular Air"/>
    <n v="42620"/>
    <n v="57600"/>
    <n v="94500"/>
    <n v="36900"/>
    <n v="42"/>
    <n v="1549800"/>
    <n v="7.0000000000000007E-2"/>
    <n v="108486.00000000001"/>
    <n v="1441314"/>
    <n v="15000"/>
    <n v="1456314"/>
  </r>
  <r>
    <s v="5108-1"/>
    <d v="2016-09-08T00:00:00"/>
    <n v="2016"/>
    <s v="Gandewa Hariyah"/>
    <s v="Jl. Sadang Serang No. 015"/>
    <s v="Surabaya"/>
    <x v="0"/>
    <s v="E1036"/>
    <s v="Kenari Rajasa"/>
    <s v="Kenari Rajasa"/>
    <s v="Medium"/>
    <s v="UGen Ultra Professional Cordless Optical Suite"/>
    <x v="1"/>
    <s v="Small Box"/>
    <s v="Regular Air"/>
    <n v="42622"/>
    <n v="2347500"/>
    <n v="4514550"/>
    <n v="2167050"/>
    <n v="14"/>
    <n v="30338700"/>
    <n v="0.1"/>
    <n v="3033870"/>
    <n v="27304830"/>
    <n v="15000"/>
    <n v="27319830"/>
  </r>
  <r>
    <s v="5109-1"/>
    <d v="2016-09-09T00:00:00"/>
    <n v="2016"/>
    <s v="Candrakanta Aryani"/>
    <s v="Gg. Pacuan Kuda No. 49"/>
    <s v="Surabaya"/>
    <x v="1"/>
    <s v="E1037"/>
    <s v="Puti Nadine Prakasa"/>
    <s v="Puti Nadine Prakasa"/>
    <s v="Low"/>
    <s v="OIC Colored Binder Clips, Assorted Sizes"/>
    <x v="0"/>
    <s v="Wrap Bag"/>
    <s v="Regular Air"/>
    <n v="42626"/>
    <n v="34350"/>
    <n v="53700"/>
    <n v="19350"/>
    <n v="38"/>
    <n v="735300"/>
    <n v="0.06"/>
    <n v="44118"/>
    <n v="691182"/>
    <n v="5000"/>
    <n v="696182"/>
  </r>
  <r>
    <s v="5111-1"/>
    <d v="2016-09-10T00:00:00"/>
    <n v="2016"/>
    <s v="Enteng Simbolon"/>
    <s v="Gg. Raya Ujungberung No. 54"/>
    <s v="Bandung"/>
    <x v="0"/>
    <s v="E1039"/>
    <s v="Nabila Prakasa"/>
    <s v="Nabila Prakasa"/>
    <s v="High"/>
    <s v="Colored Envelopes"/>
    <x v="0"/>
    <s v="Small Box"/>
    <s v="Express Air"/>
    <n v="42623"/>
    <n v="33750"/>
    <n v="55350"/>
    <n v="21600"/>
    <n v="35"/>
    <n v="756000"/>
    <n v="0.03"/>
    <n v="22680"/>
    <n v="733320"/>
    <n v="30000"/>
    <n v="763320"/>
  </r>
  <r>
    <s v="5112-1"/>
    <d v="2016-09-10T00:00:00"/>
    <n v="2016"/>
    <s v="Limar Laksmiwati"/>
    <s v="Gang Sadang Serang No. 74"/>
    <s v="Bandung"/>
    <x v="3"/>
    <s v="E1039"/>
    <s v="Nabila Prakasa"/>
    <s v="Nabila Prakasa"/>
    <s v="Medium"/>
    <s v="Xit Blank Computer Paper"/>
    <x v="0"/>
    <s v="Small Box"/>
    <s v="Express Air"/>
    <n v="42623"/>
    <n v="185850"/>
    <n v="299700"/>
    <n v="113850"/>
    <n v="13"/>
    <n v="1480050"/>
    <n v="0.1"/>
    <n v="148005"/>
    <n v="1332045"/>
    <n v="30000"/>
    <n v="1362045"/>
  </r>
  <r>
    <s v="5113-1"/>
    <d v="2016-09-12T00:00:00"/>
    <n v="2016"/>
    <s v="Gara Purwanti"/>
    <s v="Jl. Surapati No. 30"/>
    <s v="Surabaya"/>
    <x v="1"/>
    <s v="E1031"/>
    <s v="Bagiya Sihombing"/>
    <s v="Bagiya Sihombing"/>
    <s v="Medium"/>
    <s v="Alto Perma 2700 Stacking Storage Drawers"/>
    <x v="0"/>
    <s v="Small Box"/>
    <s v="Regular Air"/>
    <n v="42625"/>
    <n v="133800"/>
    <n v="446100"/>
    <n v="312300"/>
    <n v="14"/>
    <n v="4372200"/>
    <n v="0.02"/>
    <n v="87444"/>
    <n v="4284756"/>
    <n v="15000"/>
    <n v="4299756"/>
  </r>
  <r>
    <s v="5114-1"/>
    <d v="2016-09-12T00:00:00"/>
    <n v="2016"/>
    <s v="Cakrawala Yuniar"/>
    <s v="Jalan Jend. A. Yani No. 48"/>
    <s v="Surabaya"/>
    <x v="3"/>
    <s v="E1036"/>
    <s v="Kenari Rajasa"/>
    <s v="Kenari Rajasa"/>
    <s v="Not Specified"/>
    <s v="TechSavi Cordless Elite Duo"/>
    <x v="1"/>
    <s v="Small Box"/>
    <s v="Regular Air"/>
    <n v="42627"/>
    <n v="908850"/>
    <n v="1514700"/>
    <n v="605850"/>
    <n v="33"/>
    <n v="19993050"/>
    <n v="0.05"/>
    <n v="999652.5"/>
    <n v="18993397.5"/>
    <n v="15000"/>
    <n v="19008397.5"/>
  </r>
  <r>
    <s v="5115-1"/>
    <d v="2016-09-12T00:00:00"/>
    <n v="2016"/>
    <s v="Gamani Laksmiwati"/>
    <s v="Jl. Antapani Lama No. 705"/>
    <s v="Jakarta"/>
    <x v="2"/>
    <s v="E1028"/>
    <s v="Gaduh Pratama"/>
    <s v="Gaduh Pratama"/>
    <s v="Low"/>
    <s v="Wirebound Message Book, 4 per Page"/>
    <x v="0"/>
    <s v="Wrap Bag"/>
    <s v="Regular Air"/>
    <n v="42629"/>
    <n v="52200"/>
    <n v="81450"/>
    <n v="29250"/>
    <n v="29"/>
    <n v="848250"/>
    <n v="7.0000000000000007E-2"/>
    <n v="59377.500000000007"/>
    <n v="788872.5"/>
    <n v="5000"/>
    <n v="793872.5"/>
  </r>
  <r>
    <s v="5117-1"/>
    <d v="2016-09-14T00:00:00"/>
    <n v="2016"/>
    <s v="Caturangga Dabukke"/>
    <s v="Gg. Suniaraja No. 21"/>
    <s v="Surabaya"/>
    <x v="3"/>
    <s v="E1031"/>
    <s v="Bagiya Sihombing"/>
    <s v="Bagiya Sihombing"/>
    <s v="Low"/>
    <s v="Laser DVD-RAM discs"/>
    <x v="1"/>
    <s v="Small Pack"/>
    <s v="Regular Air"/>
    <n v="42629"/>
    <n v="302700"/>
    <n v="531150"/>
    <n v="228450"/>
    <n v="38"/>
    <n v="8681100"/>
    <n v="0.03"/>
    <n v="260433"/>
    <n v="8420667"/>
    <n v="10000"/>
    <n v="8430667"/>
  </r>
  <r>
    <s v="5119-1"/>
    <d v="2016-09-16T00:00:00"/>
    <n v="2016"/>
    <s v="Jagapati Marbun"/>
    <s v="Jl. Laswi No. 04"/>
    <s v="Surabaya"/>
    <x v="3"/>
    <s v="E1040"/>
    <s v="Sutan Tirtayasa Wasita"/>
    <s v="Sutan Tirtayasa Wasita"/>
    <s v="Not Specified"/>
    <s v="Artisan Hi-Liter Fluorescent Desk Style Markers"/>
    <x v="0"/>
    <s v="Wrap Bag"/>
    <s v="Regular Air"/>
    <n v="42631"/>
    <n v="26400"/>
    <n v="50700"/>
    <n v="24300"/>
    <n v="34"/>
    <n v="826200"/>
    <n v="7.0000000000000007E-2"/>
    <n v="57834.000000000007"/>
    <n v="768366"/>
    <n v="5000"/>
    <n v="773366"/>
  </r>
  <r>
    <s v="5120-1"/>
    <d v="2016-09-17T00:00:00"/>
    <n v="2016"/>
    <s v="Saiful Putra"/>
    <s v="Gg. Siliwangi No. 82"/>
    <s v="Surabaya"/>
    <x v="0"/>
    <s v="E1036"/>
    <s v="Kenari Rajasa"/>
    <s v="Kenari Rajasa"/>
    <s v="Critical"/>
    <s v="Artisan Arch Ring Binders"/>
    <x v="0"/>
    <s v="Small Box"/>
    <s v="Express Air"/>
    <n v="42632"/>
    <n v="540300"/>
    <n v="871500"/>
    <n v="331200"/>
    <n v="10"/>
    <n v="3312000"/>
    <n v="0.09"/>
    <n v="298080"/>
    <n v="3013920"/>
    <n v="30000"/>
    <n v="3043920"/>
  </r>
  <r>
    <s v="5122-1"/>
    <d v="2016-09-17T00:00:00"/>
    <n v="2016"/>
    <s v="Yuni Wastuti"/>
    <s v="Jl. S. Parman No. 91"/>
    <s v="Surabaya"/>
    <x v="1"/>
    <s v="E1034"/>
    <s v="Ophelia Mustofa"/>
    <s v="Ophelia Mustofa"/>
    <s v="Low"/>
    <s v="UGen Ultra Professional Cordless Optical Suite"/>
    <x v="1"/>
    <s v="Small Box"/>
    <s v="Regular Air"/>
    <n v="42630"/>
    <n v="2347500"/>
    <n v="4514550"/>
    <n v="2167050"/>
    <n v="38"/>
    <n v="82347900"/>
    <n v="0.09"/>
    <n v="7411311"/>
    <n v="74936589"/>
    <n v="15000"/>
    <n v="74951589"/>
  </r>
  <r>
    <s v="5124-1"/>
    <d v="2016-09-18T00:00:00"/>
    <n v="2016"/>
    <s v="Cahya Purnawati"/>
    <s v="Jalan Tebet Barat Dalam No. 229"/>
    <s v="Surabaya"/>
    <x v="3"/>
    <s v="E1031"/>
    <s v="Bagiya Sihombing"/>
    <s v="Bagiya Sihombing"/>
    <s v="Medium"/>
    <s v="Apex Elite Stainless Steel Scissors"/>
    <x v="0"/>
    <s v="Small Pack"/>
    <s v="Regular Air"/>
    <n v="42633"/>
    <n v="51300"/>
    <n v="125100"/>
    <n v="73800"/>
    <n v="30"/>
    <n v="2214000"/>
    <n v="0.02"/>
    <n v="44280"/>
    <n v="2169720"/>
    <n v="10000"/>
    <n v="2179720"/>
  </r>
  <r>
    <s v="5125-1"/>
    <d v="2016-09-19T00:00:00"/>
    <n v="2016"/>
    <s v="Asmadi Simanjuntak"/>
    <s v="Gg. HOS. Cokroaminoto No. 1"/>
    <s v="Surabaya"/>
    <x v="1"/>
    <s v="E1041"/>
    <s v="Sari Winarno"/>
    <s v="Sari Winarno"/>
    <s v="Not Specified"/>
    <s v="TechSavi Cordless Elite Duo"/>
    <x v="1"/>
    <s v="Small Box"/>
    <s v="Regular Air"/>
    <n v="42633"/>
    <n v="908850"/>
    <n v="1514700"/>
    <n v="605850"/>
    <n v="29"/>
    <n v="17569650"/>
    <n v="0.03"/>
    <n v="527089.5"/>
    <n v="17042560.5"/>
    <n v="15000"/>
    <n v="17057560.5"/>
  </r>
  <r>
    <s v="5127-1"/>
    <d v="2016-09-21T00:00:00"/>
    <n v="2016"/>
    <s v="Kamila Sinaga"/>
    <s v="Gang H.J Maemunah No. 6"/>
    <s v="Surabaya"/>
    <x v="1"/>
    <s v="E1039"/>
    <s v="Nabila Prakasa"/>
    <s v="Nabila Prakasa"/>
    <s v="Not Specified"/>
    <s v="Deluxe Rollaway Locking File with Drawer"/>
    <x v="0"/>
    <s v="Small Box"/>
    <s v="Regular Air"/>
    <n v="42634"/>
    <n v="2682450"/>
    <n v="6238200"/>
    <n v="3555750"/>
    <n v="2"/>
    <n v="7111500"/>
    <n v="7.0000000000000007E-2"/>
    <n v="497805.00000000006"/>
    <n v="6613695"/>
    <n v="15000"/>
    <n v="6628695"/>
  </r>
  <r>
    <s v="5128-1"/>
    <d v="2016-09-22T00:00:00"/>
    <n v="2016"/>
    <s v="Ibun Haryanto"/>
    <s v="Jalan Kutai No. 503"/>
    <s v="Surabaya"/>
    <x v="3"/>
    <s v="E1039"/>
    <s v="Nabila Prakasa"/>
    <s v="Nabila Prakasa"/>
    <s v="Medium"/>
    <s v="EcoTones Memo Sheets"/>
    <x v="0"/>
    <s v="Wrap Bag"/>
    <s v="Regular Air"/>
    <n v="42637"/>
    <n v="37800"/>
    <n v="60000"/>
    <n v="22200"/>
    <n v="39"/>
    <n v="865800"/>
    <n v="0.08"/>
    <n v="69264"/>
    <n v="796536"/>
    <n v="5000"/>
    <n v="801536"/>
  </r>
  <r>
    <s v="5129-1"/>
    <d v="2016-09-23T00:00:00"/>
    <n v="2016"/>
    <s v="Chandra Firmansyah"/>
    <s v="Jalan Kutai No. 503"/>
    <s v="Surabaya"/>
    <x v="2"/>
    <s v="E1039"/>
    <s v="Nabila Prakasa"/>
    <s v="Nabila Prakasa"/>
    <s v="Low"/>
    <s v="Smiths Colored Interoffice Envelopes"/>
    <x v="0"/>
    <s v="Small Box"/>
    <s v="Regular Air"/>
    <n v="42638"/>
    <n v="297450"/>
    <n v="464700"/>
    <n v="167250"/>
    <n v="49"/>
    <n v="8195250"/>
    <n v="0.09"/>
    <n v="737572.5"/>
    <n v="7457677.5"/>
    <n v="15000"/>
    <n v="7472677.5"/>
  </r>
  <r>
    <s v="5131-1"/>
    <d v="2016-09-27T00:00:00"/>
    <n v="2016"/>
    <s v="Eja Anggriawan"/>
    <s v="Jalan K.H. Wahid Hasyim No. 5"/>
    <s v="Surabaya"/>
    <x v="3"/>
    <s v="E1030"/>
    <s v="Cinthia Gunawan"/>
    <s v="Cinthia Gunawan"/>
    <s v="Medium"/>
    <s v="UGen Ultra Professional Cordless Optical Suite"/>
    <x v="1"/>
    <s v="Small Box"/>
    <s v="Regular Air"/>
    <n v="42642"/>
    <n v="2347500"/>
    <n v="4514550"/>
    <n v="2167050"/>
    <n v="5"/>
    <n v="10835250"/>
    <n v="7.0000000000000007E-2"/>
    <n v="758467.50000000012"/>
    <n v="10076782.5"/>
    <n v="15000"/>
    <n v="10091782.5"/>
  </r>
  <r>
    <s v="5133-1"/>
    <d v="2016-09-27T00:00:00"/>
    <n v="2016"/>
    <s v="Harja Pratiwi"/>
    <s v="Gg. Jakarta No. 646"/>
    <s v="Jakarta"/>
    <x v="2"/>
    <s v="E1029"/>
    <s v="Laras Nuraini"/>
    <s v="Laras Nuraini"/>
    <s v="High"/>
    <s v="Wirebound Voice Message Log Book"/>
    <x v="0"/>
    <s v="Wrap Bag"/>
    <s v="Express Air"/>
    <n v="42642"/>
    <n v="43500"/>
    <n v="71400"/>
    <n v="27900"/>
    <n v="27"/>
    <n v="753300"/>
    <n v="7.0000000000000007E-2"/>
    <n v="52731.000000000007"/>
    <n v="700569"/>
    <n v="10000"/>
    <n v="710569"/>
  </r>
  <r>
    <s v="5134-1"/>
    <d v="2016-09-28T00:00:00"/>
    <n v="2016"/>
    <s v="Hasan Megantara"/>
    <s v="Jalan Gedebage Selatan No. 048"/>
    <s v="Jakarta"/>
    <x v="1"/>
    <s v="E1029"/>
    <s v="Laras Nuraini"/>
    <s v="Laras Nuraini"/>
    <s v="Low"/>
    <s v="UGen Ultra Professional Cordless Optical Suite"/>
    <x v="1"/>
    <s v="Small Box"/>
    <s v="Regular Air"/>
    <n v="42641"/>
    <n v="2347500"/>
    <n v="4514550"/>
    <n v="2167050"/>
    <n v="1"/>
    <n v="2167050"/>
    <n v="0.06"/>
    <n v="130023"/>
    <n v="2037027"/>
    <n v="15000"/>
    <n v="2052027"/>
  </r>
  <r>
    <s v="5135-1"/>
    <d v="2016-10-02T00:00:00"/>
    <n v="2016"/>
    <s v="Lantar Yuliarti"/>
    <s v="Jl. Astana Anyar No. 51"/>
    <s v="Surabaya"/>
    <x v="3"/>
    <s v="E1031"/>
    <s v="Bagiya Sihombing"/>
    <s v="Bagiya Sihombing"/>
    <s v="Medium"/>
    <s v="OIC Colored Binder Clips, Assorted Sizes"/>
    <x v="0"/>
    <s v="Wrap Bag"/>
    <s v="Regular Air"/>
    <n v="42646"/>
    <n v="34350"/>
    <n v="53700"/>
    <n v="19350"/>
    <n v="10"/>
    <n v="193500"/>
    <n v="0.05"/>
    <n v="9675"/>
    <n v="183825"/>
    <n v="5000"/>
    <n v="188825"/>
  </r>
  <r>
    <s v="5137-1"/>
    <d v="2016-10-03T00:00:00"/>
    <n v="2016"/>
    <s v="Widya Sihotang"/>
    <s v="Gang R.E Martadinata No. 969"/>
    <s v="Surabaya"/>
    <x v="1"/>
    <s v="E1036"/>
    <s v="Kenari Rajasa"/>
    <s v="Kenari Rajasa"/>
    <s v="Medium"/>
    <s v="Multimedia Mailers"/>
    <x v="0"/>
    <s v="Small Box"/>
    <s v="Regular Air"/>
    <n v="42647"/>
    <n v="1490850"/>
    <n v="2443950"/>
    <n v="953100"/>
    <n v="7"/>
    <n v="6671700"/>
    <n v="0.03"/>
    <n v="200151"/>
    <n v="6471549"/>
    <n v="15000"/>
    <n v="6486549"/>
  </r>
  <r>
    <s v="5138-1"/>
    <d v="2016-10-03T00:00:00"/>
    <n v="2016"/>
    <s v="Wulan Mustofa"/>
    <s v="Jalan R.E Martadinata No. 6"/>
    <s v="Jakarta"/>
    <x v="3"/>
    <s v="E1029"/>
    <s v="Laras Nuraini"/>
    <s v="Laras Nuraini"/>
    <s v="High"/>
    <s v="Smiths Metal Binder Clips"/>
    <x v="0"/>
    <s v="Wrap Bag"/>
    <s v="Express Air"/>
    <n v="42648"/>
    <n v="24000"/>
    <n v="39300"/>
    <n v="15300"/>
    <n v="34"/>
    <n v="520200"/>
    <n v="0.08"/>
    <n v="41616"/>
    <n v="478584"/>
    <n v="10000"/>
    <n v="488584"/>
  </r>
  <r>
    <s v="5140-1"/>
    <d v="2016-10-06T00:00:00"/>
    <n v="2016"/>
    <s v="Danang Mansur"/>
    <s v="Jalan Indragiri No. 077"/>
    <s v="Surabaya"/>
    <x v="1"/>
    <s v="E1030"/>
    <s v="Cinthia Gunawan"/>
    <s v="Cinthia Gunawan"/>
    <s v="High"/>
    <s v="3Max Organizer Strips"/>
    <x v="0"/>
    <s v="Small Box"/>
    <s v="Regular Air"/>
    <n v="42650"/>
    <n v="51000"/>
    <n v="81000"/>
    <n v="30000"/>
    <n v="25"/>
    <n v="750000"/>
    <n v="0.09"/>
    <n v="67500"/>
    <n v="682500"/>
    <n v="15000"/>
    <n v="697500"/>
  </r>
  <r>
    <s v="5142-1"/>
    <d v="2016-10-07T00:00:00"/>
    <n v="2016"/>
    <s v="Luhung Padmasari"/>
    <s v="Jl. Pelajar Pejuang No. 25"/>
    <s v="Bandung"/>
    <x v="0"/>
    <s v="E1036"/>
    <s v="Kenari Rajasa"/>
    <s v="Kenari Rajasa"/>
    <s v="High"/>
    <s v="PastelOcean Color Pencil Set"/>
    <x v="0"/>
    <s v="Wrap Bag"/>
    <s v="Regular Air"/>
    <n v="42651"/>
    <n v="166650"/>
    <n v="297600"/>
    <n v="130950"/>
    <n v="26"/>
    <n v="3404700"/>
    <n v="7.0000000000000007E-2"/>
    <n v="238329.00000000003"/>
    <n v="3166371"/>
    <n v="5000"/>
    <n v="3171371"/>
  </r>
  <r>
    <s v="5144-1"/>
    <d v="2016-10-08T00:00:00"/>
    <n v="2016"/>
    <s v="Respati Puspita"/>
    <s v="Gang Pelajar Pejuang No. 95"/>
    <s v="Bandung"/>
    <x v="1"/>
    <s v="E1033"/>
    <s v="Paiman Firgantoro"/>
    <s v="Paiman Firgantoro"/>
    <s v="Critical"/>
    <s v="Smiths Gold Paper Clips"/>
    <x v="0"/>
    <s v="Wrap Bag"/>
    <s v="Regular Air"/>
    <n v="42652"/>
    <n v="27300"/>
    <n v="44700"/>
    <n v="17400"/>
    <n v="3"/>
    <n v="52200"/>
    <n v="0.09"/>
    <n v="4698"/>
    <n v="47502"/>
    <n v="5000"/>
    <n v="52502"/>
  </r>
  <r>
    <s v="5148-1"/>
    <d v="2016-10-11T00:00:00"/>
    <n v="2016"/>
    <s v="Galang Sitompul"/>
    <s v="Gg. Otto Iskandardinata No. 6"/>
    <s v="Jakarta"/>
    <x v="0"/>
    <s v="E1028"/>
    <s v="Gaduh Pratama"/>
    <s v="Gaduh Pratama"/>
    <s v="Medium"/>
    <s v="Economy Binders"/>
    <x v="0"/>
    <s v="Small Box"/>
    <s v="Regular Air"/>
    <n v="42656"/>
    <n v="19950"/>
    <n v="31200"/>
    <n v="11250"/>
    <n v="44"/>
    <n v="495000"/>
    <n v="0.04"/>
    <n v="19800"/>
    <n v="475200"/>
    <n v="15000"/>
    <n v="490200"/>
  </r>
  <r>
    <s v="5150-1"/>
    <d v="2016-10-11T00:00:00"/>
    <n v="2016"/>
    <s v="Kayla Sihombing"/>
    <s v="Jalan Sukabumi No. 509"/>
    <s v="Surabaya"/>
    <x v="3"/>
    <s v="E1030"/>
    <s v="Cinthia Gunawan"/>
    <s v="Cinthia Gunawan"/>
    <s v="Not Specified"/>
    <s v="HFX 6S Scientific Calculator"/>
    <x v="1"/>
    <s v="Medium Box"/>
    <s v="Regular Air"/>
    <n v="42656"/>
    <n v="118800"/>
    <n v="194850"/>
    <n v="76050"/>
    <n v="49"/>
    <n v="3726450"/>
    <n v="7.0000000000000007E-2"/>
    <n v="260851.50000000003"/>
    <n v="3465598.5"/>
    <n v="20000"/>
    <n v="3485598.5"/>
  </r>
  <r>
    <s v="5152-1"/>
    <d v="2016-10-12T00:00:00"/>
    <n v="2016"/>
    <s v="Jumadi Suartini"/>
    <s v="Gang Yos Sudarso No. 13"/>
    <s v="Surabaya"/>
    <x v="3"/>
    <s v="E1039"/>
    <s v="Nabila Prakasa"/>
    <s v="Nabila Prakasa"/>
    <s v="Low"/>
    <s v="Beekin 105-Key Black Keyboard"/>
    <x v="1"/>
    <s v="Small Box"/>
    <s v="Regular Air"/>
    <n v="42659"/>
    <n v="95850"/>
    <n v="299700"/>
    <n v="203850"/>
    <n v="19"/>
    <n v="3873150"/>
    <n v="0.08"/>
    <n v="309852"/>
    <n v="3563298"/>
    <n v="15000"/>
    <n v="3578298"/>
  </r>
  <r>
    <s v="5154-1"/>
    <d v="2016-10-14T00:00:00"/>
    <n v="2016"/>
    <s v="Rachel Pertiwi"/>
    <s v="Jalan Lembong No. 9"/>
    <s v="Surabaya"/>
    <x v="2"/>
    <s v="E1032"/>
    <s v="Violet Mentari"/>
    <s v="Violet Mentari"/>
    <s v="High"/>
    <s v="Laser Neon Mac Format Diskettes, 10/Pack"/>
    <x v="1"/>
    <s v="Small Pack"/>
    <s v="Express Air"/>
    <n v="42658"/>
    <n v="28050"/>
    <n v="121799.99999999999"/>
    <n v="93749.999999999985"/>
    <n v="32"/>
    <n v="2999999.9999999995"/>
    <n v="0.08"/>
    <n v="239999.99999999997"/>
    <n v="2759999.9999999995"/>
    <n v="20000"/>
    <n v="2779999.9999999995"/>
  </r>
  <r>
    <s v="5156-1"/>
    <d v="2016-10-15T00:00:00"/>
    <n v="2016"/>
    <s v="Ellis Wahyudin"/>
    <s v="Gg. Monginsidi No. 3"/>
    <s v="Jakarta"/>
    <x v="0"/>
    <s v="E1029"/>
    <s v="Laras Nuraini"/>
    <s v="Laras Nuraini"/>
    <s v="High"/>
    <s v="Self-Adhesive Removable Labels"/>
    <x v="0"/>
    <s v="Small Box"/>
    <s v="Regular Air"/>
    <n v="42660"/>
    <n v="29700"/>
    <n v="47250"/>
    <n v="17550"/>
    <n v="23"/>
    <n v="403650"/>
    <n v="0.01"/>
    <n v="4036.5"/>
    <n v="399613.5"/>
    <n v="15000"/>
    <n v="414613.5"/>
  </r>
  <r>
    <s v="5158-1"/>
    <d v="2016-10-15T00:00:00"/>
    <n v="2016"/>
    <s v="Praba Widodo"/>
    <s v="Gang Jakarta No. 938"/>
    <s v="Surabaya"/>
    <x v="1"/>
    <s v="E1036"/>
    <s v="Kenari Rajasa"/>
    <s v="Kenari Rajasa"/>
    <s v="Not Specified"/>
    <s v="TypeRight  Top-Opening Peel &amp; Seel Envelopes, Plain White"/>
    <x v="0"/>
    <s v="Small Box"/>
    <s v="Regular Air"/>
    <n v="42660"/>
    <n v="252750.00000000003"/>
    <n v="407700"/>
    <n v="154949.99999999997"/>
    <n v="34"/>
    <n v="5268299.9999999991"/>
    <n v="0.1"/>
    <n v="526829.99999999988"/>
    <n v="4741469.9999999991"/>
    <n v="15000"/>
    <n v="4756469.9999999991"/>
  </r>
  <r>
    <s v="5159-1"/>
    <d v="2016-10-16T00:00:00"/>
    <n v="2016"/>
    <s v="Ibrani Widiastuti"/>
    <s v="Jalan R.E Martadinata No. 6"/>
    <s v="Jakarta"/>
    <x v="3"/>
    <s v="E1029"/>
    <s v="Laras Nuraini"/>
    <s v="Laras Nuraini"/>
    <s v="Critical"/>
    <s v="Smiths Metal Binder Clips"/>
    <x v="0"/>
    <s v="Wrap Bag"/>
    <s v="Regular Air"/>
    <n v="42660"/>
    <n v="24000"/>
    <n v="39300"/>
    <n v="15300"/>
    <n v="21"/>
    <n v="321300"/>
    <n v="0.05"/>
    <n v="16065"/>
    <n v="305235"/>
    <n v="5000"/>
    <n v="310235"/>
  </r>
  <r>
    <s v="5160-1"/>
    <d v="2016-10-17T00:00:00"/>
    <n v="2016"/>
    <s v="Karsa Kuswoyo"/>
    <s v="Gang Gedebage Selatan No. 92"/>
    <s v="Jakarta"/>
    <x v="1"/>
    <s v="E1029"/>
    <s v="Laras Nuraini"/>
    <s v="Laras Nuraini"/>
    <s v="Not Specified"/>
    <s v="1726 Digital Answering Machine"/>
    <x v="1"/>
    <s v="Medium Box"/>
    <s v="Regular Air"/>
    <n v="42662"/>
    <n v="132300"/>
    <n v="314850"/>
    <n v="182550"/>
    <n v="41"/>
    <n v="7484550"/>
    <n v="0.02"/>
    <n v="149691"/>
    <n v="7334859"/>
    <n v="20000"/>
    <n v="7354859"/>
  </r>
  <r>
    <s v="5160-2"/>
    <d v="2016-10-17T00:00:00"/>
    <n v="2016"/>
    <s v="Karsa Kuswoyo"/>
    <s v="Gang Gedebage Selatan No. 92"/>
    <s v="Jakarta"/>
    <x v="1"/>
    <s v="E1029"/>
    <s v="Laras Nuraini"/>
    <s v="Laras Nuraini"/>
    <s v="Not Specified"/>
    <s v="3Max Organizer Strips"/>
    <x v="0"/>
    <s v="Small Box"/>
    <s v="Express Air"/>
    <n v="42662"/>
    <n v="51000"/>
    <n v="81000"/>
    <n v="30000"/>
    <n v="26"/>
    <n v="780000"/>
    <n v="0.05"/>
    <n v="39000"/>
    <n v="741000"/>
    <n v="30000"/>
    <n v="771000"/>
  </r>
  <r>
    <s v="5163-1"/>
    <d v="2016-10-18T00:00:00"/>
    <n v="2016"/>
    <s v="Lantar Yuliarti"/>
    <s v="Jl. Astana Anyar No. 51"/>
    <s v="Surabaya"/>
    <x v="3"/>
    <s v="E1031"/>
    <s v="Bagiya Sihombing"/>
    <s v="Bagiya Sihombing"/>
    <s v="Medium"/>
    <s v="TypeRight  Top-Opening Peel &amp; Seel  Envelopes, Gray"/>
    <x v="0"/>
    <s v="Small Box"/>
    <s v="Regular Air"/>
    <n v="42661"/>
    <n v="323400"/>
    <n v="539100"/>
    <n v="215700"/>
    <n v="28"/>
    <n v="6039600"/>
    <n v="0.01"/>
    <n v="60396"/>
    <n v="5979204"/>
    <n v="15000"/>
    <n v="5994204"/>
  </r>
  <r>
    <s v="5165-1"/>
    <d v="2016-10-22T00:00:00"/>
    <n v="2016"/>
    <s v="Zulaikha Salahudin"/>
    <s v="Gg. Suniaraja No. 21"/>
    <s v="Surabaya"/>
    <x v="1"/>
    <s v="E1031"/>
    <s v="Bagiya Sihombing"/>
    <s v="Bagiya Sihombing"/>
    <s v="Critical"/>
    <s v="Artisan Non-Stick Binders"/>
    <x v="0"/>
    <s v="Small Box"/>
    <s v="Regular Air"/>
    <n v="42665"/>
    <n v="41100"/>
    <n v="67350"/>
    <n v="26250"/>
    <n v="11"/>
    <n v="288750"/>
    <n v="0.08"/>
    <n v="23100"/>
    <n v="265650"/>
    <n v="15000"/>
    <n v="280650"/>
  </r>
  <r>
    <s v="5166-1"/>
    <d v="2016-10-22T00:00:00"/>
    <n v="2016"/>
    <s v="Kenes Nababan"/>
    <s v="Gg. M.H Thamrin No. 784"/>
    <s v="Jakarta"/>
    <x v="1"/>
    <s v="E1029"/>
    <s v="Laras Nuraini"/>
    <s v="Laras Nuraini"/>
    <s v="Not Specified"/>
    <s v="DrawIt Colored Pencils"/>
    <x v="0"/>
    <s v="Wrap Bag"/>
    <s v="Regular Air"/>
    <n v="42668"/>
    <n v="65550"/>
    <n v="136650"/>
    <n v="71100"/>
    <n v="6"/>
    <n v="426600"/>
    <n v="0.04"/>
    <n v="17064"/>
    <n v="409536"/>
    <n v="5000"/>
    <n v="414536"/>
  </r>
  <r>
    <s v="5168-1"/>
    <d v="2016-10-27T00:00:00"/>
    <n v="2016"/>
    <s v="Siska Halim"/>
    <s v="Jl. HOS. Cokroaminoto No. 1"/>
    <s v="Surabaya"/>
    <x v="2"/>
    <s v="E1039"/>
    <s v="Nabila Prakasa"/>
    <s v="Nabila Prakasa"/>
    <s v="Critical"/>
    <s v="Smiths Pen Style Liquid Stix; Assorted (yellow, pink, green, blue, orange), 5/Pack"/>
    <x v="0"/>
    <s v="Wrap Bag"/>
    <s v="Regular Air"/>
    <n v="42671"/>
    <n v="58200"/>
    <n v="97050"/>
    <n v="38850"/>
    <n v="20"/>
    <n v="777000"/>
    <n v="0.02"/>
    <n v="15540"/>
    <n v="761460"/>
    <n v="5000"/>
    <n v="766460"/>
  </r>
  <r>
    <s v="5168-2"/>
    <d v="2016-10-27T00:00:00"/>
    <n v="2016"/>
    <s v="Siska Halim"/>
    <s v="Jl. HOS. Cokroaminoto No. 1"/>
    <s v="Surabaya"/>
    <x v="2"/>
    <s v="E1039"/>
    <s v="Nabila Prakasa"/>
    <s v="Nabila Prakasa"/>
    <s v="Critical"/>
    <s v="Steady Liquid Accent Tank-Style Highlighters"/>
    <x v="0"/>
    <s v="Wrap Bag"/>
    <s v="Regular Air"/>
    <n v="42672"/>
    <n v="19650"/>
    <n v="42600"/>
    <n v="22950"/>
    <n v="39"/>
    <n v="895050"/>
    <n v="7.0000000000000007E-2"/>
    <n v="62653.500000000007"/>
    <n v="832396.5"/>
    <n v="5000"/>
    <n v="837396.5"/>
  </r>
  <r>
    <s v="5171-1"/>
    <d v="2016-10-28T00:00:00"/>
    <n v="2016"/>
    <s v="Marsito Prasetya"/>
    <s v="Gg. Kapten Muslihat No. 5"/>
    <s v="Surabaya"/>
    <x v="0"/>
    <s v="E1034"/>
    <s v="Ophelia Mustofa"/>
    <s v="Ophelia Mustofa"/>
    <s v="Critical"/>
    <s v="Bagged Rubber Bands"/>
    <x v="0"/>
    <s v="Wrap Bag"/>
    <s v="Regular Air"/>
    <n v="42672"/>
    <n v="3600"/>
    <n v="18900"/>
    <n v="15300"/>
    <n v="10"/>
    <n v="153000"/>
    <n v="0.1"/>
    <n v="15300"/>
    <n v="137700"/>
    <n v="5000"/>
    <n v="142700"/>
  </r>
  <r>
    <s v="5173-1"/>
    <d v="2016-10-28T00:00:00"/>
    <n v="2016"/>
    <s v="Padma Nugroho"/>
    <s v="Gg. Monginsidi No. 3"/>
    <s v="Jakarta"/>
    <x v="1"/>
    <s v="E1029"/>
    <s v="Laras Nuraini"/>
    <s v="Laras Nuraini"/>
    <s v="High"/>
    <s v="Wirebound Voice Message Log Book"/>
    <x v="0"/>
    <s v="Wrap Bag"/>
    <s v="Regular Air"/>
    <n v="42671"/>
    <n v="43500"/>
    <n v="71400"/>
    <n v="27900"/>
    <n v="13"/>
    <n v="362700"/>
    <n v="7.0000000000000007E-2"/>
    <n v="25389.000000000004"/>
    <n v="337311"/>
    <n v="5000"/>
    <n v="342311"/>
  </r>
  <r>
    <s v="5174-1"/>
    <d v="2016-10-29T00:00:00"/>
    <n v="2016"/>
    <s v="Kuncara Hasanah"/>
    <s v="Jl. Rumah Sakit No. 738"/>
    <s v="Jakarta"/>
    <x v="2"/>
    <s v="E1028"/>
    <s v="Gaduh Pratama"/>
    <s v="Gaduh Pratama"/>
    <s v="Low"/>
    <s v="UGen Ultra Cordless Optical Suite"/>
    <x v="1"/>
    <s v="Small Box"/>
    <s v="Express Air"/>
    <n v="42672"/>
    <n v="817800"/>
    <n v="1514550"/>
    <n v="696750"/>
    <n v="35"/>
    <n v="24386250"/>
    <n v="0.05"/>
    <n v="1219312.5"/>
    <n v="23166937.5"/>
    <n v="30000"/>
    <n v="23196937.5"/>
  </r>
  <r>
    <s v="5175-1"/>
    <d v="2016-10-30T00:00:00"/>
    <n v="2016"/>
    <s v="Warta Situmorang"/>
    <s v="Gang Jayawijaya No. 91"/>
    <s v="Jakarta"/>
    <x v="0"/>
    <s v="E1028"/>
    <s v="Gaduh Pratama"/>
    <s v="Gaduh Pratama"/>
    <s v="Critical"/>
    <s v="Apex Elite Stainless Steel Scissors"/>
    <x v="0"/>
    <s v="Small Pack"/>
    <s v="Express Air"/>
    <n v="42675"/>
    <n v="51300"/>
    <n v="125100"/>
    <n v="73800"/>
    <n v="15"/>
    <n v="1107000"/>
    <n v="0"/>
    <n v="0"/>
    <n v="1107000"/>
    <n v="20000"/>
    <n v="1127000"/>
  </r>
  <r>
    <s v="5177-1"/>
    <d v="2016-11-01T00:00:00"/>
    <n v="2016"/>
    <s v="Wulan Mustofa"/>
    <s v="Jalan R.E Martadinata No. 6"/>
    <s v="Jakarta"/>
    <x v="3"/>
    <s v="E1029"/>
    <s v="Laras Nuraini"/>
    <s v="Laras Nuraini"/>
    <s v="Critical"/>
    <s v="Artisan Printable Repositionable Plastic Tabs"/>
    <x v="0"/>
    <s v="Small Box"/>
    <s v="Express Air"/>
    <n v="42677"/>
    <n v="79950"/>
    <n v="129000"/>
    <n v="49050"/>
    <n v="23"/>
    <n v="1128150"/>
    <n v="0.02"/>
    <n v="22563"/>
    <n v="1105587"/>
    <n v="30000"/>
    <n v="1135587"/>
  </r>
  <r>
    <s v="5178-1"/>
    <d v="2016-11-02T00:00:00"/>
    <n v="2016"/>
    <s v="Saadat Manullang"/>
    <s v="Gang Monginsidi No. 432"/>
    <s v="Surabaya"/>
    <x v="1"/>
    <s v="E1035"/>
    <s v="Darmanto Laksita"/>
    <s v="Darmanto Laksita"/>
    <s v="High"/>
    <s v="Cando PC940 Copier"/>
    <x v="1"/>
    <s v="Jumbo Drum"/>
    <s v="Delivery Truck"/>
    <n v="42678"/>
    <n v="4184850"/>
    <n v="6749850"/>
    <n v="2565000"/>
    <n v="12"/>
    <n v="30780000"/>
    <n v="0.06"/>
    <n v="1846800"/>
    <n v="28933200"/>
    <n v="500000"/>
    <n v="29433200"/>
  </r>
  <r>
    <s v="5180-1"/>
    <d v="2016-11-03T00:00:00"/>
    <n v="2016"/>
    <s v="Rina Simanjuntak"/>
    <s v="Gg. Suniaraja No. 21"/>
    <s v="Surabaya"/>
    <x v="1"/>
    <s v="E1031"/>
    <s v="Bagiya Sihombing"/>
    <s v="Bagiya Sihombing"/>
    <s v="High"/>
    <s v="Economy Binders"/>
    <x v="0"/>
    <s v="Small Box"/>
    <s v="Express Air"/>
    <n v="42678"/>
    <n v="19950"/>
    <n v="31200"/>
    <n v="11250"/>
    <n v="11"/>
    <n v="123750"/>
    <n v="0.01"/>
    <n v="1237.5"/>
    <n v="122512.5"/>
    <n v="30000"/>
    <n v="152512.5"/>
  </r>
  <r>
    <s v="5181-1"/>
    <d v="2016-11-03T00:00:00"/>
    <n v="2016"/>
    <s v="Ami Utami"/>
    <s v="Jl. S. Parman No. 91"/>
    <s v="Surabaya"/>
    <x v="1"/>
    <s v="E1034"/>
    <s v="Ophelia Mustofa"/>
    <s v="Ophelia Mustofa"/>
    <s v="Low"/>
    <s v="TechSavi Internet Navigator Keyboard"/>
    <x v="1"/>
    <s v="Small Box"/>
    <s v="Regular Air"/>
    <n v="42681"/>
    <n v="97650"/>
    <n v="464700"/>
    <n v="367050"/>
    <n v="29"/>
    <n v="10644450"/>
    <n v="0.03"/>
    <n v="319333.5"/>
    <n v="10325116.5"/>
    <n v="15000"/>
    <n v="10340116.5"/>
  </r>
  <r>
    <s v="5183-1"/>
    <d v="2016-11-04T00:00:00"/>
    <n v="2016"/>
    <s v="Rafi Anggriawan"/>
    <s v="Gg. Stasiun Wonokromo No. 0"/>
    <s v="Jakarta"/>
    <x v="1"/>
    <s v="E1028"/>
    <s v="Gaduh Pratama"/>
    <s v="Gaduh Pratama"/>
    <s v="Not Specified"/>
    <s v="Artisan Hi-Liter Smear-Safe Highlighters"/>
    <x v="0"/>
    <s v="Wrap Bag"/>
    <s v="Regular Air"/>
    <n v="42680"/>
    <n v="44700"/>
    <n v="87600"/>
    <n v="42900"/>
    <n v="11"/>
    <n v="471900"/>
    <n v="0.01"/>
    <n v="4719"/>
    <n v="467181"/>
    <n v="5000"/>
    <n v="472181"/>
  </r>
  <r>
    <s v="5185-1"/>
    <d v="2016-11-05T00:00:00"/>
    <n v="2016"/>
    <s v="Hari Situmorang"/>
    <s v="Jalan Gardujati No. 513"/>
    <s v="Surabaya"/>
    <x v="0"/>
    <s v="E1036"/>
    <s v="Kenari Rajasa"/>
    <s v="Kenari Rajasa"/>
    <s v="Critical"/>
    <s v="Artisan Hanging File Binders"/>
    <x v="0"/>
    <s v="Small Box"/>
    <s v="Regular Air"/>
    <n v="42681"/>
    <n v="54750"/>
    <n v="89700"/>
    <n v="34950"/>
    <n v="14"/>
    <n v="489300"/>
    <n v="0.09"/>
    <n v="44037"/>
    <n v="445263"/>
    <n v="15000"/>
    <n v="460263"/>
  </r>
  <r>
    <s v="5186-1"/>
    <d v="2016-11-07T00:00:00"/>
    <n v="2016"/>
    <s v="Oman Sihombing"/>
    <s v="Jl. Raya Ujungberung No. 121"/>
    <s v="Bandung"/>
    <x v="2"/>
    <s v="E1032"/>
    <s v="Violet Mentari"/>
    <s v="Violet Mentari"/>
    <s v="Low"/>
    <s v="Beekin 6 Outlet Metallic Surge Strip"/>
    <x v="0"/>
    <s v="Small Box"/>
    <s v="Regular Air"/>
    <n v="42686"/>
    <n v="66900"/>
    <n v="163350"/>
    <n v="96450"/>
    <n v="37"/>
    <n v="3568650"/>
    <n v="0.06"/>
    <n v="214119"/>
    <n v="3354531"/>
    <n v="15000"/>
    <n v="3369531"/>
  </r>
  <r>
    <s v="5188-1"/>
    <d v="2016-11-07T00:00:00"/>
    <n v="2016"/>
    <s v="Tira Wibowo"/>
    <s v="Jalan R.E Martadinata No. 6"/>
    <s v="Jakarta"/>
    <x v="1"/>
    <s v="E1029"/>
    <s v="Laras Nuraini"/>
    <s v="Laras Nuraini"/>
    <s v="Low"/>
    <s v="TechSavi Internet Navigator Keyboard"/>
    <x v="1"/>
    <s v="Small Box"/>
    <s v="Regular Air"/>
    <n v="42683"/>
    <n v="97650"/>
    <n v="464700"/>
    <n v="367050"/>
    <n v="8"/>
    <n v="2936400"/>
    <n v="0.01"/>
    <n v="29364"/>
    <n v="2907036"/>
    <n v="15000"/>
    <n v="2922036"/>
  </r>
  <r>
    <s v="5189-1"/>
    <d v="2016-11-08T00:00:00"/>
    <n v="2016"/>
    <s v="Martani Sudiati"/>
    <s v="Jl. BKR No. 46"/>
    <s v="Jakarta"/>
    <x v="3"/>
    <s v="E1028"/>
    <s v="Gaduh Pratama"/>
    <s v="Gaduh Pratama"/>
    <s v="Low"/>
    <s v="Adesso Programmable 142-Key Keyboard"/>
    <x v="1"/>
    <s v="Small Box"/>
    <s v="Regular Air"/>
    <n v="42684"/>
    <n v="594600"/>
    <n v="2287200"/>
    <n v="1692600"/>
    <n v="31"/>
    <n v="52470600"/>
    <n v="7.0000000000000007E-2"/>
    <n v="3672942.0000000005"/>
    <n v="48797658"/>
    <n v="15000"/>
    <n v="48812658"/>
  </r>
  <r>
    <s v="5191-1"/>
    <d v="2016-11-09T00:00:00"/>
    <n v="2016"/>
    <s v="Cengkal Prastuti"/>
    <s v="Gang Setiabudhi No. 1"/>
    <s v="Bandung"/>
    <x v="1"/>
    <s v="E1036"/>
    <s v="Kenari Rajasa"/>
    <s v="Kenari Rajasa"/>
    <s v="Not Specified"/>
    <s v="Fluorescent Highlighters by DrawIt"/>
    <x v="0"/>
    <s v="Wrap Bag"/>
    <s v="Regular Air"/>
    <n v="42685"/>
    <n v="29250"/>
    <n v="59700"/>
    <n v="30450"/>
    <n v="30"/>
    <n v="913500"/>
    <n v="0.1"/>
    <n v="91350"/>
    <n v="822150"/>
    <n v="5000"/>
    <n v="827150"/>
  </r>
  <r>
    <s v="5193-1"/>
    <d v="2016-11-10T00:00:00"/>
    <n v="2016"/>
    <s v="Gabriella Simbolon"/>
    <s v="Jalan Gedebage Selatan No. 048"/>
    <s v="Jakarta"/>
    <x v="3"/>
    <s v="E1029"/>
    <s v="Laras Nuraini"/>
    <s v="Laras Nuraini"/>
    <s v="Not Specified"/>
    <s v="Artisan 481 Labels"/>
    <x v="0"/>
    <s v="Small Box"/>
    <s v="Regular Air"/>
    <n v="42685"/>
    <n v="29100"/>
    <n v="46200"/>
    <n v="17100"/>
    <n v="38"/>
    <n v="649800"/>
    <n v="0.04"/>
    <n v="25992"/>
    <n v="623808"/>
    <n v="15000"/>
    <n v="638808"/>
  </r>
  <r>
    <s v="5194-1"/>
    <d v="2016-11-11T00:00:00"/>
    <n v="2016"/>
    <s v="Ani Anggraini"/>
    <s v="Jalan Kapten Muslihat No. 168"/>
    <s v="Surabaya"/>
    <x v="1"/>
    <s v="E1031"/>
    <s v="Bagiya Sihombing"/>
    <s v="Bagiya Sihombing"/>
    <s v="Not Specified"/>
    <s v="Emerson C82 Color Inkjet Printer"/>
    <x v="1"/>
    <s v="Jumbo Drum"/>
    <s v="Delivery Truck"/>
    <n v="42686"/>
    <n v="1151850"/>
    <n v="1799850"/>
    <n v="648000"/>
    <n v="24"/>
    <n v="15552000"/>
    <n v="0.02"/>
    <n v="311040"/>
    <n v="15240960"/>
    <n v="500000"/>
    <n v="15740960"/>
  </r>
  <r>
    <s v="5195-1"/>
    <d v="2016-11-12T00:00:00"/>
    <n v="2016"/>
    <s v="Bagus Pranowo"/>
    <s v="Jalan Rajawali Barat No. 70"/>
    <s v="Surabaya"/>
    <x v="2"/>
    <s v="E1041"/>
    <s v="Sari Winarno"/>
    <s v="Sari Winarno"/>
    <s v="Medium"/>
    <s v="Artisan Durable Binders"/>
    <x v="0"/>
    <s v="Small Box"/>
    <s v="Regular Air"/>
    <n v="42687"/>
    <n v="27600"/>
    <n v="43200"/>
    <n v="15600"/>
    <n v="11"/>
    <n v="171600"/>
    <n v="0.09"/>
    <n v="15444"/>
    <n v="156156"/>
    <n v="15000"/>
    <n v="171156"/>
  </r>
  <r>
    <s v="5195-2"/>
    <d v="2016-11-12T00:00:00"/>
    <n v="2016"/>
    <s v="Bagus Pranowo"/>
    <s v="Gang Suniaraja No. 67"/>
    <s v="Surabaya"/>
    <x v="2"/>
    <s v="E1041"/>
    <s v="Sari Winarno"/>
    <s v="Sari Winarno"/>
    <s v="Medium"/>
    <s v="Beekin 105-Key Black Keyboard"/>
    <x v="1"/>
    <s v="Small Box"/>
    <s v="Regular Air"/>
    <n v="42688"/>
    <n v="95850"/>
    <n v="299700"/>
    <n v="203850"/>
    <n v="43"/>
    <n v="8765550"/>
    <n v="0.1"/>
    <n v="876555"/>
    <n v="7888995"/>
    <n v="15000"/>
    <n v="7903995"/>
  </r>
  <r>
    <s v="5198-1"/>
    <d v="2016-11-14T00:00:00"/>
    <n v="2016"/>
    <s v="Warsita Megantara"/>
    <s v="Gang Asia Afrika No. 72"/>
    <s v="Surabaya"/>
    <x v="1"/>
    <s v="E1037"/>
    <s v="Puti Nadine Prakasa"/>
    <s v="Puti Nadine Prakasa"/>
    <s v="Not Specified"/>
    <s v="Pizazz Drawing Pencil Set"/>
    <x v="0"/>
    <s v="Wrap Bag"/>
    <s v="Express Air"/>
    <n v="42690"/>
    <n v="22950"/>
    <n v="41700"/>
    <n v="18750"/>
    <n v="40"/>
    <n v="750000"/>
    <n v="0.03"/>
    <n v="22500"/>
    <n v="727500"/>
    <n v="10000"/>
    <n v="737500"/>
  </r>
  <r>
    <s v="5200-1"/>
    <d v="2016-11-18T00:00:00"/>
    <n v="2016"/>
    <s v="Daru Haryanti"/>
    <s v="Jalan Astana Anyar No. 41"/>
    <s v="Jakarta"/>
    <x v="0"/>
    <s v="E1028"/>
    <s v="Gaduh Pratama"/>
    <s v="Gaduh Pratama"/>
    <s v="Critical"/>
    <s v="Artisan Poly Binder Pockets"/>
    <x v="0"/>
    <s v="Small Box"/>
    <s v="Regular Air"/>
    <n v="42694"/>
    <n v="33900"/>
    <n v="53700"/>
    <n v="19800"/>
    <n v="46"/>
    <n v="910800"/>
    <n v="0.06"/>
    <n v="54648"/>
    <n v="856152"/>
    <n v="15000"/>
    <n v="871152"/>
  </r>
  <r>
    <s v="5201-1"/>
    <d v="2016-11-19T00:00:00"/>
    <n v="2016"/>
    <s v="Citra Saputra"/>
    <s v="Jl. K.H. Wahid Hasyim No. 4"/>
    <s v="Jakarta"/>
    <x v="0"/>
    <s v="E1028"/>
    <s v="Gaduh Pratama"/>
    <s v="Gaduh Pratama"/>
    <s v="High"/>
    <s v="Barrel Sharpener"/>
    <x v="0"/>
    <s v="Small Pack"/>
    <s v="Regular Air"/>
    <n v="42695"/>
    <n v="21900"/>
    <n v="53550"/>
    <n v="31650"/>
    <n v="23"/>
    <n v="727950"/>
    <n v="0.09"/>
    <n v="65515.5"/>
    <n v="662434.5"/>
    <n v="10000"/>
    <n v="672434.5"/>
  </r>
  <r>
    <s v="5202-1"/>
    <d v="2016-11-20T00:00:00"/>
    <n v="2016"/>
    <s v="Ismail Uwais"/>
    <s v="Gg. Siliwangi No. 82"/>
    <s v="Surabaya"/>
    <x v="0"/>
    <s v="E1036"/>
    <s v="Kenari Rajasa"/>
    <s v="Kenari Rajasa"/>
    <s v="Not Specified"/>
    <s v="TechSavi Internet Navigator Keyboard"/>
    <x v="1"/>
    <s v="Small Box"/>
    <s v="Express Air"/>
    <n v="42695"/>
    <n v="97650"/>
    <n v="464700"/>
    <n v="367050"/>
    <n v="44"/>
    <n v="16150200"/>
    <n v="0.02"/>
    <n v="323004"/>
    <n v="15827196"/>
    <n v="30000"/>
    <n v="15857196"/>
  </r>
  <r>
    <s v="5204-1"/>
    <d v="2016-11-21T00:00:00"/>
    <n v="2016"/>
    <s v="Wardi Rahayu"/>
    <s v="Jalan Raya Ujungberung No. 5"/>
    <s v="Surabaya"/>
    <x v="0"/>
    <s v="E1037"/>
    <s v="Puti Nadine Prakasa"/>
    <s v="Puti Nadine Prakasa"/>
    <s v="Not Specified"/>
    <s v="Binding Machine Supplies"/>
    <x v="0"/>
    <s v="Small Box"/>
    <s v="Regular Air"/>
    <n v="42696"/>
    <n v="275700"/>
    <n v="437550"/>
    <n v="161850"/>
    <n v="8"/>
    <n v="1294800"/>
    <n v="0.02"/>
    <n v="25896"/>
    <n v="1268904"/>
    <n v="15000"/>
    <n v="1283904"/>
  </r>
  <r>
    <s v="5206-1"/>
    <d v="2016-11-21T00:00:00"/>
    <n v="2016"/>
    <s v="Ajiman Mandasari"/>
    <s v="Jl. Rumah Sakit No. 738"/>
    <s v="Jakarta"/>
    <x v="3"/>
    <s v="E1028"/>
    <s v="Gaduh Pratama"/>
    <s v="Gaduh Pratama"/>
    <s v="Low"/>
    <s v="Cando PC940 Copier"/>
    <x v="1"/>
    <s v="Large Box"/>
    <s v="Regular Air"/>
    <n v="42699"/>
    <n v="3240000"/>
    <n v="6749850"/>
    <n v="3509850"/>
    <n v="40"/>
    <n v="140394000"/>
    <n v="0.04"/>
    <n v="5615760"/>
    <n v="134778240"/>
    <n v="50000"/>
    <n v="134828240"/>
  </r>
  <r>
    <s v="5207-1"/>
    <d v="2016-11-21T00:00:00"/>
    <n v="2016"/>
    <s v="Limar Usamah"/>
    <s v="Jl. S. Parman No. 38"/>
    <s v="Surabaya"/>
    <x v="1"/>
    <s v="E1033"/>
    <s v="Paiman Firgantoro"/>
    <s v="Paiman Firgantoro"/>
    <s v="Low"/>
    <s v="Cando S750 Color Inkjet Printer"/>
    <x v="1"/>
    <s v="Jumbo Drum"/>
    <s v="Delivery Truck"/>
    <n v="42702"/>
    <n v="1125000"/>
    <n v="1814550"/>
    <n v="689550"/>
    <n v="35"/>
    <n v="24134250"/>
    <n v="0.08"/>
    <n v="1930740"/>
    <n v="22203510"/>
    <n v="500000"/>
    <n v="22703510"/>
  </r>
  <r>
    <s v="5208-1"/>
    <d v="2016-11-22T00:00:00"/>
    <n v="2016"/>
    <s v="Puji Haryanto"/>
    <s v="Jalan Gedebage Selatan No. 048"/>
    <s v="Jakarta"/>
    <x v="2"/>
    <s v="E1029"/>
    <s v="Laras Nuraini"/>
    <s v="Laras Nuraini"/>
    <s v="High"/>
    <s v="Binder Posts"/>
    <x v="0"/>
    <s v="Small Box"/>
    <s v="Regular Air"/>
    <n v="42698"/>
    <n v="52500"/>
    <n v="86100"/>
    <n v="33600"/>
    <n v="50"/>
    <n v="1680000"/>
    <n v="0.1"/>
    <n v="168000"/>
    <n v="1512000"/>
    <n v="15000"/>
    <n v="1527000"/>
  </r>
  <r>
    <s v="5209-1"/>
    <d v="2016-11-23T00:00:00"/>
    <n v="2016"/>
    <s v="Tiara Halim"/>
    <s v="Jl. BKR No. 46"/>
    <s v="Jakarta"/>
    <x v="1"/>
    <s v="E1028"/>
    <s v="Gaduh Pratama"/>
    <s v="Gaduh Pratama"/>
    <s v="Low"/>
    <s v="Binder Clips by OIC"/>
    <x v="0"/>
    <s v="Wrap Bag"/>
    <s v="Regular Air"/>
    <n v="42699"/>
    <n v="13950"/>
    <n v="22200"/>
    <n v="8250"/>
    <n v="19"/>
    <n v="156750"/>
    <n v="0.09"/>
    <n v="14107.5"/>
    <n v="142642.5"/>
    <n v="5000"/>
    <n v="147642.5"/>
  </r>
  <r>
    <s v="5211-1"/>
    <d v="2016-11-24T00:00:00"/>
    <n v="2016"/>
    <s v="Hana Hastuti"/>
    <s v="Jalan Jamika No. 4"/>
    <s v="Surabaya"/>
    <x v="3"/>
    <s v="E1033"/>
    <s v="Paiman Firgantoro"/>
    <s v="Paiman Firgantoro"/>
    <s v="High"/>
    <s v="Economy Rollaway Files"/>
    <x v="0"/>
    <s v="Small Box"/>
    <s v="Express Air"/>
    <n v="42700"/>
    <n v="1015950.0000000001"/>
    <n v="2478000"/>
    <n v="1462050"/>
    <n v="37"/>
    <n v="54095850"/>
    <n v="0.04"/>
    <n v="2163834"/>
    <n v="51932016"/>
    <n v="30000"/>
    <n v="51962016"/>
  </r>
  <r>
    <s v="5212-1"/>
    <d v="2016-11-26T00:00:00"/>
    <n v="2016"/>
    <s v="Aris Ardianto"/>
    <s v="Gg. Suniaraja No. 21"/>
    <s v="Surabaya"/>
    <x v="1"/>
    <s v="E1031"/>
    <s v="Bagiya Sihombing"/>
    <s v="Bagiya Sihombing"/>
    <s v="Low"/>
    <s v="Self-Adhesive Ring Binder Labels"/>
    <x v="0"/>
    <s v="Small Box"/>
    <s v="Regular Air"/>
    <n v="42709"/>
    <n v="32700.000000000004"/>
    <n v="52800"/>
    <n v="20099.999999999996"/>
    <n v="12"/>
    <n v="241199.99999999994"/>
    <n v="0.04"/>
    <n v="9647.9999999999982"/>
    <n v="231551.99999999994"/>
    <n v="15000"/>
    <n v="246551.99999999994"/>
  </r>
  <r>
    <s v="5213-1"/>
    <d v="2016-11-27T00:00:00"/>
    <n v="2016"/>
    <s v="Limar Usamah"/>
    <s v="Jl. S. Parman No. 38"/>
    <s v="Surabaya"/>
    <x v="1"/>
    <s v="E1033"/>
    <s v="Paiman Firgantoro"/>
    <s v="Paiman Firgantoro"/>
    <s v="High"/>
    <s v="Steady Liquid Accent Tank-Style Highlighters"/>
    <x v="0"/>
    <s v="Wrap Bag"/>
    <s v="Express Air"/>
    <n v="42702"/>
    <n v="19650"/>
    <n v="42600"/>
    <n v="22950"/>
    <n v="13"/>
    <n v="298350"/>
    <n v="0.01"/>
    <n v="2983.5"/>
    <n v="295366.5"/>
    <n v="10000"/>
    <n v="305366.5"/>
  </r>
  <r>
    <s v="5214-1"/>
    <d v="2016-11-29T00:00:00"/>
    <n v="2016"/>
    <s v="Karta Purnawati"/>
    <s v="Jl. Sukabumi No. 44"/>
    <s v="Bandung"/>
    <x v="1"/>
    <s v="E1036"/>
    <s v="Kenari Rajasa"/>
    <s v="Kenari Rajasa"/>
    <s v="Not Specified"/>
    <s v="EcoTones Memo Sheets"/>
    <x v="0"/>
    <s v="Wrap Bag"/>
    <s v="Regular Air"/>
    <n v="42703"/>
    <n v="37800"/>
    <n v="60000"/>
    <n v="22200"/>
    <n v="41"/>
    <n v="910200"/>
    <n v="0.02"/>
    <n v="18204"/>
    <n v="891996"/>
    <n v="5000"/>
    <n v="896996"/>
  </r>
  <r>
    <s v="5215-1"/>
    <d v="2016-12-02T00:00:00"/>
    <n v="2016"/>
    <s v="Siska Utami"/>
    <s v="Gang Otto Iskandardinata No. 167"/>
    <s v="Surabaya"/>
    <x v="0"/>
    <s v="E1037"/>
    <s v="Puti Nadine Prakasa"/>
    <s v="Puti Nadine Prakasa"/>
    <s v="High"/>
    <s v="3Max Polarizing Task Lamp with Clamp Arm, Light Gray"/>
    <x v="2"/>
    <s v="Large Box"/>
    <s v="Express Air"/>
    <n v="42708"/>
    <n v="842400"/>
    <n v="2054699.9999999998"/>
    <n v="1212299.9999999998"/>
    <n v="41"/>
    <n v="49704299.999999993"/>
    <n v="0.04"/>
    <n v="1988171.9999999998"/>
    <n v="47716127.999999993"/>
    <n v="100000"/>
    <n v="47816127.999999993"/>
  </r>
  <r>
    <s v="5216-1"/>
    <d v="2016-12-02T00:00:00"/>
    <n v="2016"/>
    <s v="Xanana Padmasari"/>
    <s v="Gang Jakarta No. 938"/>
    <s v="Surabaya"/>
    <x v="3"/>
    <s v="E1036"/>
    <s v="Kenari Rajasa"/>
    <s v="Kenari Rajasa"/>
    <s v="Low"/>
    <s v="Steady Liquid Accent Highlighters"/>
    <x v="0"/>
    <s v="Wrap Bag"/>
    <s v="Regular Air"/>
    <n v="42708"/>
    <n v="52050"/>
    <n v="100200"/>
    <n v="48150"/>
    <n v="5"/>
    <n v="240750"/>
    <n v="0.09"/>
    <n v="21667.5"/>
    <n v="219082.5"/>
    <n v="5000"/>
    <n v="224082.5"/>
  </r>
  <r>
    <s v="5218-1"/>
    <d v="2016-12-04T00:00:00"/>
    <n v="2016"/>
    <s v="Latika Namaga"/>
    <s v="Jl. Medokan Ayu No. 7"/>
    <s v="Surabaya"/>
    <x v="3"/>
    <s v="E1038"/>
    <s v="Clara Prasetyo"/>
    <s v="Clara Prasetyo"/>
    <s v="Low"/>
    <s v="Economy Rollaway Files"/>
    <x v="0"/>
    <s v="Small Box"/>
    <s v="Regular Air"/>
    <n v="42710"/>
    <n v="1015950.0000000001"/>
    <n v="2478000"/>
    <n v="1462050"/>
    <n v="23"/>
    <n v="33627150"/>
    <n v="7.0000000000000007E-2"/>
    <n v="2353900.5"/>
    <n v="31273249.5"/>
    <n v="15000"/>
    <n v="31288249.5"/>
  </r>
  <r>
    <s v="5220-1"/>
    <d v="2016-12-06T00:00:00"/>
    <n v="2016"/>
    <s v="Empluk Marbun"/>
    <s v="Gang Gedebage Selatan No. 424"/>
    <s v="Surabaya"/>
    <x v="0"/>
    <s v="E1033"/>
    <s v="Paiman Firgantoro"/>
    <s v="Paiman Firgantoro"/>
    <s v="Not Specified"/>
    <s v="Apex Straight Scissors"/>
    <x v="0"/>
    <s v="Small Pack"/>
    <s v="Regular Air"/>
    <n v="42713"/>
    <n v="77850"/>
    <n v="194700"/>
    <n v="116850"/>
    <n v="45"/>
    <n v="5258250"/>
    <n v="0.02"/>
    <n v="105165"/>
    <n v="5153085"/>
    <n v="10000"/>
    <n v="5163085"/>
  </r>
  <r>
    <s v="5221-1"/>
    <d v="2016-12-07T00:00:00"/>
    <n v="2016"/>
    <s v="Rangga Hutasoit"/>
    <s v="Jl. S. Parman No. 91"/>
    <s v="Surabaya"/>
    <x v="0"/>
    <s v="E1034"/>
    <s v="Ophelia Mustofa"/>
    <s v="Ophelia Mustofa"/>
    <s v="Not Specified"/>
    <s v="Smiths General Use 3-Ring Binders"/>
    <x v="0"/>
    <s v="Small Box"/>
    <s v="Regular Air"/>
    <n v="42712"/>
    <n v="17700"/>
    <n v="28200"/>
    <n v="10500"/>
    <n v="42"/>
    <n v="441000"/>
    <n v="0"/>
    <n v="0"/>
    <n v="441000"/>
    <n v="15000"/>
    <n v="456000"/>
  </r>
  <r>
    <s v="5222-1"/>
    <d v="2016-12-07T00:00:00"/>
    <n v="2016"/>
    <s v="Nugraha Nurdiyanti"/>
    <s v="Gang Dipatiukur No. 9"/>
    <s v="Surabaya"/>
    <x v="3"/>
    <s v="E1033"/>
    <s v="Paiman Firgantoro"/>
    <s v="Paiman Firgantoro"/>
    <s v="Medium"/>
    <s v="Smiths Standard Envelopes"/>
    <x v="0"/>
    <s v="Small Box"/>
    <s v="Regular Air"/>
    <n v="42712"/>
    <n v="52800"/>
    <n v="85200"/>
    <n v="32400"/>
    <n v="32"/>
    <n v="1036800"/>
    <n v="0.05"/>
    <n v="51840"/>
    <n v="984960"/>
    <n v="15000"/>
    <n v="999960"/>
  </r>
  <r>
    <s v="5224-1"/>
    <d v="2016-12-10T00:00:00"/>
    <n v="2016"/>
    <s v="Intan Oktaviani"/>
    <s v="Gang Otto Iskandardinata No. 167"/>
    <s v="Surabaya"/>
    <x v="2"/>
    <s v="E1037"/>
    <s v="Puti Nadine Prakasa"/>
    <s v="Puti Nadine Prakasa"/>
    <s v="Not Specified"/>
    <s v="Artisan 481 Labels"/>
    <x v="0"/>
    <s v="Small Box"/>
    <s v="Regular Air"/>
    <n v="42715"/>
    <n v="29100"/>
    <n v="46200"/>
    <n v="17100"/>
    <n v="45"/>
    <n v="769500"/>
    <n v="0.04"/>
    <n v="30780"/>
    <n v="738720"/>
    <n v="15000"/>
    <n v="753720"/>
  </r>
  <r>
    <s v="5225-1"/>
    <d v="2016-12-11T00:00:00"/>
    <n v="2016"/>
    <s v="Nugraha Nurdiyanti"/>
    <s v="Gang Dipatiukur No. 9"/>
    <s v="Surabaya"/>
    <x v="2"/>
    <s v="E1033"/>
    <s v="Paiman Firgantoro"/>
    <s v="Paiman Firgantoro"/>
    <s v="Not Specified"/>
    <s v="Artisan Premier Heavy-Duty Binder with Round Locking Rings"/>
    <x v="0"/>
    <s v="Small Box"/>
    <s v="Regular Air"/>
    <n v="42716"/>
    <n v="130650.00000000001"/>
    <n v="214200"/>
    <n v="83549.999999999985"/>
    <n v="8"/>
    <n v="668399.99999999988"/>
    <n v="0.01"/>
    <n v="6683.9999999999991"/>
    <n v="661715.99999999988"/>
    <n v="15000"/>
    <n v="676715.99999999988"/>
  </r>
  <r>
    <s v="5226-1"/>
    <d v="2016-12-11T00:00:00"/>
    <n v="2016"/>
    <s v="Padma Adriansyah"/>
    <s v="Gang Otto Iskandardinata No. 167"/>
    <s v="Surabaya"/>
    <x v="0"/>
    <s v="E1037"/>
    <s v="Puti Nadine Prakasa"/>
    <s v="Puti Nadine Prakasa"/>
    <s v="Low"/>
    <s v="TechSavi Cordless Elite Duo"/>
    <x v="1"/>
    <s v="Small Box"/>
    <s v="Regular Air"/>
    <n v="42720"/>
    <n v="908850"/>
    <n v="1514700"/>
    <n v="605850"/>
    <n v="12"/>
    <n v="7270200"/>
    <n v="0.04"/>
    <n v="290808"/>
    <n v="6979392"/>
    <n v="15000"/>
    <n v="6994392"/>
  </r>
  <r>
    <s v="5227-1"/>
    <d v="2016-12-12T00:00:00"/>
    <n v="2016"/>
    <s v="Padma Adriansyah"/>
    <s v="Gang Otto Iskandardinata No. 167"/>
    <s v="Surabaya"/>
    <x v="0"/>
    <s v="E1037"/>
    <s v="Puti Nadine Prakasa"/>
    <s v="Puti Nadine Prakasa"/>
    <s v="Medium"/>
    <s v="Artisan Binder Labels"/>
    <x v="0"/>
    <s v="Small Box"/>
    <s v="Express Air"/>
    <n v="42718"/>
    <n v="36750"/>
    <n v="58350"/>
    <n v="21600"/>
    <n v="32"/>
    <n v="691200"/>
    <n v="0.09"/>
    <n v="62208"/>
    <n v="628992"/>
    <n v="30000"/>
    <n v="658992"/>
  </r>
  <r>
    <s v="5229-1"/>
    <d v="2016-12-14T00:00:00"/>
    <n v="2016"/>
    <s v="Hendri Fujiati"/>
    <s v="Jl. Raya Ujungberung No. 86"/>
    <s v="Bandung"/>
    <x v="0"/>
    <s v="E1041"/>
    <s v="Sari Winarno"/>
    <s v="Sari Winarno"/>
    <s v="Critical"/>
    <s v="Smiths General Use 3-Ring Binders"/>
    <x v="0"/>
    <s v="Small Box"/>
    <s v="Regular Air"/>
    <n v="42719"/>
    <n v="17700"/>
    <n v="28200"/>
    <n v="10500"/>
    <n v="43"/>
    <n v="451500"/>
    <n v="0.03"/>
    <n v="13545"/>
    <n v="437955"/>
    <n v="15000"/>
    <n v="452955"/>
  </r>
  <r>
    <s v="5231-1"/>
    <d v="2016-12-15T00:00:00"/>
    <n v="2016"/>
    <s v="Purwanto Pratama"/>
    <s v="Gang R.E Martadinata No. 16"/>
    <s v="Surabaya"/>
    <x v="1"/>
    <s v="E1032"/>
    <s v="Violet Mentari"/>
    <s v="Violet Mentari"/>
    <s v="High"/>
    <s v="Beekin 6 Outlet Metallic Surge Strip"/>
    <x v="0"/>
    <s v="Small Box"/>
    <s v="Regular Air"/>
    <n v="42720"/>
    <n v="66900"/>
    <n v="163350"/>
    <n v="96450"/>
    <n v="9"/>
    <n v="868050"/>
    <n v="0.03"/>
    <n v="26041.5"/>
    <n v="842008.5"/>
    <n v="15000"/>
    <n v="857008.5"/>
  </r>
  <r>
    <s v="5232-1"/>
    <d v="2016-12-16T00:00:00"/>
    <n v="2016"/>
    <s v="Padma Nugroho"/>
    <s v="Gg. Monginsidi No. 3"/>
    <s v="Jakarta"/>
    <x v="1"/>
    <s v="E1029"/>
    <s v="Laras Nuraini"/>
    <s v="Laras Nuraini"/>
    <s v="Low"/>
    <s v="Barrel Sharpener"/>
    <x v="0"/>
    <s v="Small Pack"/>
    <s v="Regular Air"/>
    <n v="42722"/>
    <n v="21900"/>
    <n v="53550"/>
    <n v="31650"/>
    <n v="26"/>
    <n v="822900"/>
    <n v="0.04"/>
    <n v="32916"/>
    <n v="789984"/>
    <n v="10000"/>
    <n v="799984"/>
  </r>
  <r>
    <s v="5234-1"/>
    <d v="2016-12-17T00:00:00"/>
    <n v="2016"/>
    <s v="Baktianto Halim"/>
    <s v="Jl. Antapani Lama No. 705"/>
    <s v="Jakarta"/>
    <x v="3"/>
    <s v="E1028"/>
    <s v="Gaduh Pratama"/>
    <s v="Gaduh Pratama"/>
    <s v="Not Specified"/>
    <s v="Alto Memo Cubes"/>
    <x v="0"/>
    <s v="Wrap Bag"/>
    <s v="Express Air"/>
    <n v="42723"/>
    <n v="49800"/>
    <n v="77700"/>
    <n v="27900"/>
    <n v="37"/>
    <n v="1032300"/>
    <n v="7.0000000000000007E-2"/>
    <n v="72261"/>
    <n v="960039"/>
    <n v="10000"/>
    <n v="970039"/>
  </r>
  <r>
    <s v="5235-1"/>
    <d v="2016-12-17T00:00:00"/>
    <n v="2016"/>
    <s v="Kalim Simanjuntak"/>
    <s v="Jalan Cikapayang No. 311"/>
    <s v="Surabaya"/>
    <x v="1"/>
    <s v="E1031"/>
    <s v="Bagiya Sihombing"/>
    <s v="Bagiya Sihombing"/>
    <s v="Low"/>
    <s v="Artisan 48 Labels"/>
    <x v="0"/>
    <s v="Small Box"/>
    <s v="Regular Air"/>
    <n v="42726"/>
    <n v="57600"/>
    <n v="94500"/>
    <n v="36900"/>
    <n v="39"/>
    <n v="1439100"/>
    <n v="0.1"/>
    <n v="143910"/>
    <n v="1295190"/>
    <n v="15000"/>
    <n v="1310190"/>
  </r>
  <r>
    <s v="5236-1"/>
    <d v="2016-12-22T00:00:00"/>
    <n v="2016"/>
    <s v="Latif Nasyiah"/>
    <s v="Jalan Ciwastra No. 383"/>
    <s v="Surabaya"/>
    <x v="1"/>
    <s v="E1032"/>
    <s v="Violet Mentari"/>
    <s v="Violet Mentari"/>
    <s v="Not Specified"/>
    <s v="Artisan 481 Labels"/>
    <x v="0"/>
    <s v="Small Box"/>
    <s v="Regular Air"/>
    <n v="42727"/>
    <n v="29100"/>
    <n v="46200"/>
    <n v="17100"/>
    <n v="24"/>
    <n v="410400"/>
    <n v="0.04"/>
    <n v="16416"/>
    <n v="393984"/>
    <n v="15000"/>
    <n v="408984"/>
  </r>
  <r>
    <s v="5238-1"/>
    <d v="2016-12-23T00:00:00"/>
    <n v="2016"/>
    <s v="Yance Anggraini"/>
    <s v="Jl. Erlangga No. 7"/>
    <s v="Surabaya"/>
    <x v="1"/>
    <s v="E1033"/>
    <s v="Paiman Firgantoro"/>
    <s v="Paiman Firgantoro"/>
    <s v="Not Specified"/>
    <s v="Artisan Hi-Liter Fluorescent Desk Style Markers"/>
    <x v="0"/>
    <s v="Wrap Bag"/>
    <s v="Regular Air"/>
    <n v="42729"/>
    <n v="26400"/>
    <n v="50700"/>
    <n v="24300"/>
    <n v="27"/>
    <n v="656100"/>
    <n v="0.08"/>
    <n v="52488"/>
    <n v="603612"/>
    <n v="5000"/>
    <n v="608612"/>
  </r>
  <r>
    <s v="5239-1"/>
    <d v="2016-12-25T00:00:00"/>
    <n v="2016"/>
    <s v="Anita Siregar"/>
    <s v="Jalan Pasteur No. 217"/>
    <s v="Surabaya"/>
    <x v="3"/>
    <s v="E1031"/>
    <s v="Bagiya Sihombing"/>
    <s v="Bagiya Sihombing"/>
    <s v="Critical"/>
    <s v="Beekin 6 Outlet Metallic Surge Strip"/>
    <x v="0"/>
    <s v="Small Box"/>
    <s v="Regular Air"/>
    <n v="42731"/>
    <n v="66900"/>
    <n v="163350"/>
    <n v="96450"/>
    <n v="37"/>
    <n v="3568650"/>
    <n v="0.1"/>
    <n v="356865"/>
    <n v="3211785"/>
    <n v="15000"/>
    <n v="3226785"/>
  </r>
  <r>
    <s v="5240-1"/>
    <d v="2016-12-25T00:00:00"/>
    <n v="2016"/>
    <s v="Ikin Januar"/>
    <s v="Jl. Gardujati No. 82"/>
    <s v="Surabaya"/>
    <x v="2"/>
    <s v="E1037"/>
    <s v="Puti Nadine Prakasa"/>
    <s v="Puti Nadine Prakasa"/>
    <s v="Not Specified"/>
    <s v="Security-Tint Envelopes"/>
    <x v="0"/>
    <s v="Small Box"/>
    <s v="Regular Air"/>
    <n v="42732"/>
    <n v="73350"/>
    <n v="114600"/>
    <n v="41250"/>
    <n v="44"/>
    <n v="1815000"/>
    <n v="0.01"/>
    <n v="18150"/>
    <n v="1796850"/>
    <n v="15000"/>
    <n v="1811850"/>
  </r>
  <r>
    <s v="5241-1"/>
    <d v="2016-12-25T00:00:00"/>
    <n v="2016"/>
    <s v="Caraka Nasyiah"/>
    <s v="Jalan Lembong No. 9"/>
    <s v="Surabaya"/>
    <x v="1"/>
    <s v="E1032"/>
    <s v="Violet Mentari"/>
    <s v="Violet Mentari"/>
    <s v="Medium"/>
    <s v="TechSavi Cordless Navigator Duo"/>
    <x v="1"/>
    <s v="Small Box"/>
    <s v="Regular Air"/>
    <n v="42731"/>
    <n v="631650"/>
    <n v="1214700"/>
    <n v="583050"/>
    <n v="34"/>
    <n v="19823700"/>
    <n v="7.0000000000000007E-2"/>
    <n v="1387659.0000000002"/>
    <n v="18436041"/>
    <n v="15000"/>
    <n v="18451041"/>
  </r>
  <r>
    <s v="5242-1"/>
    <d v="2016-12-27T00:00:00"/>
    <n v="2016"/>
    <s v="Bahuwarna Winarsih"/>
    <s v="Jl. Pasir Koja No. 08"/>
    <s v="Bandung"/>
    <x v="0"/>
    <s v="E1041"/>
    <s v="Sari Winarno"/>
    <s v="Sari Winarno"/>
    <s v="Low"/>
    <s v="Apex Preferred Stainless Steel Scissors"/>
    <x v="0"/>
    <s v="Small Pack"/>
    <s v="Express Air"/>
    <n v="42735"/>
    <n v="37500"/>
    <n v="85200"/>
    <n v="47700"/>
    <n v="46"/>
    <n v="2194200"/>
    <n v="0.1"/>
    <n v="219420"/>
    <n v="1974780"/>
    <n v="20000"/>
    <n v="1994780"/>
  </r>
  <r>
    <s v="5244-1"/>
    <d v="2016-12-30T00:00:00"/>
    <n v="2016"/>
    <s v="Cindy Dongoran"/>
    <s v="Jalan Jend. A. Yani No. 48"/>
    <s v="Surabaya"/>
    <x v="1"/>
    <s v="E1036"/>
    <s v="Kenari Rajasa"/>
    <s v="Kenari Rajasa"/>
    <s v="High"/>
    <s v="Binder Posts"/>
    <x v="0"/>
    <s v="Small Box"/>
    <s v="Regular Air"/>
    <n v="42736"/>
    <n v="52500"/>
    <n v="86100"/>
    <n v="33600"/>
    <n v="3"/>
    <n v="100800"/>
    <n v="0.08"/>
    <n v="8064"/>
    <n v="92736"/>
    <n v="15000"/>
    <n v="107736"/>
  </r>
  <r>
    <s v="5246-1"/>
    <d v="2016-12-31T00:00:00"/>
    <n v="2016"/>
    <s v="Dadi Anggraini"/>
    <s v="Jalan K.H. Wahid Hasyim No. 5"/>
    <s v="Surabaya"/>
    <x v="0"/>
    <s v="E1030"/>
    <s v="Cinthia Gunawan"/>
    <s v="Cinthia Gunawan"/>
    <s v="Low"/>
    <s v="Artisan Flip-Chart Easel Binder, Black"/>
    <x v="0"/>
    <s v="Small Box"/>
    <s v="Express Air"/>
    <n v="42742"/>
    <n v="208200"/>
    <n v="335700"/>
    <n v="127500"/>
    <n v="16"/>
    <n v="2040000"/>
    <n v="0"/>
    <n v="0"/>
    <n v="2040000"/>
    <n v="30000"/>
    <n v="2070000"/>
  </r>
  <r>
    <s v="5247-1"/>
    <d v="2017-01-02T00:00:00"/>
    <n v="2017"/>
    <s v="Galang Namaga"/>
    <s v="Gang H.J Maemunah No. 6"/>
    <s v="Surabaya"/>
    <x v="1"/>
    <s v="E1040"/>
    <s v="Sutan Tirtayasa Wasita"/>
    <s v="Sutan Tirtayasa Wasita"/>
    <s v="High"/>
    <s v="Artisan Arch Ring Binders"/>
    <x v="0"/>
    <s v="Small Box"/>
    <s v="Regular Air"/>
    <n v="42738"/>
    <n v="540300"/>
    <n v="871500"/>
    <n v="331200"/>
    <n v="7"/>
    <n v="2318400"/>
    <n v="0.1"/>
    <n v="231840"/>
    <n v="2086560"/>
    <n v="15000"/>
    <n v="2101560"/>
  </r>
  <r>
    <s v="5248-1"/>
    <d v="2017-01-04T00:00:00"/>
    <n v="2017"/>
    <s v="Naradi Handayani"/>
    <s v="Gang Asia Afrika No. 96"/>
    <s v="Surabaya"/>
    <x v="0"/>
    <s v="E1036"/>
    <s v="Kenari Rajasa"/>
    <s v="Kenari Rajasa"/>
    <s v="Critical"/>
    <s v="Office Shears by Apex"/>
    <x v="0"/>
    <s v="Small Pack"/>
    <s v="Regular Air"/>
    <n v="42741"/>
    <n v="14100"/>
    <n v="31200"/>
    <n v="17100"/>
    <n v="43"/>
    <n v="735300"/>
    <n v="0.05"/>
    <n v="36765"/>
    <n v="698535"/>
    <n v="10000"/>
    <n v="708535"/>
  </r>
  <r>
    <s v="5250-1"/>
    <d v="2017-01-05T00:00:00"/>
    <n v="2017"/>
    <s v="Almira Suryono"/>
    <s v="Gg. Moch. Toha No. 0"/>
    <s v="Surabaya"/>
    <x v="2"/>
    <s v="E1035"/>
    <s v="Darmanto Laksita"/>
    <s v="Darmanto Laksita"/>
    <s v="Low"/>
    <s v="210 Trimline Phone, White"/>
    <x v="1"/>
    <s v="Medium Box"/>
    <s v="Regular Air"/>
    <n v="42747"/>
    <n v="148650"/>
    <n v="239850"/>
    <n v="91200"/>
    <n v="27"/>
    <n v="2462400"/>
    <n v="0.01"/>
    <n v="24624"/>
    <n v="2437776"/>
    <n v="20000"/>
    <n v="2457776"/>
  </r>
  <r>
    <s v="5251-1"/>
    <d v="2017-01-08T00:00:00"/>
    <n v="2017"/>
    <s v="Luhung Padmasari"/>
    <s v="Jl. Pelajar Pejuang No. 25"/>
    <s v="Bandung"/>
    <x v="0"/>
    <s v="E1036"/>
    <s v="Kenari Rajasa"/>
    <s v="Kenari Rajasa"/>
    <s v="Medium"/>
    <s v="Alto Memo Cubes"/>
    <x v="0"/>
    <s v="Wrap Bag"/>
    <s v="Regular Air"/>
    <n v="42745"/>
    <n v="49800"/>
    <n v="77700"/>
    <n v="27900"/>
    <n v="23"/>
    <n v="641700"/>
    <n v="0.05"/>
    <n v="32085"/>
    <n v="609615"/>
    <n v="5000"/>
    <n v="614615"/>
  </r>
  <r>
    <s v="5253-1"/>
    <d v="2017-01-08T00:00:00"/>
    <n v="2017"/>
    <s v="Halim Jailani"/>
    <s v="Gg. Monginsidi No. 3"/>
    <s v="Jakarta"/>
    <x v="0"/>
    <s v="E1029"/>
    <s v="Laras Nuraini"/>
    <s v="Laras Nuraini"/>
    <s v="High"/>
    <s v="Multi-Use Personal File Cart and Caster Set, Three Stacking Bins"/>
    <x v="0"/>
    <s v="Small Box"/>
    <s v="Regular Air"/>
    <n v="42745"/>
    <n v="224250"/>
    <n v="521399.99999999994"/>
    <n v="297149.99999999994"/>
    <n v="15"/>
    <n v="4457249.9999999991"/>
    <n v="0.09"/>
    <n v="401152.49999999988"/>
    <n v="4056097.4999999991"/>
    <n v="15000"/>
    <n v="4071097.4999999991"/>
  </r>
  <r>
    <s v="5254-1"/>
    <d v="2017-01-09T00:00:00"/>
    <n v="2017"/>
    <s v="Bagya Permadi"/>
    <s v="Jalan Jamika No. 4"/>
    <s v="Surabaya"/>
    <x v="1"/>
    <s v="E1033"/>
    <s v="Paiman Firgantoro"/>
    <s v="Paiman Firgantoro"/>
    <s v="Low"/>
    <s v="Desktop 3-Pocket Hot File"/>
    <x v="0"/>
    <s v="Small Box"/>
    <s v="Regular Air"/>
    <n v="42749"/>
    <n v="332700"/>
    <n v="811500"/>
    <n v="478800"/>
    <n v="19"/>
    <n v="9097200"/>
    <n v="0.1"/>
    <n v="909720"/>
    <n v="8187480"/>
    <n v="15000"/>
    <n v="8202480"/>
  </r>
  <r>
    <s v="5256-1"/>
    <d v="2017-01-12T00:00:00"/>
    <n v="2017"/>
    <s v="Olga Marpaung"/>
    <s v="Gg. Surapati No. 50"/>
    <s v="Surabaya"/>
    <x v="1"/>
    <s v="E1033"/>
    <s v="Paiman Firgantoro"/>
    <s v="Paiman Firgantoro"/>
    <s v="Not Specified"/>
    <s v="Alto Memo Cubes"/>
    <x v="0"/>
    <s v="Wrap Bag"/>
    <s v="Regular Air"/>
    <n v="42749"/>
    <n v="49800"/>
    <n v="77700"/>
    <n v="27900"/>
    <n v="10"/>
    <n v="279000"/>
    <n v="0.01"/>
    <n v="2790"/>
    <n v="276210"/>
    <n v="5000"/>
    <n v="281210"/>
  </r>
  <r>
    <s v="5257-1"/>
    <d v="2017-01-13T00:00:00"/>
    <n v="2017"/>
    <s v="Kawaya Puspasari"/>
    <s v="Gg. Monginsidi No. 3"/>
    <s v="Jakarta"/>
    <x v="1"/>
    <s v="E1029"/>
    <s v="Laras Nuraini"/>
    <s v="Laras Nuraini"/>
    <s v="Medium"/>
    <s v="Laser DVD-RAM discs"/>
    <x v="1"/>
    <s v="Small Pack"/>
    <s v="Express Air"/>
    <n v="42749"/>
    <n v="302700"/>
    <n v="531150"/>
    <n v="228450"/>
    <n v="16"/>
    <n v="3655200"/>
    <n v="0"/>
    <n v="0"/>
    <n v="3655200"/>
    <n v="20000"/>
    <n v="3675200"/>
  </r>
  <r>
    <s v="5259-1"/>
    <d v="2017-01-15T00:00:00"/>
    <n v="2017"/>
    <s v="Oman Sihombing"/>
    <s v="Jl. Raya Ujungberung No. 121"/>
    <s v="Bandung"/>
    <x v="2"/>
    <s v="E1032"/>
    <s v="Violet Mentari"/>
    <s v="Violet Mentari"/>
    <s v="High"/>
    <s v="DrawIt Colored Pencils, 48-Color Set"/>
    <x v="0"/>
    <s v="Wrap Bag"/>
    <s v="Express Air"/>
    <n v="42751"/>
    <n v="323400"/>
    <n v="548250"/>
    <n v="224850"/>
    <n v="46"/>
    <n v="10343100"/>
    <n v="0.05"/>
    <n v="517155"/>
    <n v="9825945"/>
    <n v="10000"/>
    <n v="9835945"/>
  </r>
  <r>
    <s v="5260-1"/>
    <d v="2017-01-16T00:00:00"/>
    <n v="2017"/>
    <s v="Nadine Waskita"/>
    <s v="Gang Rawamangun No. 02"/>
    <s v="Surabaya"/>
    <x v="1"/>
    <s v="E1038"/>
    <s v="Clara Prasetyo"/>
    <s v="Clara Prasetyo"/>
    <s v="High"/>
    <s v="Deluxe Rollaway Locking File with Drawer"/>
    <x v="0"/>
    <s v="Small Box"/>
    <s v="Regular Air"/>
    <n v="42752"/>
    <n v="2682450"/>
    <n v="6238200"/>
    <n v="3555750"/>
    <n v="2"/>
    <n v="7111500"/>
    <n v="0.08"/>
    <n v="568920"/>
    <n v="6542580"/>
    <n v="15000"/>
    <n v="6557580"/>
  </r>
  <r>
    <s v="5261-1"/>
    <d v="2017-01-17T00:00:00"/>
    <n v="2017"/>
    <s v="Kani Aryani"/>
    <s v="Jl. S. Parman No. 38"/>
    <s v="Surabaya"/>
    <x v="2"/>
    <s v="E1033"/>
    <s v="Paiman Firgantoro"/>
    <s v="Paiman Firgantoro"/>
    <s v="Low"/>
    <s v="600 Series Flip"/>
    <x v="1"/>
    <s v="Small Box"/>
    <s v="Regular Air"/>
    <n v="42759"/>
    <n v="619200"/>
    <n v="1439850"/>
    <n v="820650"/>
    <n v="17"/>
    <n v="13951050"/>
    <n v="0.09"/>
    <n v="1255594.5"/>
    <n v="12695455.5"/>
    <n v="15000"/>
    <n v="12710455.5"/>
  </r>
  <r>
    <s v="5263-1"/>
    <d v="2017-01-17T00:00:00"/>
    <n v="2017"/>
    <s v="Saiful Putra"/>
    <s v="Gg. Siliwangi No. 82"/>
    <s v="Surabaya"/>
    <x v="1"/>
    <s v="E1036"/>
    <s v="Kenari Rajasa"/>
    <s v="Kenari Rajasa"/>
    <s v="Medium"/>
    <s v="Economy Binders"/>
    <x v="0"/>
    <s v="Small Box"/>
    <s v="Regular Air"/>
    <n v="42754"/>
    <n v="19950"/>
    <n v="31200"/>
    <n v="11250"/>
    <n v="16"/>
    <n v="180000"/>
    <n v="0.04"/>
    <n v="7200"/>
    <n v="172800"/>
    <n v="15000"/>
    <n v="187800"/>
  </r>
  <r>
    <s v="5265-1"/>
    <d v="2017-01-18T00:00:00"/>
    <n v="2017"/>
    <s v="Saadat Hutapea"/>
    <s v="Jalan PHH. Mustofa No. 625"/>
    <s v="Surabaya"/>
    <x v="1"/>
    <s v="E1034"/>
    <s v="Ophelia Mustofa"/>
    <s v="Ophelia Mustofa"/>
    <s v="Medium"/>
    <s v="1726 Digital Answering Machine"/>
    <x v="1"/>
    <s v="Medium Box"/>
    <s v="Regular Air"/>
    <n v="42754"/>
    <n v="132300"/>
    <n v="314850"/>
    <n v="182550"/>
    <n v="25"/>
    <n v="4563750"/>
    <n v="0.05"/>
    <n v="228187.5"/>
    <n v="4335562.5"/>
    <n v="20000"/>
    <n v="4355562.5"/>
  </r>
  <r>
    <s v="5267-1"/>
    <d v="2017-01-21T00:00:00"/>
    <n v="2017"/>
    <s v="Putri Maryadi"/>
    <s v="Gg. HOS. Cokroaminoto No. 1"/>
    <s v="Surabaya"/>
    <x v="1"/>
    <s v="E1041"/>
    <s v="Sari Winarno"/>
    <s v="Sari Winarno"/>
    <s v="Medium"/>
    <s v="Pizazz Drawing Pencil Set"/>
    <x v="0"/>
    <s v="Wrap Bag"/>
    <s v="Regular Air"/>
    <n v="42758"/>
    <n v="22950"/>
    <n v="41700"/>
    <n v="18750"/>
    <n v="6"/>
    <n v="112500"/>
    <n v="0.01"/>
    <n v="1125"/>
    <n v="111375"/>
    <n v="5000"/>
    <n v="116375"/>
  </r>
  <r>
    <s v="5268-1"/>
    <d v="2017-01-23T00:00:00"/>
    <n v="2017"/>
    <s v="Ganep Uwais"/>
    <s v="Gg. Stasiun Wonokromo No. 0"/>
    <s v="Jakarta"/>
    <x v="2"/>
    <s v="E1028"/>
    <s v="Gaduh Pratama"/>
    <s v="Gaduh Pratama"/>
    <s v="Not Specified"/>
    <s v="Artisan Binder Labels"/>
    <x v="0"/>
    <s v="Small Box"/>
    <s v="Regular Air"/>
    <n v="42760"/>
    <n v="36750"/>
    <n v="58350"/>
    <n v="21600"/>
    <n v="2"/>
    <n v="43200"/>
    <n v="7.0000000000000007E-2"/>
    <n v="3024.0000000000005"/>
    <n v="40176"/>
    <n v="15000"/>
    <n v="55176"/>
  </r>
  <r>
    <s v="5268-2"/>
    <d v="2017-01-23T00:00:00"/>
    <n v="2017"/>
    <s v="Ganep Uwais"/>
    <s v="Gg. Stasiun Wonokromo No. 0"/>
    <s v="Jakarta"/>
    <x v="2"/>
    <s v="E1028"/>
    <s v="Gaduh Pratama"/>
    <s v="Gaduh Pratama"/>
    <s v="Not Specified"/>
    <s v="Economy Rollaway Files"/>
    <x v="0"/>
    <s v="Small Box"/>
    <s v="Regular Air"/>
    <n v="42759"/>
    <n v="1015950.0000000001"/>
    <n v="2478000"/>
    <n v="1462050"/>
    <n v="6"/>
    <n v="8772300"/>
    <n v="0.09"/>
    <n v="789507"/>
    <n v="7982793"/>
    <n v="15000"/>
    <n v="7997793"/>
  </r>
  <r>
    <s v="5272-1"/>
    <d v="2017-01-23T00:00:00"/>
    <n v="2017"/>
    <s v="Cawisadi Anggriawan"/>
    <s v="Gang R.E Martadinata No. 16"/>
    <s v="Surabaya"/>
    <x v="3"/>
    <s v="E1037"/>
    <s v="Puti Nadine Prakasa"/>
    <s v="Puti Nadine Prakasa"/>
    <s v="Critical"/>
    <s v="Pizazz Dustless Chalk Sticks"/>
    <x v="0"/>
    <s v="Wrap Bag"/>
    <s v="Regular Air"/>
    <n v="42759"/>
    <n v="16350.000000000002"/>
    <n v="25200"/>
    <n v="8849.9999999999982"/>
    <n v="38"/>
    <n v="336299.99999999994"/>
    <n v="7.0000000000000007E-2"/>
    <n v="23540.999999999996"/>
    <n v="312758.99999999994"/>
    <n v="5000"/>
    <n v="317758.99999999994"/>
  </r>
  <r>
    <s v="5274-1"/>
    <d v="2017-01-25T00:00:00"/>
    <n v="2017"/>
    <s v="Olga Usamah"/>
    <s v="Jalan S. Parman No. 88"/>
    <s v="Bandung"/>
    <x v="1"/>
    <s v="E1036"/>
    <s v="Kenari Rajasa"/>
    <s v="Kenari Rajasa"/>
    <s v="Critical"/>
    <s v="300 Series Non-Flip"/>
    <x v="1"/>
    <s v="Small Box"/>
    <s v="Regular Air"/>
    <n v="42761"/>
    <n v="936000"/>
    <n v="2339850"/>
    <n v="1403850"/>
    <n v="48"/>
    <n v="67384800"/>
    <n v="0.04"/>
    <n v="2695392"/>
    <n v="64689408"/>
    <n v="15000"/>
    <n v="64704408"/>
  </r>
  <r>
    <s v="5274-2"/>
    <d v="2017-01-25T00:00:00"/>
    <n v="2017"/>
    <s v="Olga Usamah"/>
    <s v="Jalan S. Parman No. 88"/>
    <s v="Bandung"/>
    <x v="1"/>
    <s v="E1036"/>
    <s v="Kenari Rajasa"/>
    <s v="Kenari Rajasa"/>
    <s v="Critical"/>
    <s v="3Max Organizer Strips"/>
    <x v="0"/>
    <s v="Small Box"/>
    <s v="Regular Air"/>
    <n v="42760"/>
    <n v="51000"/>
    <n v="81000"/>
    <n v="30000"/>
    <n v="8"/>
    <n v="240000"/>
    <n v="0.08"/>
    <n v="19200"/>
    <n v="220800"/>
    <n v="15000"/>
    <n v="235800"/>
  </r>
  <r>
    <s v="5277-1"/>
    <d v="2017-02-01T00:00:00"/>
    <n v="2017"/>
    <s v="Warsita Maryadi"/>
    <s v="Jl. BKR No. 46"/>
    <s v="Jakarta"/>
    <x v="1"/>
    <s v="E1028"/>
    <s v="Gaduh Pratama"/>
    <s v="Gaduh Pratama"/>
    <s v="Critical"/>
    <s v="12 Colored Short Pencils"/>
    <x v="0"/>
    <s v="Wrap Bag"/>
    <s v="Regular Air"/>
    <n v="42769"/>
    <n v="16350.000000000002"/>
    <n v="39000"/>
    <n v="22650"/>
    <n v="36"/>
    <n v="815400"/>
    <n v="0"/>
    <n v="0"/>
    <n v="815400"/>
    <n v="5000"/>
    <n v="820400"/>
  </r>
  <r>
    <s v="5278-1"/>
    <d v="2017-02-01T00:00:00"/>
    <n v="2017"/>
    <s v="Anom Januar"/>
    <s v="Gg. Cihampelas No. 423"/>
    <s v="Surabaya"/>
    <x v="1"/>
    <s v="E1030"/>
    <s v="Cinthia Gunawan"/>
    <s v="Cinthia Gunawan"/>
    <s v="Critical"/>
    <s v="Artisan 479 Labels"/>
    <x v="0"/>
    <s v="Small Box"/>
    <s v="Express Air"/>
    <n v="42767"/>
    <n v="23850"/>
    <n v="39150"/>
    <n v="15300"/>
    <n v="1"/>
    <n v="15300"/>
    <n v="0.06"/>
    <n v="918"/>
    <n v="14382"/>
    <n v="30000"/>
    <n v="44382"/>
  </r>
  <r>
    <s v="5279-1"/>
    <d v="2017-02-01T00:00:00"/>
    <n v="2017"/>
    <s v="Diah Sudiati"/>
    <s v="Jalan Ciwastra No. 383"/>
    <s v="Surabaya"/>
    <x v="1"/>
    <s v="E1032"/>
    <s v="Violet Mentari"/>
    <s v="Violet Mentari"/>
    <s v="Medium"/>
    <s v="Artisan Hanging File Binders"/>
    <x v="0"/>
    <s v="Small Box"/>
    <s v="Regular Air"/>
    <n v="42768"/>
    <n v="54750"/>
    <n v="89700"/>
    <n v="34950"/>
    <n v="21"/>
    <n v="733950"/>
    <n v="0.02"/>
    <n v="14679"/>
    <n v="719271"/>
    <n v="15000"/>
    <n v="734271"/>
  </r>
  <r>
    <s v="5280-1"/>
    <d v="2017-02-02T00:00:00"/>
    <n v="2017"/>
    <s v="Bajragin Saputra"/>
    <s v="Jalan Ciwastra No. 383"/>
    <s v="Surabaya"/>
    <x v="2"/>
    <s v="E1032"/>
    <s v="Violet Mentari"/>
    <s v="Violet Mentari"/>
    <s v="Not Specified"/>
    <s v="Artisan Hanging File Binders"/>
    <x v="0"/>
    <s v="Small Box"/>
    <s v="Regular Air"/>
    <n v="42770"/>
    <n v="54750"/>
    <n v="89700"/>
    <n v="34950"/>
    <n v="40"/>
    <n v="1398000"/>
    <n v="0"/>
    <n v="0"/>
    <n v="1398000"/>
    <n v="15000"/>
    <n v="1413000"/>
  </r>
  <r>
    <s v="5282-1"/>
    <d v="2017-02-02T00:00:00"/>
    <n v="2017"/>
    <s v="Cawisadi Anggriawan"/>
    <s v="Jl. Surapati No. 996"/>
    <s v="Surabaya"/>
    <x v="3"/>
    <s v="E1037"/>
    <s v="Puti Nadine Prakasa"/>
    <s v="Puti Nadine Prakasa"/>
    <s v="Not Specified"/>
    <s v="Smiths General Use 3-Ring Binders"/>
    <x v="0"/>
    <s v="Small Box"/>
    <s v="Regular Air"/>
    <n v="42770"/>
    <n v="17700"/>
    <n v="28200"/>
    <n v="10500"/>
    <n v="33"/>
    <n v="346500"/>
    <n v="7.0000000000000007E-2"/>
    <n v="24255.000000000004"/>
    <n v="322245"/>
    <n v="15000"/>
    <n v="337245"/>
  </r>
  <r>
    <s v="5284-1"/>
    <d v="2017-02-05T00:00:00"/>
    <n v="2017"/>
    <s v="Prakosa Januar"/>
    <s v="Jl. Dipenogoro No. 447"/>
    <s v="Surabaya"/>
    <x v="3"/>
    <s v="E1039"/>
    <s v="Nabila Prakasa"/>
    <s v="Nabila Prakasa"/>
    <s v="High"/>
    <s v="Angle-D Binders with Locking Rings, Label Holders"/>
    <x v="0"/>
    <s v="Small Box"/>
    <s v="Regular Air"/>
    <n v="42774"/>
    <n v="67950"/>
    <n v="109500"/>
    <n v="41550"/>
    <n v="31"/>
    <n v="1288050"/>
    <n v="0.03"/>
    <n v="38641.5"/>
    <n v="1249408.5"/>
    <n v="15000"/>
    <n v="1264408.5"/>
  </r>
  <r>
    <s v="5286-1"/>
    <d v="2017-02-06T00:00:00"/>
    <n v="2017"/>
    <s v="Ilsa Hassanah"/>
    <s v="Gg. Cihampelas No. 423"/>
    <s v="Surabaya"/>
    <x v="3"/>
    <s v="E1030"/>
    <s v="Cinthia Gunawan"/>
    <s v="Cinthia Gunawan"/>
    <s v="High"/>
    <s v="Brown Kraft Recycled Envelopes"/>
    <x v="0"/>
    <s v="Small Box"/>
    <s v="Regular Air"/>
    <n v="42774"/>
    <n v="165600"/>
    <n v="254700"/>
    <n v="89100"/>
    <n v="27"/>
    <n v="2405700"/>
    <n v="0.1"/>
    <n v="240570"/>
    <n v="2165130"/>
    <n v="15000"/>
    <n v="2180130"/>
  </r>
  <r>
    <s v="5288-1"/>
    <d v="2017-02-07T00:00:00"/>
    <n v="2017"/>
    <s v="Eluh Usamah"/>
    <s v="Jalan Ciumbuleuit No. 76"/>
    <s v="Surabaya"/>
    <x v="2"/>
    <s v="E1039"/>
    <s v="Nabila Prakasa"/>
    <s v="Nabila Prakasa"/>
    <s v="Not Specified"/>
    <s v="3Max Organizer Strips"/>
    <x v="0"/>
    <s v="Small Box"/>
    <s v="Regular Air"/>
    <n v="42775"/>
    <n v="51000"/>
    <n v="81000"/>
    <n v="30000"/>
    <n v="47"/>
    <n v="1410000"/>
    <n v="0.03"/>
    <n v="42300"/>
    <n v="1367700"/>
    <n v="15000"/>
    <n v="1382700"/>
  </r>
  <r>
    <s v="5290-1"/>
    <d v="2017-02-09T00:00:00"/>
    <n v="2017"/>
    <s v="Sakura Sihombing"/>
    <s v="Jl. K.H. Wahid Hasyim No. 4"/>
    <s v="Jakarta"/>
    <x v="1"/>
    <s v="E1029"/>
    <s v="Laras Nuraini"/>
    <s v="Laras Nuraini"/>
    <s v="High"/>
    <s v="Laser Neon Mac Format Diskettes, 10/Pack"/>
    <x v="1"/>
    <s v="Small Pack"/>
    <s v="Regular Air"/>
    <n v="42776"/>
    <n v="28050"/>
    <n v="121799.99999999999"/>
    <n v="93749.999999999985"/>
    <n v="37"/>
    <n v="3468749.9999999995"/>
    <n v="0"/>
    <n v="0"/>
    <n v="3468749.9999999995"/>
    <n v="10000"/>
    <n v="3478749.9999999995"/>
  </r>
  <r>
    <s v="5291-1"/>
    <d v="2017-02-09T00:00:00"/>
    <n v="2017"/>
    <s v="Opung Kuswoyo"/>
    <s v="Gg. Otto Iskandardinata No. 6"/>
    <s v="Jakarta"/>
    <x v="1"/>
    <s v="E1029"/>
    <s v="Laras Nuraini"/>
    <s v="Laras Nuraini"/>
    <s v="High"/>
    <s v="Steady 52201 APSCO Electric Pencil Sharpener"/>
    <x v="0"/>
    <s v="Small Pack"/>
    <s v="Express Air"/>
    <n v="42776"/>
    <n v="252000"/>
    <n v="614550"/>
    <n v="362550"/>
    <n v="11"/>
    <n v="3988050"/>
    <n v="0.03"/>
    <n v="119641.5"/>
    <n v="3868408.5"/>
    <n v="20000"/>
    <n v="3888408.5"/>
  </r>
  <r>
    <s v="5292-1"/>
    <d v="2017-02-10T00:00:00"/>
    <n v="2017"/>
    <s v="Bancar Melani"/>
    <s v="Gg. HOS. Cokroaminoto No. 72"/>
    <s v="Surabaya"/>
    <x v="0"/>
    <s v="E1034"/>
    <s v="Ophelia Mustofa"/>
    <s v="Ophelia Mustofa"/>
    <s v="Critical"/>
    <s v="Artisan 481 Labels"/>
    <x v="0"/>
    <s v="Small Box"/>
    <s v="Regular Air"/>
    <n v="42777"/>
    <n v="29100"/>
    <n v="46200"/>
    <n v="17100"/>
    <n v="41"/>
    <n v="701100"/>
    <n v="0.04"/>
    <n v="28044"/>
    <n v="673056"/>
    <n v="15000"/>
    <n v="688056"/>
  </r>
  <r>
    <s v="5294-1"/>
    <d v="2017-02-13T00:00:00"/>
    <n v="2017"/>
    <s v="Eja Aryani"/>
    <s v="Jl. Dipenogoro No. 447"/>
    <s v="Surabaya"/>
    <x v="2"/>
    <s v="E1039"/>
    <s v="Nabila Prakasa"/>
    <s v="Nabila Prakasa"/>
    <s v="Critical"/>
    <s v="Laser Neon Mac Format Diskettes, 10/Pack"/>
    <x v="1"/>
    <s v="Small Pack"/>
    <s v="Regular Air"/>
    <n v="42780"/>
    <n v="28050"/>
    <n v="121799.99999999999"/>
    <n v="93749.999999999985"/>
    <n v="16"/>
    <n v="1499999.9999999998"/>
    <n v="0.03"/>
    <n v="44999.999999999993"/>
    <n v="1454999.9999999998"/>
    <n v="10000"/>
    <n v="1464999.9999999998"/>
  </r>
  <r>
    <s v="5296-1"/>
    <d v="2017-02-14T00:00:00"/>
    <n v="2017"/>
    <s v="Galang Sitompul"/>
    <s v="Gg. Otto Iskandardinata No. 6"/>
    <s v="Jakarta"/>
    <x v="0"/>
    <s v="E1028"/>
    <s v="Gaduh Pratama"/>
    <s v="Gaduh Pratama"/>
    <s v="Medium"/>
    <s v="Angle-D Binders with Locking Rings, Label Holders"/>
    <x v="0"/>
    <s v="Small Box"/>
    <s v="Regular Air"/>
    <n v="42781"/>
    <n v="67950"/>
    <n v="109500"/>
    <n v="41550"/>
    <n v="45"/>
    <n v="1869750"/>
    <n v="0.04"/>
    <n v="74790"/>
    <n v="1794960"/>
    <n v="15000"/>
    <n v="1809960"/>
  </r>
  <r>
    <s v="5298-1"/>
    <d v="2017-02-15T00:00:00"/>
    <n v="2017"/>
    <s v="Luis Siregar"/>
    <s v="Gg. Ronggowarsito No. 033"/>
    <s v="Surabaya"/>
    <x v="1"/>
    <s v="E1038"/>
    <s v="Clara Prasetyo"/>
    <s v="Clara Prasetyo"/>
    <s v="Critical"/>
    <s v="Apex Straight Scissors"/>
    <x v="0"/>
    <s v="Small Pack"/>
    <s v="Regular Air"/>
    <n v="42781"/>
    <n v="77850"/>
    <n v="194700"/>
    <n v="116850"/>
    <n v="40"/>
    <n v="4674000"/>
    <n v="0.05"/>
    <n v="233700"/>
    <n v="4440300"/>
    <n v="10000"/>
    <n v="4450300"/>
  </r>
  <r>
    <s v="5299-1"/>
    <d v="2017-02-17T00:00:00"/>
    <n v="2017"/>
    <s v="Yuliana Rahmawati"/>
    <s v="Gang Kebonjati No. 827"/>
    <s v="Bandung"/>
    <x v="1"/>
    <s v="E1033"/>
    <s v="Paiman Firgantoro"/>
    <s v="Paiman Firgantoro"/>
    <s v="Not Specified"/>
    <s v="Artisan 487 Labels"/>
    <x v="0"/>
    <s v="Small Box"/>
    <s v="Regular Air"/>
    <n v="42785"/>
    <n v="34350"/>
    <n v="55350"/>
    <n v="21000"/>
    <n v="42"/>
    <n v="882000"/>
    <n v="0.04"/>
    <n v="35280"/>
    <n v="846720"/>
    <n v="15000"/>
    <n v="861720"/>
  </r>
  <r>
    <s v="5300-1"/>
    <d v="2017-02-17T00:00:00"/>
    <n v="2017"/>
    <s v="Wahyu Mulyani"/>
    <s v="Jl. Kapten Muslihat No. 853"/>
    <s v="Surabaya"/>
    <x v="1"/>
    <s v="E1032"/>
    <s v="Violet Mentari"/>
    <s v="Violet Mentari"/>
    <s v="Critical"/>
    <s v="Lumi Crayons"/>
    <x v="0"/>
    <s v="Wrap Bag"/>
    <s v="Regular Air"/>
    <n v="42784"/>
    <n v="78300"/>
    <n v="147750"/>
    <n v="69450"/>
    <n v="27"/>
    <n v="1875150"/>
    <n v="0.1"/>
    <n v="187515"/>
    <n v="1687635"/>
    <n v="5000"/>
    <n v="1692635"/>
  </r>
  <r>
    <s v="5302-1"/>
    <d v="2017-02-19T00:00:00"/>
    <n v="2017"/>
    <s v="Mujur Hariyah"/>
    <s v="Jalan Moch. Toha No. 9"/>
    <s v="Surabaya"/>
    <x v="3"/>
    <s v="E1033"/>
    <s v="Paiman Firgantoro"/>
    <s v="Paiman Firgantoro"/>
    <s v="Medium"/>
    <s v="Steady Major Accent Highlighters"/>
    <x v="0"/>
    <s v="Wrap Bag"/>
    <s v="Express Air"/>
    <n v="42786"/>
    <n v="56250"/>
    <n v="106200"/>
    <n v="49950"/>
    <n v="29"/>
    <n v="1448550"/>
    <n v="7.0000000000000007E-2"/>
    <n v="101398.50000000001"/>
    <n v="1347151.5"/>
    <n v="10000"/>
    <n v="1357151.5"/>
  </r>
  <r>
    <s v="5303-1"/>
    <d v="2017-02-21T00:00:00"/>
    <n v="2017"/>
    <s v="Intan Widodo"/>
    <s v="Gg. Monginsidi No. 3"/>
    <s v="Jakarta"/>
    <x v="3"/>
    <s v="E1029"/>
    <s v="Laras Nuraini"/>
    <s v="Laras Nuraini"/>
    <s v="Low"/>
    <s v="Alto Memo Cubes"/>
    <x v="0"/>
    <s v="Wrap Bag"/>
    <s v="Regular Air"/>
    <n v="42787"/>
    <n v="49800"/>
    <n v="77700"/>
    <n v="27900"/>
    <n v="8"/>
    <n v="223200"/>
    <n v="0.06"/>
    <n v="13392"/>
    <n v="209808"/>
    <n v="5000"/>
    <n v="214808"/>
  </r>
  <r>
    <s v="5304-1"/>
    <d v="2017-02-24T00:00:00"/>
    <n v="2017"/>
    <s v="Tomi Putra"/>
    <s v="Gg. Joyoboyo No. 026"/>
    <s v="Jakarta"/>
    <x v="1"/>
    <s v="E1028"/>
    <s v="Gaduh Pratama"/>
    <s v="Gaduh Pratama"/>
    <s v="Medium"/>
    <s v="Artisan Durable Poly Binders"/>
    <x v="0"/>
    <s v="Small Box"/>
    <s v="Regular Air"/>
    <n v="42792"/>
    <n v="50550"/>
    <n v="82950"/>
    <n v="32400"/>
    <n v="17"/>
    <n v="550800"/>
    <n v="0.02"/>
    <n v="11016"/>
    <n v="539784"/>
    <n v="15000"/>
    <n v="554784"/>
  </r>
  <r>
    <s v="5305-1"/>
    <d v="2017-02-27T00:00:00"/>
    <n v="2017"/>
    <s v="Latif Nasyiah"/>
    <s v="Jalan Ciwastra No. 383"/>
    <s v="Surabaya"/>
    <x v="2"/>
    <s v="E1032"/>
    <s v="Violet Mentari"/>
    <s v="Violet Mentari"/>
    <s v="Not Specified"/>
    <s v="Xit Blank Computer Paper"/>
    <x v="0"/>
    <s v="Small Box"/>
    <s v="Regular Air"/>
    <n v="42795"/>
    <n v="185850"/>
    <n v="299700"/>
    <n v="113850"/>
    <n v="47"/>
    <n v="5350950"/>
    <n v="0.04"/>
    <n v="214038"/>
    <n v="5136912"/>
    <n v="15000"/>
    <n v="5151912"/>
  </r>
  <r>
    <s v="5307-1"/>
    <d v="2017-02-28T00:00:00"/>
    <n v="2017"/>
    <s v="Teddy Yuniar"/>
    <s v="Jl. Jend. Sudirman No. 0"/>
    <s v="Surabaya"/>
    <x v="2"/>
    <s v="E1030"/>
    <s v="Cinthia Gunawan"/>
    <s v="Cinthia Gunawan"/>
    <s v="Not Specified"/>
    <s v="Aluminum Document Frame"/>
    <x v="2"/>
    <s v="Small Pack"/>
    <s v="Regular Air"/>
    <n v="42794"/>
    <n v="82500"/>
    <n v="183300"/>
    <n v="100800"/>
    <n v="27"/>
    <n v="2721600"/>
    <n v="7.0000000000000007E-2"/>
    <n v="190512.00000000003"/>
    <n v="2531088"/>
    <n v="10000"/>
    <n v="2541088"/>
  </r>
  <r>
    <s v="5309-1"/>
    <d v="2017-02-28T00:00:00"/>
    <n v="2017"/>
    <s v="Pangeran Rahimah"/>
    <s v="Gang Cikapayang No. 055"/>
    <s v="Surabaya"/>
    <x v="1"/>
    <s v="E1040"/>
    <s v="Sutan Tirtayasa Wasita"/>
    <s v="Sutan Tirtayasa Wasita"/>
    <s v="Critical"/>
    <s v="Pizazz Colored Pencils"/>
    <x v="0"/>
    <s v="Wrap Bag"/>
    <s v="Regular Air"/>
    <n v="42795"/>
    <n v="26400"/>
    <n v="44100"/>
    <n v="17700"/>
    <n v="23"/>
    <n v="407100"/>
    <n v="7.0000000000000007E-2"/>
    <n v="28497.000000000004"/>
    <n v="378603"/>
    <n v="5000"/>
    <n v="383603"/>
  </r>
  <r>
    <s v="5310-1"/>
    <d v="2017-03-01T00:00:00"/>
    <n v="2017"/>
    <s v="Rachel Agustina"/>
    <s v="Jalan K.H. Wahid Hasyim No. 5"/>
    <s v="Surabaya"/>
    <x v="2"/>
    <s v="E1030"/>
    <s v="Cinthia Gunawan"/>
    <s v="Cinthia Gunawan"/>
    <s v="Critical"/>
    <s v="Adesso Programmable 142-Key Keyboard"/>
    <x v="1"/>
    <s v="Small Box"/>
    <s v="Express Air"/>
    <n v="42797"/>
    <n v="594600"/>
    <n v="2287200"/>
    <n v="1692600"/>
    <n v="2"/>
    <n v="3385200"/>
    <n v="0.02"/>
    <n v="67704"/>
    <n v="3317496"/>
    <n v="30000"/>
    <n v="3347496"/>
  </r>
  <r>
    <s v="5311-1"/>
    <d v="2017-03-01T00:00:00"/>
    <n v="2017"/>
    <s v="Sidiq Sirait"/>
    <s v="Jl. Surapati No. 996"/>
    <s v="Jakarta"/>
    <x v="0"/>
    <s v="E1029"/>
    <s v="Laras Nuraini"/>
    <s v="Laras Nuraini"/>
    <s v="Critical"/>
    <s v="Apex Office Executive Series Stainless Steel Trimmers"/>
    <x v="0"/>
    <s v="Small Pack"/>
    <s v="Regular Air"/>
    <n v="42796"/>
    <n v="52650"/>
    <n v="128550"/>
    <n v="75900"/>
    <n v="24"/>
    <n v="1821600"/>
    <n v="0.06"/>
    <n v="109296"/>
    <n v="1712304"/>
    <n v="10000"/>
    <n v="1722304"/>
  </r>
  <r>
    <s v="5312-1"/>
    <d v="2017-03-01T00:00:00"/>
    <n v="2017"/>
    <s v="Genta Usada"/>
    <s v="Jl. K.H. Wahid Hasyim No. 4"/>
    <s v="Jakarta"/>
    <x v="1"/>
    <s v="E1029"/>
    <s v="Laras Nuraini"/>
    <s v="Laras Nuraini"/>
    <s v="High"/>
    <s v="Artisan Binder Labels"/>
    <x v="0"/>
    <s v="Small Box"/>
    <s v="Regular Air"/>
    <n v="42795"/>
    <n v="36750"/>
    <n v="58350"/>
    <n v="21600"/>
    <n v="47"/>
    <n v="1015200"/>
    <n v="0"/>
    <n v="0"/>
    <n v="1015200"/>
    <n v="15000"/>
    <n v="1030200"/>
  </r>
  <r>
    <s v="5313-1"/>
    <d v="2017-03-02T00:00:00"/>
    <n v="2017"/>
    <s v="Kairav Winarno"/>
    <s v="Gg. Suniaraja No. 21"/>
    <s v="Surabaya"/>
    <x v="3"/>
    <s v="E1031"/>
    <s v="Bagiya Sihombing"/>
    <s v="Bagiya Sihombing"/>
    <s v="Low"/>
    <s v="Smiths Metal Binder Clips"/>
    <x v="0"/>
    <s v="Wrap Bag"/>
    <s v="Regular Air"/>
    <n v="42798"/>
    <n v="24000"/>
    <n v="39300"/>
    <n v="15300"/>
    <n v="26"/>
    <n v="397800"/>
    <n v="0.09"/>
    <n v="35802"/>
    <n v="361998"/>
    <n v="5000"/>
    <n v="366998"/>
  </r>
  <r>
    <s v="5314-1"/>
    <d v="2017-03-02T00:00:00"/>
    <n v="2017"/>
    <s v="Daliman Pranowo"/>
    <s v="Gg. Merdeka No. 97"/>
    <s v="Bandung"/>
    <x v="1"/>
    <s v="E1039"/>
    <s v="Nabila Prakasa"/>
    <s v="Nabila Prakasa"/>
    <s v="High"/>
    <s v="TypeRight  Top-Opening Peel &amp; Seel  Envelopes, Gray"/>
    <x v="0"/>
    <s v="Small Box"/>
    <s v="Regular Air"/>
    <n v="42798"/>
    <n v="323400"/>
    <n v="539100"/>
    <n v="215700"/>
    <n v="19"/>
    <n v="4098300"/>
    <n v="0.09"/>
    <n v="368847"/>
    <n v="3729453"/>
    <n v="15000"/>
    <n v="3744453"/>
  </r>
  <r>
    <s v="5315-1"/>
    <d v="2017-03-03T00:00:00"/>
    <n v="2017"/>
    <s v="Warsita Megantara"/>
    <s v="Gang Asia Afrika No. 72"/>
    <s v="Surabaya"/>
    <x v="1"/>
    <s v="E1037"/>
    <s v="Puti Nadine Prakasa"/>
    <s v="Puti Nadine Prakasa"/>
    <s v="Medium"/>
    <s v="Alto Parchment Paper, Assorted Colors"/>
    <x v="0"/>
    <s v="Small Box"/>
    <s v="Regular Air"/>
    <n v="42799"/>
    <n v="68850"/>
    <n v="109200"/>
    <n v="40350"/>
    <n v="3"/>
    <n v="121050"/>
    <n v="0.01"/>
    <n v="1210.5"/>
    <n v="119839.5"/>
    <n v="15000"/>
    <n v="134839.5"/>
  </r>
  <r>
    <s v="5316-1"/>
    <d v="2017-03-04T00:00:00"/>
    <n v="2017"/>
    <s v="Anom Januar"/>
    <s v="Gg. Cihampelas No. 423"/>
    <s v="Surabaya"/>
    <x v="2"/>
    <s v="E1030"/>
    <s v="Cinthia Gunawan"/>
    <s v="Cinthia Gunawan"/>
    <s v="Low"/>
    <s v="Emerson C82 Color Inkjet Printer"/>
    <x v="1"/>
    <s v="Jumbo Drum"/>
    <s v="Delivery Truck"/>
    <n v="42805"/>
    <n v="1151850"/>
    <n v="1799850"/>
    <n v="648000"/>
    <n v="4"/>
    <n v="2592000"/>
    <n v="0.06"/>
    <n v="155520"/>
    <n v="2436480"/>
    <n v="500000"/>
    <n v="2936480"/>
  </r>
  <r>
    <s v="5318-1"/>
    <d v="2017-03-04T00:00:00"/>
    <n v="2017"/>
    <s v="Sakura Sihombing"/>
    <s v="Jl. K.H. Wahid Hasyim No. 4"/>
    <s v="Jakarta"/>
    <x v="1"/>
    <s v="E1029"/>
    <s v="Laras Nuraini"/>
    <s v="Laras Nuraini"/>
    <s v="Not Specified"/>
    <s v="Steady Liquid Accent Highlighters"/>
    <x v="0"/>
    <s v="Wrap Bag"/>
    <s v="Regular Air"/>
    <n v="42799"/>
    <n v="52050"/>
    <n v="100200"/>
    <n v="48150"/>
    <n v="15"/>
    <n v="722250"/>
    <n v="0.03"/>
    <n v="21667.5"/>
    <n v="700582.5"/>
    <n v="5000"/>
    <n v="705582.5"/>
  </r>
  <r>
    <s v="5319-1"/>
    <d v="2017-03-07T00:00:00"/>
    <n v="2017"/>
    <s v="Harsaya Rahmawati"/>
    <s v="Jalan Rumah Sakit No. 287"/>
    <s v="Surabaya"/>
    <x v="2"/>
    <s v="E1032"/>
    <s v="Violet Mentari"/>
    <s v="Violet Mentari"/>
    <s v="Not Specified"/>
    <s v="3Max Polarizing Light Filter Sleeves"/>
    <x v="2"/>
    <s v="Small Pack"/>
    <s v="Regular Air"/>
    <n v="42802"/>
    <n v="170700"/>
    <n v="279750"/>
    <n v="109050"/>
    <n v="19"/>
    <n v="2071950"/>
    <n v="7.0000000000000007E-2"/>
    <n v="145036.5"/>
    <n v="1926913.5"/>
    <n v="10000"/>
    <n v="1936913.5"/>
  </r>
  <r>
    <s v="5321-1"/>
    <d v="2017-03-07T00:00:00"/>
    <n v="2017"/>
    <s v="Raditya Mayasari"/>
    <s v="Jalan Ciwastra No. 383"/>
    <s v="Surabaya"/>
    <x v="1"/>
    <s v="E1032"/>
    <s v="Violet Mentari"/>
    <s v="Violet Mentari"/>
    <s v="Medium"/>
    <s v="Binder Posts"/>
    <x v="0"/>
    <s v="Small Box"/>
    <s v="Express Air"/>
    <n v="42803"/>
    <n v="52500"/>
    <n v="86100"/>
    <n v="33600"/>
    <n v="27"/>
    <n v="907200"/>
    <n v="0.08"/>
    <n v="72576"/>
    <n v="834624"/>
    <n v="30000"/>
    <n v="864624"/>
  </r>
  <r>
    <s v="5323-1"/>
    <d v="2017-03-11T00:00:00"/>
    <n v="2017"/>
    <s v="Tantri Handayani"/>
    <s v="Jalan Astana Anyar No. 41"/>
    <s v="Jakarta"/>
    <x v="2"/>
    <s v="E1028"/>
    <s v="Gaduh Pratama"/>
    <s v="Gaduh Pratama"/>
    <s v="Critical"/>
    <s v="UGen RF Keyboard"/>
    <x v="1"/>
    <s v="Small Box"/>
    <s v="Regular Air"/>
    <n v="42807"/>
    <n v="1223850"/>
    <n v="2399850"/>
    <n v="1176000"/>
    <n v="50"/>
    <n v="58800000"/>
    <n v="0.05"/>
    <n v="2940000"/>
    <n v="55860000"/>
    <n v="15000"/>
    <n v="55875000"/>
  </r>
  <r>
    <s v="5324-1"/>
    <d v="2017-03-13T00:00:00"/>
    <n v="2017"/>
    <s v="Michelle Oktaviani"/>
    <s v="Jl. Jend. Sudirman No. 0"/>
    <s v="Surabaya"/>
    <x v="1"/>
    <s v="E1030"/>
    <s v="Cinthia Gunawan"/>
    <s v="Cinthia Gunawan"/>
    <s v="High"/>
    <s v="Emerson C82 Color Inkjet Printer"/>
    <x v="1"/>
    <s v="Jumbo Drum"/>
    <s v="Delivery Truck"/>
    <n v="42809"/>
    <n v="1151850"/>
    <n v="1799850"/>
    <n v="648000"/>
    <n v="8"/>
    <n v="5184000"/>
    <n v="0.09"/>
    <n v="466560"/>
    <n v="4717440"/>
    <n v="500000"/>
    <n v="5217440"/>
  </r>
  <r>
    <s v="5326-1"/>
    <d v="2017-03-19T00:00:00"/>
    <n v="2017"/>
    <s v="Luwar Yuniar"/>
    <s v="Jalan R.E Martadinata No. 6"/>
    <s v="Jakarta"/>
    <x v="3"/>
    <s v="E1029"/>
    <s v="Laras Nuraini"/>
    <s v="Laras Nuraini"/>
    <s v="Not Specified"/>
    <s v="Steady 52201 APSCO Electric Pencil Sharpener"/>
    <x v="0"/>
    <s v="Small Pack"/>
    <s v="Express Air"/>
    <n v="42815"/>
    <n v="252000"/>
    <n v="614550"/>
    <n v="362550"/>
    <n v="49"/>
    <n v="17764950"/>
    <n v="0.09"/>
    <n v="1598845.5"/>
    <n v="16166104.5"/>
    <n v="20000"/>
    <n v="16186104.5"/>
  </r>
  <r>
    <s v="5328-1"/>
    <d v="2017-03-22T00:00:00"/>
    <n v="2017"/>
    <s v="Ega Zulaika"/>
    <s v="Jl. Jamika No. 246"/>
    <s v="Surabaya"/>
    <x v="0"/>
    <s v="E1038"/>
    <s v="Clara Prasetyo"/>
    <s v="Clara Prasetyo"/>
    <s v="Low"/>
    <s v="Smiths Metal Binder Clips"/>
    <x v="0"/>
    <s v="Wrap Bag"/>
    <s v="Regular Air"/>
    <n v="42823"/>
    <n v="24000"/>
    <n v="39300"/>
    <n v="15300"/>
    <n v="47"/>
    <n v="719100"/>
    <n v="0.1"/>
    <n v="71910"/>
    <n v="647190"/>
    <n v="5000"/>
    <n v="652190"/>
  </r>
  <r>
    <s v="5330-1"/>
    <d v="2017-03-22T00:00:00"/>
    <n v="2017"/>
    <s v="Karya Haryanto"/>
    <s v="Gg. Siliwangi No. 82"/>
    <s v="Surabaya"/>
    <x v="0"/>
    <s v="E1036"/>
    <s v="Kenari Rajasa"/>
    <s v="Kenari Rajasa"/>
    <s v="Medium"/>
    <s v="Steady Pocket Accent Highlighters"/>
    <x v="0"/>
    <s v="Wrap Bag"/>
    <s v="Regular Air"/>
    <n v="42816"/>
    <n v="13950"/>
    <n v="24000"/>
    <n v="10050"/>
    <n v="25"/>
    <n v="251250"/>
    <n v="0.1"/>
    <n v="25125"/>
    <n v="226125"/>
    <n v="5000"/>
    <n v="231125"/>
  </r>
  <r>
    <s v="5332-1"/>
    <d v="2017-03-23T00:00:00"/>
    <n v="2017"/>
    <s v="Ilsa Hassanah"/>
    <s v="Gg. Cihampelas No. 423"/>
    <s v="Surabaya"/>
    <x v="1"/>
    <s v="E1030"/>
    <s v="Cinthia Gunawan"/>
    <s v="Cinthia Gunawan"/>
    <s v="Critical"/>
    <s v="Bagged Rubber Bands"/>
    <x v="0"/>
    <s v="Wrap Bag"/>
    <s v="Regular Air"/>
    <n v="42817"/>
    <n v="3600"/>
    <n v="18900"/>
    <n v="15300"/>
    <n v="9"/>
    <n v="137700"/>
    <n v="0.06"/>
    <n v="8262"/>
    <n v="129438"/>
    <n v="5000"/>
    <n v="134438"/>
  </r>
  <r>
    <s v="5334-1"/>
    <d v="2017-03-24T00:00:00"/>
    <n v="2017"/>
    <s v="Oman Sihombing"/>
    <s v="Jl. Raya Ujungberung No. 121"/>
    <s v="Bandung"/>
    <x v="3"/>
    <s v="E1032"/>
    <s v="Violet Mentari"/>
    <s v="Violet Mentari"/>
    <s v="Not Specified"/>
    <s v="Artisan Hanging File Binders"/>
    <x v="0"/>
    <s v="Small Box"/>
    <s v="Regular Air"/>
    <n v="42820"/>
    <n v="54750"/>
    <n v="89700"/>
    <n v="34950"/>
    <n v="25"/>
    <n v="873750"/>
    <n v="0.03"/>
    <n v="26212.5"/>
    <n v="847537.5"/>
    <n v="15000"/>
    <n v="862537.5"/>
  </r>
  <r>
    <s v="5335-1"/>
    <d v="2017-03-25T00:00:00"/>
    <n v="2017"/>
    <s v="Wawan Riyanti"/>
    <s v="Jl. Antapani Lama No. 705"/>
    <s v="Jakarta"/>
    <x v="0"/>
    <s v="E1028"/>
    <s v="Gaduh Pratama"/>
    <s v="Gaduh Pratama"/>
    <s v="Low"/>
    <s v="Artisan Printable Repositionable Plastic Tabs"/>
    <x v="0"/>
    <s v="Small Box"/>
    <s v="Regular Air"/>
    <n v="42821"/>
    <n v="79950"/>
    <n v="129000"/>
    <n v="49050"/>
    <n v="6"/>
    <n v="294300"/>
    <n v="0.04"/>
    <n v="11772"/>
    <n v="282528"/>
    <n v="15000"/>
    <n v="297528"/>
  </r>
  <r>
    <s v="5335-2"/>
    <d v="2017-03-25T00:00:00"/>
    <n v="2017"/>
    <s v="Wawan Riyanti"/>
    <s v="Jl. Antapani Lama No. 705"/>
    <s v="Jakarta"/>
    <x v="0"/>
    <s v="E1028"/>
    <s v="Gaduh Pratama"/>
    <s v="Gaduh Pratama"/>
    <s v="Low"/>
    <s v="OIC Colored Binder Clips, Assorted Sizes"/>
    <x v="0"/>
    <s v="Wrap Bag"/>
    <s v="Regular Air"/>
    <n v="42823"/>
    <n v="34350"/>
    <n v="53700"/>
    <n v="19350"/>
    <n v="30"/>
    <n v="580500"/>
    <n v="0.01"/>
    <n v="5805"/>
    <n v="574695"/>
    <n v="5000"/>
    <n v="579695"/>
  </r>
  <r>
    <s v="5336-1"/>
    <d v="2017-03-25T00:00:00"/>
    <n v="2017"/>
    <s v="Prayogo Rajata"/>
    <s v="Gg. Siliwangi No. 26"/>
    <s v="Surabaya"/>
    <x v="1"/>
    <s v="E1036"/>
    <s v="Kenari Rajasa"/>
    <s v="Kenari Rajasa"/>
    <s v="Low"/>
    <s v="Binding Machine Supplies"/>
    <x v="0"/>
    <s v="Small Box"/>
    <s v="Regular Air"/>
    <n v="42823"/>
    <n v="275700"/>
    <n v="437550"/>
    <n v="161850"/>
    <n v="16"/>
    <n v="2589600"/>
    <n v="7.0000000000000007E-2"/>
    <n v="181272.00000000003"/>
    <n v="2408328"/>
    <n v="15000"/>
    <n v="2423328"/>
  </r>
  <r>
    <s v="5340-1"/>
    <d v="2017-03-27T00:00:00"/>
    <n v="2017"/>
    <s v="Cawuk Fujiati"/>
    <s v="Jl. S. Parman No. 38"/>
    <s v="Surabaya"/>
    <x v="2"/>
    <s v="E1033"/>
    <s v="Paiman Firgantoro"/>
    <s v="Paiman Firgantoro"/>
    <s v="Not Specified"/>
    <s v="Artisan Binding System Hidden Tab Executive Style Index Sets"/>
    <x v="0"/>
    <s v="Small Box"/>
    <s v="Regular Air"/>
    <n v="42822"/>
    <n v="56250"/>
    <n v="86550"/>
    <n v="30300"/>
    <n v="9"/>
    <n v="272700"/>
    <n v="0"/>
    <n v="0"/>
    <n v="272700"/>
    <n v="15000"/>
    <n v="287700"/>
  </r>
  <r>
    <s v="5342-1"/>
    <d v="2017-03-27T00:00:00"/>
    <n v="2017"/>
    <s v="Cakrawangsa Waluyo"/>
    <s v="Gg. Stasiun Wonokromo No. 32"/>
    <s v="Surabaya"/>
    <x v="1"/>
    <s v="E1030"/>
    <s v="Cinthia Gunawan"/>
    <s v="Cinthia Gunawan"/>
    <s v="Critical"/>
    <s v="Artisan Hi-Liter GlideStik Fluorescent Highlighter, Yellow Ink"/>
    <x v="0"/>
    <s v="Wrap Bag"/>
    <s v="Regular Air"/>
    <n v="42823"/>
    <n v="28800"/>
    <n v="48900"/>
    <n v="20100"/>
    <n v="6"/>
    <n v="120600"/>
    <n v="0.01"/>
    <n v="1206"/>
    <n v="119394"/>
    <n v="5000"/>
    <n v="124394"/>
  </r>
  <r>
    <s v="5343-1"/>
    <d v="2017-03-30T00:00:00"/>
    <n v="2017"/>
    <s v="Rafid Rahayu"/>
    <s v="Jalan Astana Anyar No. 41"/>
    <s v="Jakarta"/>
    <x v="3"/>
    <s v="E1028"/>
    <s v="Gaduh Pratama"/>
    <s v="Gaduh Pratama"/>
    <s v="Critical"/>
    <s v="Artisan 487 Labels"/>
    <x v="0"/>
    <s v="Small Box"/>
    <s v="Regular Air"/>
    <n v="42827"/>
    <n v="34350"/>
    <n v="55350"/>
    <n v="21000"/>
    <n v="45"/>
    <n v="945000"/>
    <n v="0.08"/>
    <n v="75600"/>
    <n v="869400"/>
    <n v="15000"/>
    <n v="884400"/>
  </r>
  <r>
    <s v="5345-1"/>
    <d v="2017-03-31T00:00:00"/>
    <n v="2017"/>
    <s v="Uda Megantara"/>
    <s v="Gang Yos Sudarso No. 13"/>
    <s v="Surabaya"/>
    <x v="1"/>
    <s v="E1039"/>
    <s v="Nabila Prakasa"/>
    <s v="Nabila Prakasa"/>
    <s v="Critical"/>
    <s v="Artisan Printable Repositionable Plastic Tabs"/>
    <x v="0"/>
    <s v="Small Box"/>
    <s v="Regular Air"/>
    <n v="42827"/>
    <n v="79950"/>
    <n v="129000"/>
    <n v="49050"/>
    <n v="23"/>
    <n v="1128150"/>
    <n v="0.02"/>
    <n v="22563"/>
    <n v="1105587"/>
    <n v="15000"/>
    <n v="1120587"/>
  </r>
  <r>
    <s v="5346-1"/>
    <d v="2017-04-02T00:00:00"/>
    <n v="2017"/>
    <s v="Gamani Laksmiwati"/>
    <s v="Jl. Antapani Lama No. 705"/>
    <s v="Jakarta"/>
    <x v="2"/>
    <s v="E1028"/>
    <s v="Gaduh Pratama"/>
    <s v="Gaduh Pratama"/>
    <s v="High"/>
    <s v="TechSavi Cordless Navigator Duo"/>
    <x v="1"/>
    <s v="Small Box"/>
    <s v="Regular Air"/>
    <n v="42829"/>
    <n v="631650"/>
    <n v="1214700"/>
    <n v="583050"/>
    <n v="13"/>
    <n v="7579650"/>
    <n v="0.03"/>
    <n v="227389.5"/>
    <n v="7352260.5"/>
    <n v="15000"/>
    <n v="7367260.5"/>
  </r>
  <r>
    <s v="5347-1"/>
    <d v="2017-04-06T00:00:00"/>
    <n v="2017"/>
    <s v="Akarsana Purwanti"/>
    <s v="Gang Asia Afrika No. 72"/>
    <s v="Surabaya"/>
    <x v="3"/>
    <s v="E1037"/>
    <s v="Puti Nadine Prakasa"/>
    <s v="Puti Nadine Prakasa"/>
    <s v="Critical"/>
    <s v="Adesso Programmable 142-Key Keyboard"/>
    <x v="1"/>
    <s v="Small Box"/>
    <s v="Regular Air"/>
    <n v="42833"/>
    <n v="594600"/>
    <n v="2287200"/>
    <n v="1692600"/>
    <n v="41"/>
    <n v="69396600"/>
    <n v="7.0000000000000007E-2"/>
    <n v="4857762"/>
    <n v="64538838"/>
    <n v="15000"/>
    <n v="64553838"/>
  </r>
  <r>
    <s v="5349-1"/>
    <d v="2017-04-06T00:00:00"/>
    <n v="2017"/>
    <s v="Dina Suryatmi"/>
    <s v="Gg. Otto Iskandardinata No. 6"/>
    <s v="Jakarta"/>
    <x v="0"/>
    <s v="E1029"/>
    <s v="Laras Nuraini"/>
    <s v="Laras Nuraini"/>
    <s v="Medium"/>
    <s v="Artisan 478 Labels"/>
    <x v="0"/>
    <s v="Small Box"/>
    <s v="Regular Air"/>
    <n v="42831"/>
    <n v="47100"/>
    <n v="73650"/>
    <n v="26550"/>
    <n v="12"/>
    <n v="318600"/>
    <n v="0.04"/>
    <n v="12744"/>
    <n v="305856"/>
    <n v="15000"/>
    <n v="320856"/>
  </r>
  <r>
    <s v="5350-1"/>
    <d v="2017-04-10T00:00:00"/>
    <n v="2017"/>
    <s v="Tantri Hutapea"/>
    <s v="Jalan PHH. Mustofa No. 625"/>
    <s v="Surabaya"/>
    <x v="0"/>
    <s v="E1034"/>
    <s v="Ophelia Mustofa"/>
    <s v="Ophelia Mustofa"/>
    <s v="Low"/>
    <s v="Binding Machine Supplies"/>
    <x v="0"/>
    <s v="Small Box"/>
    <s v="Regular Air"/>
    <n v="42837"/>
    <n v="275700"/>
    <n v="437550"/>
    <n v="161850"/>
    <n v="37"/>
    <n v="5988450"/>
    <n v="0.09"/>
    <n v="538960.5"/>
    <n v="5449489.5"/>
    <n v="15000"/>
    <n v="5464489.5"/>
  </r>
  <r>
    <s v="5352-1"/>
    <d v="2017-04-12T00:00:00"/>
    <n v="2017"/>
    <s v="Siska Halim"/>
    <s v="Jl. HOS. Cokroaminoto No. 1"/>
    <s v="Surabaya"/>
    <x v="2"/>
    <s v="E1039"/>
    <s v="Nabila Prakasa"/>
    <s v="Nabila Prakasa"/>
    <s v="Medium"/>
    <s v="DrawIt Pizazz Watercolor Pencils, 10-Color Set with Brush"/>
    <x v="0"/>
    <s v="Wrap Bag"/>
    <s v="Regular Air"/>
    <n v="42838"/>
    <n v="35850"/>
    <n v="63900"/>
    <n v="28050"/>
    <n v="26"/>
    <n v="729300"/>
    <n v="0.1"/>
    <n v="72930"/>
    <n v="656370"/>
    <n v="5000"/>
    <n v="661370"/>
  </r>
  <r>
    <s v="5354-1"/>
    <d v="2017-04-12T00:00:00"/>
    <n v="2017"/>
    <s v="Nugraha Nurdiyanti"/>
    <s v="Gang Dipatiukur No. 9"/>
    <s v="Surabaya"/>
    <x v="3"/>
    <s v="E1033"/>
    <s v="Paiman Firgantoro"/>
    <s v="Paiman Firgantoro"/>
    <s v="Not Specified"/>
    <s v="TechSavi Cordless Elite Duo"/>
    <x v="1"/>
    <s v="Small Box"/>
    <s v="Regular Air"/>
    <n v="42838"/>
    <n v="908850"/>
    <n v="1514700"/>
    <n v="605850"/>
    <n v="1"/>
    <n v="605850"/>
    <n v="0.1"/>
    <n v="60585"/>
    <n v="545265"/>
    <n v="15000"/>
    <n v="560265"/>
  </r>
  <r>
    <s v="5355-1"/>
    <d v="2017-04-13T00:00:00"/>
    <n v="2017"/>
    <s v="Capa Hartati"/>
    <s v="Jl. Erlangga No. 7"/>
    <s v="Surabaya"/>
    <x v="3"/>
    <s v="E1033"/>
    <s v="Paiman Firgantoro"/>
    <s v="Paiman Firgantoro"/>
    <s v="High"/>
    <s v="Apex Forged Steel Scissors with Black Enamel Handles"/>
    <x v="0"/>
    <s v="Small Pack"/>
    <s v="Regular Air"/>
    <n v="42839"/>
    <n v="61499.999999999993"/>
    <n v="139650"/>
    <n v="78150"/>
    <n v="18"/>
    <n v="1406700"/>
    <n v="0.01"/>
    <n v="14067"/>
    <n v="1392633"/>
    <n v="10000"/>
    <n v="1402633"/>
  </r>
  <r>
    <s v="5357-1"/>
    <d v="2017-04-13T00:00:00"/>
    <n v="2017"/>
    <s v="Luwar Yuniar"/>
    <s v="Jalan R.E Martadinata No. 6"/>
    <s v="Jakarta"/>
    <x v="3"/>
    <s v="E1029"/>
    <s v="Laras Nuraini"/>
    <s v="Laras Nuraini"/>
    <s v="Low"/>
    <s v="Artisan Legal 4-Ring Binder"/>
    <x v="0"/>
    <s v="Small Box"/>
    <s v="Regular Air"/>
    <n v="42838"/>
    <n v="204600"/>
    <n v="314700"/>
    <n v="110100"/>
    <n v="23"/>
    <n v="2532300"/>
    <n v="0.03"/>
    <n v="75969"/>
    <n v="2456331"/>
    <n v="15000"/>
    <n v="2471331"/>
  </r>
  <r>
    <s v="5358-1"/>
    <d v="2017-04-18T00:00:00"/>
    <n v="2017"/>
    <s v="Najib Pratama"/>
    <s v="Gang Cikapayang No. 055"/>
    <s v="Surabaya"/>
    <x v="2"/>
    <s v="E1040"/>
    <s v="Sutan Tirtayasa Wasita"/>
    <s v="Sutan Tirtayasa Wasita"/>
    <s v="Critical"/>
    <s v="Artisan Heavy-Duty EZD  Binder With Locking Rings"/>
    <x v="0"/>
    <s v="Small Box"/>
    <s v="Regular Air"/>
    <n v="42845"/>
    <n v="52800"/>
    <n v="83700"/>
    <n v="30900"/>
    <n v="49"/>
    <n v="1514100"/>
    <n v="0.02"/>
    <n v="30282"/>
    <n v="1483818"/>
    <n v="15000"/>
    <n v="1498818"/>
  </r>
  <r>
    <s v="5358-2"/>
    <d v="2017-04-18T00:00:00"/>
    <n v="2017"/>
    <s v="Najib Pratama"/>
    <s v="Gang Cikapayang No. 055"/>
    <s v="Surabaya"/>
    <x v="2"/>
    <s v="E1040"/>
    <s v="Sutan Tirtayasa Wasita"/>
    <s v="Sutan Tirtayasa Wasita"/>
    <s v="Critical"/>
    <s v="Desktop 3-Pocket Hot File"/>
    <x v="0"/>
    <s v="Small Box"/>
    <s v="Regular Air"/>
    <n v="42844"/>
    <n v="332700"/>
    <n v="811500"/>
    <n v="478800"/>
    <n v="42"/>
    <n v="20109600"/>
    <n v="0.02"/>
    <n v="402192"/>
    <n v="19707408"/>
    <n v="15000"/>
    <n v="19722408"/>
  </r>
  <r>
    <s v="5360-1"/>
    <d v="2017-04-21T00:00:00"/>
    <n v="2017"/>
    <s v="Ajiono Setiawan"/>
    <s v="Jl. Sadang Serang No. 015"/>
    <s v="Surabaya"/>
    <x v="0"/>
    <s v="E1036"/>
    <s v="Kenari Rajasa"/>
    <s v="Kenari Rajasa"/>
    <s v="High"/>
    <s v="Economy Rollaway Files"/>
    <x v="0"/>
    <s v="Small Box"/>
    <s v="Regular Air"/>
    <n v="42846"/>
    <n v="1015950.0000000001"/>
    <n v="2478000"/>
    <n v="1462050"/>
    <n v="49"/>
    <n v="71640450"/>
    <n v="0.05"/>
    <n v="3582022.5"/>
    <n v="68058427.5"/>
    <n v="15000"/>
    <n v="68073427.5"/>
  </r>
  <r>
    <s v="5362-1"/>
    <d v="2017-04-21T00:00:00"/>
    <n v="2017"/>
    <s v="Praba Handayani"/>
    <s v="Jl. Laswi No. 04"/>
    <s v="Surabaya"/>
    <x v="0"/>
    <s v="E1040"/>
    <s v="Sutan Tirtayasa Wasita"/>
    <s v="Sutan Tirtayasa Wasita"/>
    <s v="Medium"/>
    <s v="Smiths Bulldog Clip"/>
    <x v="0"/>
    <s v="Wrap Bag"/>
    <s v="Regular Air"/>
    <n v="42847"/>
    <n v="34650"/>
    <n v="56700"/>
    <n v="22050"/>
    <n v="47"/>
    <n v="1036350"/>
    <n v="0.02"/>
    <n v="20727"/>
    <n v="1015623"/>
    <n v="5000"/>
    <n v="1020623"/>
  </r>
  <r>
    <s v="5364-1"/>
    <d v="2017-04-22T00:00:00"/>
    <n v="2017"/>
    <s v="Imam Pertiwi"/>
    <s v="Gang Yos Sudarso No. 13"/>
    <s v="Surabaya"/>
    <x v="3"/>
    <s v="E1039"/>
    <s v="Nabila Prakasa"/>
    <s v="Nabila Prakasa"/>
    <s v="Low"/>
    <s v="Artisan Flip-Chart Easel Binder, Black"/>
    <x v="0"/>
    <s v="Small Box"/>
    <s v="Regular Air"/>
    <n v="42854"/>
    <n v="208200"/>
    <n v="335700"/>
    <n v="127500"/>
    <n v="21"/>
    <n v="2677500"/>
    <n v="0.04"/>
    <n v="107100"/>
    <n v="2570400"/>
    <n v="15000"/>
    <n v="2585400"/>
  </r>
  <r>
    <s v="5365-1"/>
    <d v="2017-04-22T00:00:00"/>
    <n v="2017"/>
    <s v="Rafi Anggriawan"/>
    <s v="Gg. Stasiun Wonokromo No. 0"/>
    <s v="Jakarta"/>
    <x v="1"/>
    <s v="E1028"/>
    <s v="Gaduh Pratama"/>
    <s v="Gaduh Pratama"/>
    <s v="Low"/>
    <s v="Steady Colorific Colored Pencils, 12/Box"/>
    <x v="0"/>
    <s v="Wrap Bag"/>
    <s v="Regular Air"/>
    <n v="42851"/>
    <n v="19500"/>
    <n v="43200"/>
    <n v="23700"/>
    <n v="46"/>
    <n v="1090200"/>
    <n v="0.04"/>
    <n v="43608"/>
    <n v="1046592"/>
    <n v="5000"/>
    <n v="1051592"/>
  </r>
  <r>
    <s v="5367-1"/>
    <d v="2017-04-24T00:00:00"/>
    <n v="2017"/>
    <s v="Tantri Anggraini"/>
    <s v="Gang H.J Maemunah No. 6"/>
    <s v="Surabaya"/>
    <x v="0"/>
    <s v="E1037"/>
    <s v="Puti Nadine Prakasa"/>
    <s v="Puti Nadine Prakasa"/>
    <s v="Medium"/>
    <s v="3Max Organizer Strips"/>
    <x v="0"/>
    <s v="Small Box"/>
    <s v="Express Air"/>
    <n v="42849"/>
    <n v="51000"/>
    <n v="81000"/>
    <n v="30000"/>
    <n v="9"/>
    <n v="270000"/>
    <n v="0.09"/>
    <n v="24300"/>
    <n v="245700"/>
    <n v="30000"/>
    <n v="275700"/>
  </r>
  <r>
    <s v="5367-2"/>
    <d v="2017-04-24T00:00:00"/>
    <n v="2017"/>
    <s v="Tantri Anggraini"/>
    <s v="Gang H.J Maemunah No. 6"/>
    <s v="Surabaya"/>
    <x v="0"/>
    <s v="E1037"/>
    <s v="Puti Nadine Prakasa"/>
    <s v="Puti Nadine Prakasa"/>
    <s v="Medium"/>
    <s v="Office Shears by Apex"/>
    <x v="0"/>
    <s v="Small Pack"/>
    <s v="Regular Air"/>
    <n v="42850"/>
    <n v="14100"/>
    <n v="31200"/>
    <n v="17100"/>
    <n v="43"/>
    <n v="735300"/>
    <n v="0.05"/>
    <n v="36765"/>
    <n v="698535"/>
    <n v="10000"/>
    <n v="708535"/>
  </r>
  <r>
    <s v="5369-1"/>
    <d v="2017-04-24T00:00:00"/>
    <n v="2017"/>
    <s v="Gabriella Simbolon"/>
    <s v="Jalan Gedebage Selatan No. 048"/>
    <s v="Jakarta"/>
    <x v="3"/>
    <s v="E1029"/>
    <s v="Laras Nuraini"/>
    <s v="Laras Nuraini"/>
    <s v="Not Specified"/>
    <s v="3Max Polarizing Task Lamp with Clamp Arm, Light Gray"/>
    <x v="2"/>
    <s v="Large Box"/>
    <s v="Express Air"/>
    <n v="42850"/>
    <n v="842400"/>
    <n v="2054699.9999999998"/>
    <n v="1212299.9999999998"/>
    <n v="18"/>
    <n v="21821399.999999996"/>
    <n v="0.02"/>
    <n v="436427.99999999994"/>
    <n v="21384971.999999996"/>
    <n v="100000"/>
    <n v="21484971.999999996"/>
  </r>
  <r>
    <s v="5373-1"/>
    <d v="2017-04-27T00:00:00"/>
    <n v="2017"/>
    <s v="Daruna Mustofa"/>
    <s v="Jalan Gegerkalong Hilir No. 763"/>
    <s v="Jakarta"/>
    <x v="0"/>
    <s v="E1029"/>
    <s v="Laras Nuraini"/>
    <s v="Laras Nuraini"/>
    <s v="Low"/>
    <s v="TypeRight  Top-Opening Peel &amp; Seel  Envelopes, Gray"/>
    <x v="0"/>
    <s v="Small Box"/>
    <s v="Regular Air"/>
    <n v="42857"/>
    <n v="323400"/>
    <n v="539100"/>
    <n v="215700"/>
    <n v="13"/>
    <n v="2804100"/>
    <n v="0.09"/>
    <n v="252369"/>
    <n v="2551731"/>
    <n v="15000"/>
    <n v="2566731"/>
  </r>
  <r>
    <s v="5375-1"/>
    <d v="2017-04-28T00:00:00"/>
    <n v="2017"/>
    <s v="Argono Farida"/>
    <s v="Jalan Cikapayang No. 31"/>
    <s v="Surabaya"/>
    <x v="2"/>
    <s v="E1030"/>
    <s v="Cinthia Gunawan"/>
    <s v="Cinthia Gunawan"/>
    <s v="Not Specified"/>
    <s v="3Max Organizer Strips"/>
    <x v="0"/>
    <s v="Small Box"/>
    <s v="Express Air"/>
    <n v="42855"/>
    <n v="51000"/>
    <n v="81000"/>
    <n v="30000"/>
    <n v="14"/>
    <n v="420000"/>
    <n v="0.09"/>
    <n v="37800"/>
    <n v="382200"/>
    <n v="30000"/>
    <n v="412200"/>
  </r>
  <r>
    <s v="5377-1"/>
    <d v="2017-04-28T00:00:00"/>
    <n v="2017"/>
    <s v="Dadi Anggraini"/>
    <s v="Jalan K.H. Wahid Hasyim No. 5"/>
    <s v="Surabaya"/>
    <x v="0"/>
    <s v="E1030"/>
    <s v="Cinthia Gunawan"/>
    <s v="Cinthia Gunawan"/>
    <s v="Not Specified"/>
    <s v="Fluorescent Highlighters by DrawIt"/>
    <x v="0"/>
    <s v="Wrap Bag"/>
    <s v="Regular Air"/>
    <n v="42856"/>
    <n v="29250"/>
    <n v="59700"/>
    <n v="30450"/>
    <n v="41"/>
    <n v="1248450"/>
    <n v="7.0000000000000007E-2"/>
    <n v="87391.500000000015"/>
    <n v="1161058.5"/>
    <n v="5000"/>
    <n v="1166058.5"/>
  </r>
  <r>
    <s v="5379-1"/>
    <d v="2017-04-29T00:00:00"/>
    <n v="2017"/>
    <s v="Luhung Padmasari"/>
    <s v="Jl. Pelajar Pejuang No. 25"/>
    <s v="Bandung"/>
    <x v="1"/>
    <s v="E1036"/>
    <s v="Kenari Rajasa"/>
    <s v="Kenari Rajasa"/>
    <s v="Medium"/>
    <s v="Apex Straight Scissors"/>
    <x v="0"/>
    <s v="Small Pack"/>
    <s v="Express Air"/>
    <n v="42856"/>
    <n v="77850"/>
    <n v="194700"/>
    <n v="116850"/>
    <n v="34"/>
    <n v="3972900"/>
    <n v="0.04"/>
    <n v="158916"/>
    <n v="3813984"/>
    <n v="20000"/>
    <n v="3833984"/>
  </r>
  <r>
    <s v="5381-1"/>
    <d v="2017-04-29T00:00:00"/>
    <n v="2017"/>
    <s v="Salimah Habibi"/>
    <s v="Jalan Tebet Barat Dalam No. 229"/>
    <s v="Surabaya"/>
    <x v="0"/>
    <s v="E1031"/>
    <s v="Bagiya Sihombing"/>
    <s v="Bagiya Sihombing"/>
    <s v="Medium"/>
    <s v="Emerson LQ-870 Dot Matrix Printer"/>
    <x v="1"/>
    <s v="Jumbo Drum"/>
    <s v="Delivery Truck"/>
    <n v="42856"/>
    <n v="3294150"/>
    <n v="8034600"/>
    <n v="4740450"/>
    <n v="1"/>
    <n v="4740450"/>
    <n v="0.05"/>
    <n v="237022.5"/>
    <n v="4503427.5"/>
    <n v="500000"/>
    <n v="5003427.5"/>
  </r>
  <r>
    <s v="5383-1"/>
    <d v="2017-05-01T00:00:00"/>
    <n v="2017"/>
    <s v="Zulfa Puspasari"/>
    <s v="Gang Astana Anyar No. 0"/>
    <s v="Bandung"/>
    <x v="0"/>
    <s v="E1036"/>
    <s v="Kenari Rajasa"/>
    <s v="Kenari Rajasa"/>
    <s v="Critical"/>
    <s v="Artisan 48 Labels"/>
    <x v="0"/>
    <s v="Small Box"/>
    <s v="Regular Air"/>
    <n v="42858"/>
    <n v="57600"/>
    <n v="94500"/>
    <n v="36900"/>
    <n v="32"/>
    <n v="1180800"/>
    <n v="0.04"/>
    <n v="47232"/>
    <n v="1133568"/>
    <n v="15000"/>
    <n v="1148568"/>
  </r>
  <r>
    <s v="5384-1"/>
    <d v="2017-05-07T00:00:00"/>
    <n v="2017"/>
    <s v="Ina Permata"/>
    <s v="Gg. Surapati No. 471"/>
    <s v="Surabaya"/>
    <x v="0"/>
    <s v="E1038"/>
    <s v="Clara Prasetyo"/>
    <s v="Clara Prasetyo"/>
    <s v="Not Specified"/>
    <s v="Binder Clips by OIC"/>
    <x v="0"/>
    <s v="Wrap Bag"/>
    <s v="Regular Air"/>
    <n v="42864"/>
    <n v="13950"/>
    <n v="22200"/>
    <n v="8250"/>
    <n v="27"/>
    <n v="222750"/>
    <n v="0"/>
    <n v="0"/>
    <n v="222750"/>
    <n v="5000"/>
    <n v="227750"/>
  </r>
  <r>
    <s v="5386-1"/>
    <d v="2017-05-08T00:00:00"/>
    <n v="2017"/>
    <s v="Wardi Yolanda"/>
    <s v="Jalan Gardujati No. 513"/>
    <s v="Surabaya"/>
    <x v="1"/>
    <s v="E1036"/>
    <s v="Kenari Rajasa"/>
    <s v="Kenari Rajasa"/>
    <s v="High"/>
    <s v="Emerson C82 Color Inkjet Printer"/>
    <x v="1"/>
    <s v="Jumbo Drum"/>
    <s v="Delivery Truck"/>
    <n v="42865"/>
    <n v="1151850"/>
    <n v="1799850"/>
    <n v="648000"/>
    <n v="13"/>
    <n v="8424000"/>
    <n v="0.04"/>
    <n v="336960"/>
    <n v="8087040"/>
    <n v="500000"/>
    <n v="8587040"/>
  </r>
  <r>
    <s v="5388-1"/>
    <d v="2017-05-09T00:00:00"/>
    <n v="2017"/>
    <s v="Ega Rajata"/>
    <s v="Gang Asia Afrika No. 96"/>
    <s v="Surabaya"/>
    <x v="0"/>
    <s v="E1036"/>
    <s v="Kenari Rajasa"/>
    <s v="Kenari Rajasa"/>
    <s v="Medium"/>
    <s v="12 Colored Short Pencils"/>
    <x v="0"/>
    <s v="Wrap Bag"/>
    <s v="Regular Air"/>
    <n v="42866"/>
    <n v="16350.000000000002"/>
    <n v="39000"/>
    <n v="22650"/>
    <n v="27"/>
    <n v="611550"/>
    <n v="0.09"/>
    <n v="55039.5"/>
    <n v="556510.5"/>
    <n v="5000"/>
    <n v="561510.5"/>
  </r>
  <r>
    <s v="5389-1"/>
    <d v="2017-05-10T00:00:00"/>
    <n v="2017"/>
    <s v="Rahayu Nurdiyanti"/>
    <s v="Jalan R.E Martadinata No. 6"/>
    <s v="Jakarta"/>
    <x v="2"/>
    <s v="E1029"/>
    <s v="Laras Nuraini"/>
    <s v="Laras Nuraini"/>
    <s v="Low"/>
    <s v="Aluminum Document Frame"/>
    <x v="2"/>
    <s v="Small Pack"/>
    <s v="Regular Air"/>
    <n v="42872"/>
    <n v="82500"/>
    <n v="183300"/>
    <n v="100800"/>
    <n v="19"/>
    <n v="1915200"/>
    <n v="0.09"/>
    <n v="172368"/>
    <n v="1742832"/>
    <n v="10000"/>
    <n v="1752832"/>
  </r>
  <r>
    <s v="5391-1"/>
    <d v="2017-05-10T00:00:00"/>
    <n v="2017"/>
    <s v="Rangga Jailani"/>
    <s v="Gg. Jamika No. 6"/>
    <s v="Surabaya"/>
    <x v="1"/>
    <s v="E1036"/>
    <s v="Kenari Rajasa"/>
    <s v="Kenari Rajasa"/>
    <s v="Critical"/>
    <s v="TechSavi Access Keyboard"/>
    <x v="1"/>
    <s v="Small Box"/>
    <s v="Regular Air"/>
    <n v="42866"/>
    <n v="151050"/>
    <n v="239700"/>
    <n v="88650"/>
    <n v="8"/>
    <n v="709200"/>
    <n v="0.04"/>
    <n v="28368"/>
    <n v="680832"/>
    <n v="15000"/>
    <n v="695832"/>
  </r>
  <r>
    <s v="5392-1"/>
    <d v="2017-05-11T00:00:00"/>
    <n v="2017"/>
    <s v="Wadi Siregar"/>
    <s v="Gg. M.H Thamrin No. 784"/>
    <s v="Jakarta"/>
    <x v="2"/>
    <s v="E1029"/>
    <s v="Laras Nuraini"/>
    <s v="Laras Nuraini"/>
    <s v="High"/>
    <s v="Artisan Printable Repositionable Plastic Tabs"/>
    <x v="0"/>
    <s v="Small Box"/>
    <s v="Regular Air"/>
    <n v="42866"/>
    <n v="79950"/>
    <n v="129000"/>
    <n v="49050"/>
    <n v="4"/>
    <n v="196200"/>
    <n v="0.04"/>
    <n v="7848"/>
    <n v="188352"/>
    <n v="15000"/>
    <n v="203352"/>
  </r>
  <r>
    <s v="5393-1"/>
    <d v="2017-05-13T00:00:00"/>
    <n v="2017"/>
    <s v="Balapati Agustina"/>
    <s v="Gang Gedebage Selatan No. 424"/>
    <s v="Surabaya"/>
    <x v="3"/>
    <s v="E1033"/>
    <s v="Paiman Firgantoro"/>
    <s v="Paiman Firgantoro"/>
    <s v="High"/>
    <s v="TypeRight Side-Opening Peel &amp; Seel Expanding Envelopes"/>
    <x v="0"/>
    <s v="Small Box"/>
    <s v="Regular Air"/>
    <n v="42871"/>
    <n v="814350"/>
    <n v="1357200"/>
    <n v="542850"/>
    <n v="27"/>
    <n v="14656950"/>
    <n v="0"/>
    <n v="0"/>
    <n v="14656950"/>
    <n v="15000"/>
    <n v="14671950"/>
  </r>
  <r>
    <s v="5394-1"/>
    <d v="2017-05-14T00:00:00"/>
    <n v="2017"/>
    <s v="Tasdik Nugroho"/>
    <s v="Jl. Pasir Koja No. 059"/>
    <s v="Surabaya"/>
    <x v="1"/>
    <s v="E1032"/>
    <s v="Violet Mentari"/>
    <s v="Violet Mentari"/>
    <s v="Critical"/>
    <s v="Artisan Legal 4-Ring Binder"/>
    <x v="0"/>
    <s v="Small Box"/>
    <s v="Regular Air"/>
    <n v="42871"/>
    <n v="204600"/>
    <n v="314700"/>
    <n v="110100"/>
    <n v="31"/>
    <n v="3413100"/>
    <n v="0.09"/>
    <n v="307179"/>
    <n v="3105921"/>
    <n v="15000"/>
    <n v="3120921"/>
  </r>
  <r>
    <s v="5395-1"/>
    <d v="2017-05-14T00:00:00"/>
    <n v="2017"/>
    <s v="Kiandra Salahudin"/>
    <s v="Jalan Raya Ujungberung No. 5"/>
    <s v="Surabaya"/>
    <x v="3"/>
    <s v="E1037"/>
    <s v="Puti Nadine Prakasa"/>
    <s v="Puti Nadine Prakasa"/>
    <s v="Medium"/>
    <s v="Wirebound Message Book, 4 per Page"/>
    <x v="0"/>
    <s v="Wrap Bag"/>
    <s v="Regular Air"/>
    <n v="42871"/>
    <n v="52200"/>
    <n v="81450"/>
    <n v="29250"/>
    <n v="2"/>
    <n v="58500"/>
    <n v="0.1"/>
    <n v="5850"/>
    <n v="52650"/>
    <n v="5000"/>
    <n v="57650"/>
  </r>
  <r>
    <s v="5396-1"/>
    <d v="2017-05-17T00:00:00"/>
    <n v="2017"/>
    <s v="Usman Prabowo"/>
    <s v="Jl. K.H. Wahid Hasyim No. 4"/>
    <s v="Jakarta"/>
    <x v="3"/>
    <s v="E1029"/>
    <s v="Laras Nuraini"/>
    <s v="Laras Nuraini"/>
    <s v="Low"/>
    <s v="Colored Envelopes"/>
    <x v="0"/>
    <s v="Small Box"/>
    <s v="Regular Air"/>
    <n v="42877"/>
    <n v="33750"/>
    <n v="55350"/>
    <n v="21600"/>
    <n v="20"/>
    <n v="432000"/>
    <n v="0.08"/>
    <n v="34560"/>
    <n v="397440"/>
    <n v="15000"/>
    <n v="412440"/>
  </r>
  <r>
    <s v="5398-1"/>
    <d v="2017-05-18T00:00:00"/>
    <n v="2017"/>
    <s v="Bahuraksa Saragih"/>
    <s v="Jalan Kapten Muslihat No. 168"/>
    <s v="Surabaya"/>
    <x v="3"/>
    <s v="E1031"/>
    <s v="Bagiya Sihombing"/>
    <s v="Bagiya Sihombing"/>
    <s v="Critical"/>
    <s v="UGen Ultra Cordless Optical Suite"/>
    <x v="1"/>
    <s v="Small Box"/>
    <s v="Regular Air"/>
    <n v="42874"/>
    <n v="817800"/>
    <n v="1514550"/>
    <n v="696750"/>
    <n v="15"/>
    <n v="10451250"/>
    <n v="0.08"/>
    <n v="836100"/>
    <n v="9615150"/>
    <n v="15000"/>
    <n v="9630150"/>
  </r>
  <r>
    <s v="5400-1"/>
    <d v="2017-05-20T00:00:00"/>
    <n v="2017"/>
    <s v="Mujur Hariyah"/>
    <s v="Jalan Moch. Toha No. 9"/>
    <s v="Surabaya"/>
    <x v="3"/>
    <s v="E1033"/>
    <s v="Paiman Firgantoro"/>
    <s v="Paiman Firgantoro"/>
    <s v="Medium"/>
    <s v="Cando PC940 Copier"/>
    <x v="1"/>
    <s v="Jumbo Drum"/>
    <s v="Delivery Truck"/>
    <n v="42876"/>
    <n v="4184850"/>
    <n v="6749850"/>
    <n v="2565000"/>
    <n v="39"/>
    <n v="100035000"/>
    <n v="0.08"/>
    <n v="8002800"/>
    <n v="92032200"/>
    <n v="500000"/>
    <n v="92532200"/>
  </r>
  <r>
    <s v="5402-1"/>
    <d v="2017-05-22T00:00:00"/>
    <n v="2017"/>
    <s v="Jasmani Napitupulu"/>
    <s v="Gg. Joyoboyo No. 8"/>
    <s v="Jakarta"/>
    <x v="1"/>
    <s v="E1028"/>
    <s v="Gaduh Pratama"/>
    <s v="Gaduh Pratama"/>
    <s v="Low"/>
    <s v="HFX LaserJet 3310 Copier"/>
    <x v="1"/>
    <s v="Large Box"/>
    <s v="Regular Air"/>
    <n v="42886"/>
    <n v="5669850"/>
    <n v="8999850"/>
    <n v="3330000"/>
    <n v="48"/>
    <n v="159840000"/>
    <n v="0.08"/>
    <n v="12787200"/>
    <n v="147052800"/>
    <n v="50000"/>
    <n v="147102800"/>
  </r>
  <r>
    <s v="5402-2"/>
    <d v="2017-05-22T00:00:00"/>
    <n v="2017"/>
    <s v="Jasmani Napitupulu"/>
    <s v="Gg. Joyoboyo No. 8"/>
    <s v="Jakarta"/>
    <x v="1"/>
    <s v="E1028"/>
    <s v="Gaduh Pratama"/>
    <s v="Gaduh Pratama"/>
    <s v="Low"/>
    <s v="Unpadded Memo Slips"/>
    <x v="0"/>
    <s v="Wrap Bag"/>
    <s v="Express Air"/>
    <n v="42882"/>
    <n v="38850"/>
    <n v="59700"/>
    <n v="20850"/>
    <n v="11"/>
    <n v="229350"/>
    <n v="0.1"/>
    <n v="22935"/>
    <n v="206415"/>
    <n v="10000"/>
    <n v="216415"/>
  </r>
  <r>
    <s v="5404-1"/>
    <d v="2017-05-24T00:00:00"/>
    <n v="2017"/>
    <s v="Balangga Rahmawati"/>
    <s v="Jl. W.R. Supratman No. 473"/>
    <s v="Surabaya"/>
    <x v="1"/>
    <s v="E1036"/>
    <s v="Kenari Rajasa"/>
    <s v="Kenari Rajasa"/>
    <s v="Low"/>
    <s v="Artisan Poly Binder Pockets"/>
    <x v="0"/>
    <s v="Small Box"/>
    <s v="Regular Air"/>
    <n v="42883"/>
    <n v="33900"/>
    <n v="53700"/>
    <n v="19800"/>
    <n v="42"/>
    <n v="831600"/>
    <n v="0.01"/>
    <n v="8316"/>
    <n v="823284"/>
    <n v="15000"/>
    <n v="838284"/>
  </r>
  <r>
    <s v="5405-1"/>
    <d v="2017-05-25T00:00:00"/>
    <n v="2017"/>
    <s v="Kayla Melani"/>
    <s v="Jl. Ciwastra No. 543"/>
    <s v="Jakarta"/>
    <x v="3"/>
    <s v="E1029"/>
    <s v="Laras Nuraini"/>
    <s v="Laras Nuraini"/>
    <s v="Critical"/>
    <s v="1726 Digital Answering Machine"/>
    <x v="1"/>
    <s v="Medium Box"/>
    <s v="Regular Air"/>
    <n v="42881"/>
    <n v="132300"/>
    <n v="314850"/>
    <n v="182550"/>
    <n v="42"/>
    <n v="7667100"/>
    <n v="7.0000000000000007E-2"/>
    <n v="536697"/>
    <n v="7130403"/>
    <n v="20000"/>
    <n v="7150403"/>
  </r>
  <r>
    <s v="5407-1"/>
    <d v="2017-05-25T00:00:00"/>
    <n v="2017"/>
    <s v="Raden Hasanah"/>
    <s v="Gg. Ronggowarsito No. 033"/>
    <s v="Surabaya"/>
    <x v="2"/>
    <s v="E1038"/>
    <s v="Clara Prasetyo"/>
    <s v="Clara Prasetyo"/>
    <s v="Low"/>
    <s v="Ames Color-File Green Diamond Border X-ray Mailers"/>
    <x v="0"/>
    <s v="Small Box"/>
    <s v="Express Air"/>
    <n v="42882"/>
    <n v="781050"/>
    <n v="1259700"/>
    <n v="478650"/>
    <n v="9"/>
    <n v="4307850"/>
    <n v="0.05"/>
    <n v="215392.5"/>
    <n v="4092457.5"/>
    <n v="30000"/>
    <n v="4122457.5"/>
  </r>
  <r>
    <s v="5409-1"/>
    <d v="2017-05-27T00:00:00"/>
    <n v="2017"/>
    <s v="Karsana Halim"/>
    <s v="Jalan Jayawijaya No. 5"/>
    <s v="Surabaya"/>
    <x v="0"/>
    <s v="E1033"/>
    <s v="Paiman Firgantoro"/>
    <s v="Paiman Firgantoro"/>
    <s v="High"/>
    <s v="Cando PC940 Copier"/>
    <x v="1"/>
    <s v="Large Box"/>
    <s v="Regular Air"/>
    <n v="42883"/>
    <n v="3240000"/>
    <n v="6749850"/>
    <n v="3509850"/>
    <n v="5"/>
    <n v="17549250"/>
    <n v="0.02"/>
    <n v="350985"/>
    <n v="17198265"/>
    <n v="50000"/>
    <n v="17248265"/>
  </r>
  <r>
    <s v="5411-1"/>
    <d v="2017-05-28T00:00:00"/>
    <n v="2017"/>
    <s v="Eja Anggriawan"/>
    <s v="Jalan K.H. Wahid Hasyim No. 5"/>
    <s v="Surabaya"/>
    <x v="2"/>
    <s v="E1030"/>
    <s v="Cinthia Gunawan"/>
    <s v="Cinthia Gunawan"/>
    <s v="High"/>
    <s v="Artisan Hi-Liter Pen Style Six-Color Fluorescent Set"/>
    <x v="0"/>
    <s v="Wrap Bag"/>
    <s v="Regular Air"/>
    <n v="42883"/>
    <n v="32400.000000000004"/>
    <n v="57750"/>
    <n v="25349.999999999996"/>
    <n v="31"/>
    <n v="785849.99999999988"/>
    <n v="0.09"/>
    <n v="70726.499999999985"/>
    <n v="715123.49999999988"/>
    <n v="5000"/>
    <n v="720123.49999999988"/>
  </r>
  <r>
    <s v="5413-1"/>
    <d v="2017-05-30T00:00:00"/>
    <n v="2017"/>
    <s v="Bakiadi Hassanah"/>
    <s v="Jalan Gedebage Selatan No. 048"/>
    <s v="Jakarta"/>
    <x v="0"/>
    <s v="E1029"/>
    <s v="Laras Nuraini"/>
    <s v="Laras Nuraini"/>
    <s v="Medium"/>
    <s v="Blackstonian Pencils"/>
    <x v="0"/>
    <s v="Wrap Bag"/>
    <s v="Regular Air"/>
    <n v="42886"/>
    <n v="17250"/>
    <n v="40050"/>
    <n v="22800"/>
    <n v="19"/>
    <n v="433200"/>
    <n v="0.03"/>
    <n v="12996"/>
    <n v="420204"/>
    <n v="5000"/>
    <n v="425204"/>
  </r>
  <r>
    <s v="5415-1"/>
    <d v="2017-05-30T00:00:00"/>
    <n v="2017"/>
    <s v="Luhung Sudiati"/>
    <s v="Gang Asia Afrika No. 96"/>
    <s v="Surabaya"/>
    <x v="1"/>
    <s v="E1036"/>
    <s v="Kenari Rajasa"/>
    <s v="Kenari Rajasa"/>
    <s v="Low"/>
    <s v="Creator Colored Pencils"/>
    <x v="0"/>
    <s v="Wrap Bag"/>
    <s v="Express Air"/>
    <n v="42890"/>
    <n v="23550"/>
    <n v="49200"/>
    <n v="25650"/>
    <n v="44"/>
    <n v="1128600"/>
    <n v="0"/>
    <n v="0"/>
    <n v="1128600"/>
    <n v="10000"/>
    <n v="1138600"/>
  </r>
  <r>
    <s v="5416-1"/>
    <d v="2017-05-31T00:00:00"/>
    <n v="2017"/>
    <s v="Wisnu Kuswandari"/>
    <s v="Gg. Otto Iskandardinata No. 6"/>
    <s v="Jakarta"/>
    <x v="1"/>
    <s v="E1028"/>
    <s v="Gaduh Pratama"/>
    <s v="Gaduh Pratama"/>
    <s v="High"/>
    <s v="1726 Digital Answering Machine"/>
    <x v="1"/>
    <s v="Medium Box"/>
    <s v="Regular Air"/>
    <n v="42888"/>
    <n v="132300"/>
    <n v="314850"/>
    <n v="182550"/>
    <n v="24"/>
    <n v="4381200"/>
    <n v="0.01"/>
    <n v="43812"/>
    <n v="4337388"/>
    <n v="20000"/>
    <n v="4357388"/>
  </r>
  <r>
    <s v="5418-1"/>
    <d v="2017-06-06T00:00:00"/>
    <n v="2017"/>
    <s v="Cawisadi Anggriawan"/>
    <s v="Jl. Surapati No. 996"/>
    <s v="Surabaya"/>
    <x v="1"/>
    <s v="E1037"/>
    <s v="Puti Nadine Prakasa"/>
    <s v="Puti Nadine Prakasa"/>
    <s v="Critical"/>
    <s v="Apex Box Cutter Scissors"/>
    <x v="0"/>
    <s v="Small Pack"/>
    <s v="Regular Air"/>
    <n v="42893"/>
    <n v="62850.000000000007"/>
    <n v="153450"/>
    <n v="90600"/>
    <n v="9"/>
    <n v="815400"/>
    <n v="7.0000000000000007E-2"/>
    <n v="57078.000000000007"/>
    <n v="758322"/>
    <n v="10000"/>
    <n v="768322"/>
  </r>
  <r>
    <s v="5420-1"/>
    <d v="2017-06-06T00:00:00"/>
    <n v="2017"/>
    <s v="Kunthara Prasetya"/>
    <s v="Jalan Astana Anyar No. 41"/>
    <s v="Jakarta"/>
    <x v="2"/>
    <s v="E1028"/>
    <s v="Gaduh Pratama"/>
    <s v="Gaduh Pratama"/>
    <s v="High"/>
    <s v="Binder Clips by OIC"/>
    <x v="0"/>
    <s v="Wrap Bag"/>
    <s v="Regular Air"/>
    <n v="42893"/>
    <n v="13950"/>
    <n v="22200"/>
    <n v="8250"/>
    <n v="46"/>
    <n v="379500"/>
    <n v="0"/>
    <n v="0"/>
    <n v="379500"/>
    <n v="5000"/>
    <n v="384500"/>
  </r>
  <r>
    <s v="5421-1"/>
    <d v="2017-06-06T00:00:00"/>
    <n v="2017"/>
    <s v="Yance Anggraini"/>
    <s v="Jl. Erlangga No. 7"/>
    <s v="Surabaya"/>
    <x v="1"/>
    <s v="E1033"/>
    <s v="Paiman Firgantoro"/>
    <s v="Paiman Firgantoro"/>
    <s v="High"/>
    <s v="TypeRight  Top-Opening Peel &amp; Seel  Envelopes, Gray"/>
    <x v="0"/>
    <s v="Small Box"/>
    <s v="Regular Air"/>
    <n v="42893"/>
    <n v="323400"/>
    <n v="539100"/>
    <n v="215700"/>
    <n v="13"/>
    <n v="2804100"/>
    <n v="0.03"/>
    <n v="84123"/>
    <n v="2719977"/>
    <n v="15000"/>
    <n v="2734977"/>
  </r>
  <r>
    <s v="5423-1"/>
    <d v="2017-06-07T00:00:00"/>
    <n v="2017"/>
    <s v="Umay Hardiansyah"/>
    <s v="Jl. Antapani Lama No. 705"/>
    <s v="Jakarta"/>
    <x v="3"/>
    <s v="E1028"/>
    <s v="Gaduh Pratama"/>
    <s v="Gaduh Pratama"/>
    <s v="Medium"/>
    <s v="TechSavi Cordless Navigator Duo"/>
    <x v="1"/>
    <s v="Small Box"/>
    <s v="Regular Air"/>
    <n v="42896"/>
    <n v="631650"/>
    <n v="1214700"/>
    <n v="583050"/>
    <n v="45"/>
    <n v="26237250"/>
    <n v="0"/>
    <n v="0"/>
    <n v="26237250"/>
    <n v="15000"/>
    <n v="26252250"/>
  </r>
  <r>
    <s v="5424-1"/>
    <d v="2017-06-08T00:00:00"/>
    <n v="2017"/>
    <s v="Febi Pangestu"/>
    <s v="Gang Sentot Alibasa No. 38"/>
    <s v="Surabaya"/>
    <x v="3"/>
    <s v="E1033"/>
    <s v="Paiman Firgantoro"/>
    <s v="Paiman Firgantoro"/>
    <s v="Critical"/>
    <s v="Artisan Non-Stick Binders"/>
    <x v="0"/>
    <s v="Small Box"/>
    <s v="Regular Air"/>
    <n v="42895"/>
    <n v="41100"/>
    <n v="67350"/>
    <n v="26250"/>
    <n v="6"/>
    <n v="157500"/>
    <n v="0.03"/>
    <n v="4725"/>
    <n v="152775"/>
    <n v="15000"/>
    <n v="167775"/>
  </r>
  <r>
    <s v="5426-1"/>
    <d v="2017-06-08T00:00:00"/>
    <n v="2017"/>
    <s v="Rika Mayasari"/>
    <s v="Jl. S. Parman No. 91"/>
    <s v="Surabaya"/>
    <x v="3"/>
    <s v="E1034"/>
    <s v="Ophelia Mustofa"/>
    <s v="Ophelia Mustofa"/>
    <s v="Not Specified"/>
    <s v="EcoTones Memo Sheets"/>
    <x v="0"/>
    <s v="Wrap Bag"/>
    <s v="Regular Air"/>
    <n v="42896"/>
    <n v="37800"/>
    <n v="60000"/>
    <n v="22200"/>
    <n v="33"/>
    <n v="732600"/>
    <n v="0.08"/>
    <n v="58608"/>
    <n v="673992"/>
    <n v="5000"/>
    <n v="678992"/>
  </r>
  <r>
    <s v="5428-1"/>
    <d v="2017-06-09T00:00:00"/>
    <n v="2017"/>
    <s v="Ayu Ardianto"/>
    <s v="Gg. Siliwangi No. 26"/>
    <s v="Jakarta"/>
    <x v="3"/>
    <s v="E1029"/>
    <s v="Laras Nuraini"/>
    <s v="Laras Nuraini"/>
    <s v="Not Specified"/>
    <s v="Creator Colored Pencils"/>
    <x v="0"/>
    <s v="Wrap Bag"/>
    <s v="Regular Air"/>
    <n v="42896"/>
    <n v="23550"/>
    <n v="49200"/>
    <n v="25650"/>
    <n v="26"/>
    <n v="666900"/>
    <n v="0.08"/>
    <n v="53352"/>
    <n v="613548"/>
    <n v="5000"/>
    <n v="618548"/>
  </r>
  <r>
    <s v="5430-1"/>
    <d v="2017-06-09T00:00:00"/>
    <n v="2017"/>
    <s v="Ega Zulaika"/>
    <s v="Jl. Jamika No. 246"/>
    <s v="Surabaya"/>
    <x v="0"/>
    <s v="E1038"/>
    <s v="Clara Prasetyo"/>
    <s v="Clara Prasetyo"/>
    <s v="Critical"/>
    <s v="Steady Liquid Accent Highlighters"/>
    <x v="0"/>
    <s v="Wrap Bag"/>
    <s v="Regular Air"/>
    <n v="42897"/>
    <n v="52050"/>
    <n v="100200"/>
    <n v="48150"/>
    <n v="33"/>
    <n v="1588950"/>
    <n v="0.03"/>
    <n v="47668.5"/>
    <n v="1541281.5"/>
    <n v="5000"/>
    <n v="1546281.5"/>
  </r>
  <r>
    <s v="5432-1"/>
    <d v="2017-06-12T00:00:00"/>
    <n v="2017"/>
    <s v="Rusman Aryani"/>
    <s v="Gg. Siliwangi No. 82"/>
    <s v="Surabaya"/>
    <x v="3"/>
    <s v="E1036"/>
    <s v="Kenari Rajasa"/>
    <s v="Kenari Rajasa"/>
    <s v="Medium"/>
    <s v="Steady EarthWrite Recycled Pencils, Medium Soft, #2"/>
    <x v="0"/>
    <s v="Wrap Bag"/>
    <s v="Regular Air"/>
    <n v="42899"/>
    <n v="13500"/>
    <n v="31500"/>
    <n v="18000"/>
    <n v="21"/>
    <n v="378000"/>
    <n v="0.04"/>
    <n v="15120"/>
    <n v="362880"/>
    <n v="5000"/>
    <n v="367880"/>
  </r>
  <r>
    <s v="5433-1"/>
    <d v="2017-06-14T00:00:00"/>
    <n v="2017"/>
    <s v="Jasmani Zulkarnain"/>
    <s v="Jl. Pasir Koja No. 059"/>
    <s v="Surabaya"/>
    <x v="0"/>
    <s v="E1032"/>
    <s v="Violet Mentari"/>
    <s v="Violet Mentari"/>
    <s v="Medium"/>
    <s v="Binding Machine Supplies"/>
    <x v="0"/>
    <s v="Small Box"/>
    <s v="Regular Air"/>
    <n v="42901"/>
    <n v="275700"/>
    <n v="437550"/>
    <n v="161850"/>
    <n v="1"/>
    <n v="161850"/>
    <n v="0.02"/>
    <n v="3237"/>
    <n v="158613"/>
    <n v="15000"/>
    <n v="173613"/>
  </r>
  <r>
    <s v="5434-1"/>
    <d v="2017-06-18T00:00:00"/>
    <n v="2017"/>
    <s v="Jinawi Puspita"/>
    <s v="Gg. Monginsidi No. 3"/>
    <s v="Jakarta"/>
    <x v="3"/>
    <s v="E1029"/>
    <s v="Laras Nuraini"/>
    <s v="Laras Nuraini"/>
    <s v="Critical"/>
    <s v="Beekin 6 Outlet Metallic Surge Strip"/>
    <x v="0"/>
    <s v="Small Box"/>
    <s v="Regular Air"/>
    <n v="42905"/>
    <n v="66900"/>
    <n v="163350"/>
    <n v="96450"/>
    <n v="32"/>
    <n v="3086400"/>
    <n v="0.1"/>
    <n v="308640"/>
    <n v="2777760"/>
    <n v="15000"/>
    <n v="2792760"/>
  </r>
  <r>
    <s v="5435-1"/>
    <d v="2017-06-22T00:00:00"/>
    <n v="2017"/>
    <s v="Hilda Yulianti"/>
    <s v="Jl. Pasir Koja No. 059"/>
    <s v="Surabaya"/>
    <x v="1"/>
    <s v="E1032"/>
    <s v="Violet Mentari"/>
    <s v="Violet Mentari"/>
    <s v="Not Specified"/>
    <s v="Artisan 481 Labels"/>
    <x v="0"/>
    <s v="Small Box"/>
    <s v="Regular Air"/>
    <n v="42909"/>
    <n v="29100"/>
    <n v="46200"/>
    <n v="17100"/>
    <n v="1"/>
    <n v="17100"/>
    <n v="0.08"/>
    <n v="1368"/>
    <n v="15732"/>
    <n v="15000"/>
    <n v="30732"/>
  </r>
  <r>
    <s v="5436-1"/>
    <d v="2017-06-23T00:00:00"/>
    <n v="2017"/>
    <s v="Gara Purwanti"/>
    <s v="Jl. Surapati No. 30"/>
    <s v="Surabaya"/>
    <x v="1"/>
    <s v="E1031"/>
    <s v="Bagiya Sihombing"/>
    <s v="Bagiya Sihombing"/>
    <s v="Medium"/>
    <s v="Airmail Envelopes"/>
    <x v="0"/>
    <s v="Small Box"/>
    <s v="Regular Air"/>
    <n v="42910"/>
    <n v="780600"/>
    <n v="1258950"/>
    <n v="478350"/>
    <n v="50"/>
    <n v="23917500"/>
    <n v="0.1"/>
    <n v="2391750"/>
    <n v="21525750"/>
    <n v="15000"/>
    <n v="21540750"/>
  </r>
  <r>
    <s v="5438-1"/>
    <d v="2017-06-24T00:00:00"/>
    <n v="2017"/>
    <s v="Edi Waskita"/>
    <s v="Jalan Asia Afrika No. 3"/>
    <s v="Bandung"/>
    <x v="0"/>
    <s v="E1033"/>
    <s v="Paiman Firgantoro"/>
    <s v="Paiman Firgantoro"/>
    <s v="High"/>
    <s v="TechSavi Cordless Elite Duo"/>
    <x v="1"/>
    <s v="Small Box"/>
    <s v="Express Air"/>
    <n v="42911"/>
    <n v="908850"/>
    <n v="1514700"/>
    <n v="605850"/>
    <n v="5"/>
    <n v="3029250"/>
    <n v="0.02"/>
    <n v="60585"/>
    <n v="2968665"/>
    <n v="30000"/>
    <n v="2998665"/>
  </r>
  <r>
    <s v="5439-1"/>
    <d v="2017-06-25T00:00:00"/>
    <n v="2017"/>
    <s v="Kayla Melani"/>
    <s v="Jl. Ciwastra No. 543"/>
    <s v="Jakarta"/>
    <x v="1"/>
    <s v="E1029"/>
    <s v="Laras Nuraini"/>
    <s v="Laras Nuraini"/>
    <s v="Low"/>
    <s v="Steady Major Accent Highlighters"/>
    <x v="0"/>
    <s v="Wrap Bag"/>
    <s v="Regular Air"/>
    <n v="42911"/>
    <n v="56250"/>
    <n v="106200"/>
    <n v="49950"/>
    <n v="34"/>
    <n v="1698300"/>
    <n v="0.03"/>
    <n v="50949"/>
    <n v="1647351"/>
    <n v="5000"/>
    <n v="1652351"/>
  </r>
  <r>
    <s v="5440-1"/>
    <d v="2017-06-27T00:00:00"/>
    <n v="2017"/>
    <s v="Unggul Zulaika"/>
    <s v="Jl. Jend. Sudirman No. 0"/>
    <s v="Surabaya"/>
    <x v="3"/>
    <s v="E1030"/>
    <s v="Cinthia Gunawan"/>
    <s v="Cinthia Gunawan"/>
    <s v="Critical"/>
    <s v="Binder Posts"/>
    <x v="0"/>
    <s v="Small Box"/>
    <s v="Regular Air"/>
    <n v="42913"/>
    <n v="52500"/>
    <n v="86100"/>
    <n v="33600"/>
    <n v="45"/>
    <n v="1512000"/>
    <n v="0"/>
    <n v="0"/>
    <n v="1512000"/>
    <n v="15000"/>
    <n v="1527000"/>
  </r>
  <r>
    <s v="5442-1"/>
    <d v="2017-06-29T00:00:00"/>
    <n v="2017"/>
    <s v="Iriana Firmansyah"/>
    <s v="Jalan Ciumbuleuit No. 76"/>
    <s v="Surabaya"/>
    <x v="0"/>
    <s v="E1039"/>
    <s v="Nabila Prakasa"/>
    <s v="Nabila Prakasa"/>
    <s v="Critical"/>
    <s v="12 Colored Short Pencils"/>
    <x v="0"/>
    <s v="Wrap Bag"/>
    <s v="Regular Air"/>
    <n v="42916"/>
    <n v="16350.000000000002"/>
    <n v="39000"/>
    <n v="22650"/>
    <n v="43"/>
    <n v="973950"/>
    <n v="0.01"/>
    <n v="9739.5"/>
    <n v="964210.5"/>
    <n v="5000"/>
    <n v="969210.5"/>
  </r>
  <r>
    <s v="5444-1"/>
    <d v="2017-06-29T00:00:00"/>
    <n v="2017"/>
    <s v="Tugiman Santoso"/>
    <s v="Gg. Cihampelas No. 423"/>
    <s v="Surabaya"/>
    <x v="1"/>
    <s v="E1030"/>
    <s v="Cinthia Gunawan"/>
    <s v="Cinthia Gunawan"/>
    <s v="Not Specified"/>
    <s v="Alto Perma 2700 Stacking Storage Drawers"/>
    <x v="0"/>
    <s v="Small Box"/>
    <s v="Regular Air"/>
    <n v="42916"/>
    <n v="133800"/>
    <n v="446100"/>
    <n v="312300"/>
    <n v="25"/>
    <n v="7807500"/>
    <n v="0"/>
    <n v="0"/>
    <n v="7807500"/>
    <n v="15000"/>
    <n v="7822500"/>
  </r>
  <r>
    <s v="5445-1"/>
    <d v="2017-06-29T00:00:00"/>
    <n v="2017"/>
    <s v="Iriana Permadi"/>
    <s v="Jl. Rumah Sakit No. 738"/>
    <s v="Jakarta"/>
    <x v="3"/>
    <s v="E1028"/>
    <s v="Gaduh Pratama"/>
    <s v="Gaduh Pratama"/>
    <s v="Not Specified"/>
    <s v="Smiths Colored Bar Computer Paper"/>
    <x v="0"/>
    <s v="Small Box"/>
    <s v="Regular Air"/>
    <n v="42916"/>
    <n v="329550"/>
    <n v="531600"/>
    <n v="202050"/>
    <n v="21"/>
    <n v="4243050"/>
    <n v="0"/>
    <n v="0"/>
    <n v="4243050"/>
    <n v="15000"/>
    <n v="4258050"/>
  </r>
  <r>
    <s v="5446-1"/>
    <d v="2017-07-01T00:00:00"/>
    <n v="2017"/>
    <s v="Rizki Purnawati"/>
    <s v="Gang Monginsidi No. 138"/>
    <s v="Jakarta"/>
    <x v="3"/>
    <s v="E1029"/>
    <s v="Laras Nuraini"/>
    <s v="Laras Nuraini"/>
    <s v="Critical"/>
    <s v="Artisan Poly Binder Pockets"/>
    <x v="0"/>
    <s v="Small Box"/>
    <s v="Regular Air"/>
    <n v="42919"/>
    <n v="33900"/>
    <n v="53700"/>
    <n v="19800"/>
    <n v="39"/>
    <n v="772200"/>
    <n v="0"/>
    <n v="0"/>
    <n v="772200"/>
    <n v="15000"/>
    <n v="787200"/>
  </r>
  <r>
    <s v="5448-1"/>
    <d v="2017-07-03T00:00:00"/>
    <n v="2017"/>
    <s v="Panca Saptono"/>
    <s v="Gg. Ronggowarsito No. 033"/>
    <s v="Surabaya"/>
    <x v="0"/>
    <s v="E1038"/>
    <s v="Clara Prasetyo"/>
    <s v="Clara Prasetyo"/>
    <s v="Low"/>
    <s v="Artisan 481 Labels"/>
    <x v="0"/>
    <s v="Small Box"/>
    <s v="Regular Air"/>
    <n v="42924"/>
    <n v="29100"/>
    <n v="46200"/>
    <n v="17100"/>
    <n v="5"/>
    <n v="85500"/>
    <n v="0.06"/>
    <n v="5130"/>
    <n v="80370"/>
    <n v="15000"/>
    <n v="95370"/>
  </r>
  <r>
    <s v="5449-1"/>
    <d v="2017-07-10T00:00:00"/>
    <n v="2017"/>
    <s v="Imam Pertiwi"/>
    <s v="Gang Yos Sudarso No. 13"/>
    <s v="Surabaya"/>
    <x v="3"/>
    <s v="E1039"/>
    <s v="Nabila Prakasa"/>
    <s v="Nabila Prakasa"/>
    <s v="High"/>
    <s v="Brown Kraft Recycled Envelopes"/>
    <x v="0"/>
    <s v="Small Box"/>
    <s v="Regular Air"/>
    <n v="42926"/>
    <n v="165600"/>
    <n v="254700"/>
    <n v="89100"/>
    <n v="31"/>
    <n v="2762100"/>
    <n v="0.03"/>
    <n v="82863"/>
    <n v="2679237"/>
    <n v="15000"/>
    <n v="2694237"/>
  </r>
  <r>
    <s v="5450-1"/>
    <d v="2017-07-11T00:00:00"/>
    <n v="2017"/>
    <s v="Keisha Prayoga"/>
    <s v="Gang Rawamangun No. 02"/>
    <s v="Surabaya"/>
    <x v="2"/>
    <s v="E1038"/>
    <s v="Clara Prasetyo"/>
    <s v="Clara Prasetyo"/>
    <s v="Not Specified"/>
    <s v="Angle-D Binders with Locking Rings, Label Holders"/>
    <x v="0"/>
    <s v="Small Box"/>
    <s v="Regular Air"/>
    <n v="42928"/>
    <n v="67950"/>
    <n v="109500"/>
    <n v="41550"/>
    <n v="18"/>
    <n v="747900"/>
    <n v="0.05"/>
    <n v="37395"/>
    <n v="710505"/>
    <n v="15000"/>
    <n v="725505"/>
  </r>
  <r>
    <s v="5451-1"/>
    <d v="2017-07-13T00:00:00"/>
    <n v="2017"/>
    <s v="Dwi Yuniar"/>
    <s v="Jalan Pasteur No. 217"/>
    <s v="Surabaya"/>
    <x v="0"/>
    <s v="E1031"/>
    <s v="Bagiya Sihombing"/>
    <s v="Bagiya Sihombing"/>
    <s v="Not Specified"/>
    <s v="DrawIt Colored Pencils"/>
    <x v="0"/>
    <s v="Wrap Bag"/>
    <s v="Regular Air"/>
    <n v="42929"/>
    <n v="65550"/>
    <n v="136650"/>
    <n v="71100"/>
    <n v="1"/>
    <n v="71100"/>
    <n v="0.1"/>
    <n v="7110"/>
    <n v="63990"/>
    <n v="5000"/>
    <n v="68990"/>
  </r>
  <r>
    <s v="5453-1"/>
    <d v="2017-07-14T00:00:00"/>
    <n v="2017"/>
    <s v="Tantri Anggraini"/>
    <s v="Gang H.J Maemunah No. 6"/>
    <s v="Surabaya"/>
    <x v="2"/>
    <s v="E1037"/>
    <s v="Puti Nadine Prakasa"/>
    <s v="Puti Nadine Prakasa"/>
    <s v="Critical"/>
    <s v="Steady 52201 APSCO Electric Pencil Sharpener"/>
    <x v="0"/>
    <s v="Small Pack"/>
    <s v="Regular Air"/>
    <n v="42931"/>
    <n v="252000"/>
    <n v="614550"/>
    <n v="362550"/>
    <n v="44"/>
    <n v="15952200"/>
    <n v="0.08"/>
    <n v="1276176"/>
    <n v="14676024"/>
    <n v="10000"/>
    <n v="14686024"/>
  </r>
  <r>
    <s v="5455-1"/>
    <d v="2017-07-15T00:00:00"/>
    <n v="2017"/>
    <s v="Padma Nugroho"/>
    <s v="Gg. Monginsidi No. 3"/>
    <s v="Jakarta"/>
    <x v="1"/>
    <s v="E1029"/>
    <s v="Laras Nuraini"/>
    <s v="Laras Nuraini"/>
    <s v="Medium"/>
    <s v="Alto Perma 3000 Stacking Storage Drawers"/>
    <x v="0"/>
    <s v="Small Box"/>
    <s v="Regular Air"/>
    <n v="42933"/>
    <n v="106950"/>
    <n v="314700"/>
    <n v="207750"/>
    <n v="39"/>
    <n v="8102250"/>
    <n v="0.04"/>
    <n v="324090"/>
    <n v="7778160"/>
    <n v="15000"/>
    <n v="7793160"/>
  </r>
  <r>
    <s v="5456-1"/>
    <d v="2017-07-15T00:00:00"/>
    <n v="2017"/>
    <s v="Nurul Samosir"/>
    <s v="Jalan Pasirkoja No. 329"/>
    <s v="Surabaya"/>
    <x v="2"/>
    <s v="E1040"/>
    <s v="Sutan Tirtayasa Wasita"/>
    <s v="Sutan Tirtayasa Wasita"/>
    <s v="Critical"/>
    <s v="Barrel Sharpener"/>
    <x v="0"/>
    <s v="Small Pack"/>
    <s v="Regular Air"/>
    <n v="42933"/>
    <n v="21900"/>
    <n v="53550"/>
    <n v="31650"/>
    <n v="41"/>
    <n v="1297650"/>
    <n v="0.03"/>
    <n v="38929.5"/>
    <n v="1258720.5"/>
    <n v="10000"/>
    <n v="1268720.5"/>
  </r>
  <r>
    <s v="5457-1"/>
    <d v="2017-07-16T00:00:00"/>
    <n v="2017"/>
    <s v="Bagus Pranowo"/>
    <s v="Gang R.E Martadinata No. 35"/>
    <s v="Surabaya"/>
    <x v="2"/>
    <s v="E1041"/>
    <s v="Sari Winarno"/>
    <s v="Sari Winarno"/>
    <s v="Medium"/>
    <s v="OIC Bulk Pack Metal Binder Clips"/>
    <x v="0"/>
    <s v="Wrap Bag"/>
    <s v="Regular Air"/>
    <n v="42934"/>
    <n v="31950"/>
    <n v="52350"/>
    <n v="20400"/>
    <n v="46"/>
    <n v="938400"/>
    <n v="0.01"/>
    <n v="9384"/>
    <n v="929016"/>
    <n v="5000"/>
    <n v="934016"/>
  </r>
  <r>
    <s v="5458-1"/>
    <d v="2017-07-17T00:00:00"/>
    <n v="2017"/>
    <s v="Martani Sudiati"/>
    <s v="Jl. BKR No. 46"/>
    <s v="Jakarta"/>
    <x v="3"/>
    <s v="E1028"/>
    <s v="Gaduh Pratama"/>
    <s v="Gaduh Pratama"/>
    <s v="Not Specified"/>
    <s v="Artisan 48 Labels"/>
    <x v="0"/>
    <s v="Small Box"/>
    <s v="Regular Air"/>
    <n v="42934"/>
    <n v="57600"/>
    <n v="94500"/>
    <n v="36900"/>
    <n v="18"/>
    <n v="664200"/>
    <n v="0.1"/>
    <n v="66420"/>
    <n v="597780"/>
    <n v="15000"/>
    <n v="612780"/>
  </r>
  <r>
    <s v="5460-1"/>
    <d v="2017-07-19T00:00:00"/>
    <n v="2017"/>
    <s v="Taswir Budiman"/>
    <s v="Jalan Pasirkoja No. 329"/>
    <s v="Surabaya"/>
    <x v="1"/>
    <s v="E1040"/>
    <s v="Sutan Tirtayasa Wasita"/>
    <s v="Sutan Tirtayasa Wasita"/>
    <s v="Low"/>
    <s v="Artisan Hi-Liter Comfort Grip Fluorescent Highlighter, Yellow Ink"/>
    <x v="0"/>
    <s v="Wrap Bag"/>
    <s v="Regular Air"/>
    <n v="42940"/>
    <n v="15750"/>
    <n v="29250"/>
    <n v="13500"/>
    <n v="31"/>
    <n v="418500"/>
    <n v="0.02"/>
    <n v="8370"/>
    <n v="410130"/>
    <n v="5000"/>
    <n v="415130"/>
  </r>
  <r>
    <s v="5461-1"/>
    <d v="2017-07-20T00:00:00"/>
    <n v="2017"/>
    <s v="Asirwanda Rahimah"/>
    <s v="Gg. M.H Thamrin No. 784"/>
    <s v="Jakarta"/>
    <x v="1"/>
    <s v="E1029"/>
    <s v="Laras Nuraini"/>
    <s v="Laras Nuraini"/>
    <s v="Critical"/>
    <s v="Bagged Rubber Bands"/>
    <x v="0"/>
    <s v="Wrap Bag"/>
    <s v="Regular Air"/>
    <n v="42936"/>
    <n v="3600"/>
    <n v="18900"/>
    <n v="15300"/>
    <n v="35"/>
    <n v="535500"/>
    <n v="0.09"/>
    <n v="48195"/>
    <n v="487305"/>
    <n v="5000"/>
    <n v="492305"/>
  </r>
  <r>
    <s v="5463-1"/>
    <d v="2017-07-20T00:00:00"/>
    <n v="2017"/>
    <s v="Nadine Waskita"/>
    <s v="Gang Rawamangun No. 02"/>
    <s v="Surabaya"/>
    <x v="0"/>
    <s v="E1038"/>
    <s v="Clara Prasetyo"/>
    <s v="Clara Prasetyo"/>
    <s v="Not Specified"/>
    <s v="Emerson Stylus 1520 Color Inkjet Printer"/>
    <x v="1"/>
    <s v="Jumbo Drum"/>
    <s v="Delivery Truck"/>
    <n v="42936"/>
    <n v="4734150"/>
    <n v="7514550"/>
    <n v="2780400"/>
    <n v="31"/>
    <n v="86192400"/>
    <n v="0.06"/>
    <n v="5171544"/>
    <n v="81020856"/>
    <n v="500000"/>
    <n v="81520856"/>
  </r>
  <r>
    <s v="5465-1"/>
    <d v="2017-07-20T00:00:00"/>
    <n v="2017"/>
    <s v="Nilam Prastuti"/>
    <s v="Gang Asia Afrika No. 96"/>
    <s v="Surabaya"/>
    <x v="1"/>
    <s v="E1036"/>
    <s v="Kenari Rajasa"/>
    <s v="Kenari Rajasa"/>
    <s v="Medium"/>
    <s v="HFX LaserJet 3310 Copier"/>
    <x v="1"/>
    <s v="Large Box"/>
    <s v="Regular Air"/>
    <n v="42938"/>
    <n v="5669850"/>
    <n v="8999850"/>
    <n v="3330000"/>
    <n v="30"/>
    <n v="99900000"/>
    <n v="0.09"/>
    <n v="8991000"/>
    <n v="90909000"/>
    <n v="50000"/>
    <n v="90959000"/>
  </r>
  <r>
    <s v="5467-1"/>
    <d v="2017-07-24T00:00:00"/>
    <n v="2017"/>
    <s v="Bagas Putra"/>
    <s v="Jl. Sadang Serang No. 015"/>
    <s v="Surabaya"/>
    <x v="3"/>
    <s v="E1036"/>
    <s v="Kenari Rajasa"/>
    <s v="Kenari Rajasa"/>
    <s v="Medium"/>
    <s v="12 Colored Short Pencils"/>
    <x v="0"/>
    <s v="Wrap Bag"/>
    <s v="Regular Air"/>
    <n v="42941"/>
    <n v="16350.000000000002"/>
    <n v="39000"/>
    <n v="22650"/>
    <n v="2"/>
    <n v="45300"/>
    <n v="0.03"/>
    <n v="1359"/>
    <n v="43941"/>
    <n v="5000"/>
    <n v="48941"/>
  </r>
  <r>
    <s v="5469-1"/>
    <d v="2017-07-28T00:00:00"/>
    <n v="2017"/>
    <s v="Oskar Permadi"/>
    <s v="Jl. Dipenogoro No. 422"/>
    <s v="Surabaya"/>
    <x v="1"/>
    <s v="E1032"/>
    <s v="Violet Mentari"/>
    <s v="Violet Mentari"/>
    <s v="High"/>
    <s v="TechSavi Internet Navigator Keyboard"/>
    <x v="1"/>
    <s v="Small Box"/>
    <s v="Regular Air"/>
    <n v="42945"/>
    <n v="97650"/>
    <n v="464700"/>
    <n v="367050"/>
    <n v="36"/>
    <n v="13213800"/>
    <n v="0"/>
    <n v="0"/>
    <n v="13213800"/>
    <n v="15000"/>
    <n v="13228800"/>
  </r>
  <r>
    <s v="5470-1"/>
    <d v="2017-07-30T00:00:00"/>
    <n v="2017"/>
    <s v="Gamani Maryati"/>
    <s v="Jl. Rumah Sakit No. 738"/>
    <s v="Jakarta"/>
    <x v="2"/>
    <s v="E1028"/>
    <s v="Gaduh Pratama"/>
    <s v="Gaduh Pratama"/>
    <s v="High"/>
    <s v="Alto Parchment Paper, Assorted Colors"/>
    <x v="0"/>
    <s v="Small Box"/>
    <s v="Regular Air"/>
    <n v="42948"/>
    <n v="68850"/>
    <n v="109200"/>
    <n v="40350"/>
    <n v="11"/>
    <n v="443850"/>
    <n v="7.0000000000000007E-2"/>
    <n v="31069.500000000004"/>
    <n v="412780.5"/>
    <n v="15000"/>
    <n v="427780.5"/>
  </r>
  <r>
    <s v="5471-1"/>
    <d v="2017-07-30T00:00:00"/>
    <n v="2017"/>
    <s v="Rahmi Prabowo"/>
    <s v="Gg. Joyoboyo No. 8"/>
    <s v="Jakarta"/>
    <x v="0"/>
    <s v="E1028"/>
    <s v="Gaduh Pratama"/>
    <s v="Gaduh Pratama"/>
    <s v="Medium"/>
    <s v="Apex Box Cutter Scissors"/>
    <x v="0"/>
    <s v="Small Pack"/>
    <s v="Regular Air"/>
    <n v="42947"/>
    <n v="62850.000000000007"/>
    <n v="153450"/>
    <n v="90600"/>
    <n v="22"/>
    <n v="1993200"/>
    <n v="7.0000000000000007E-2"/>
    <n v="139524"/>
    <n v="1853676"/>
    <n v="10000"/>
    <n v="1863676"/>
  </r>
  <r>
    <s v="5473-1"/>
    <d v="2017-07-30T00:00:00"/>
    <n v="2017"/>
    <s v="Galiono Wibowo"/>
    <s v="Jl. Ciwastra No. 2"/>
    <s v="Surabaya"/>
    <x v="3"/>
    <s v="E1035"/>
    <s v="Darmanto Laksita"/>
    <s v="Darmanto Laksita"/>
    <s v="Critical"/>
    <s v="Apex Elite Stainless Steel Scissors"/>
    <x v="0"/>
    <s v="Small Pack"/>
    <s v="Express Air"/>
    <n v="42947"/>
    <n v="51300"/>
    <n v="125100"/>
    <n v="73800"/>
    <n v="16"/>
    <n v="1180800"/>
    <n v="0.04"/>
    <n v="47232"/>
    <n v="1133568"/>
    <n v="20000"/>
    <n v="1153568"/>
  </r>
  <r>
    <s v="5475-1"/>
    <d v="2017-08-14T00:00:00"/>
    <n v="2017"/>
    <s v="Viktor Sihombing"/>
    <s v="Gang Ahmad Yani No. 6"/>
    <s v="Surabaya"/>
    <x v="2"/>
    <s v="E1038"/>
    <s v="Clara Prasetyo"/>
    <s v="Clara Prasetyo"/>
    <s v="Low"/>
    <s v="24 Capacity Maxi Data Binder Racks, Pearl"/>
    <x v="0"/>
    <s v="Small Box"/>
    <s v="Regular Air"/>
    <n v="42963"/>
    <n v="1263300"/>
    <n v="3158250"/>
    <n v="1894950"/>
    <n v="32"/>
    <n v="60638400"/>
    <n v="0.1"/>
    <n v="6063840"/>
    <n v="54574560"/>
    <n v="15000"/>
    <n v="54589560"/>
  </r>
  <r>
    <s v="5476-1"/>
    <d v="2017-08-14T00:00:00"/>
    <n v="2017"/>
    <s v="Lega Anggriawan"/>
    <s v="Jalan Kutai No. 503"/>
    <s v="Surabaya"/>
    <x v="1"/>
    <s v="E1039"/>
    <s v="Nabila Prakasa"/>
    <s v="Nabila Prakasa"/>
    <s v="Not Specified"/>
    <s v="Alto Perma 3000 Stacking Storage Drawers"/>
    <x v="0"/>
    <s v="Small Box"/>
    <s v="Express Air"/>
    <n v="42962"/>
    <n v="106950"/>
    <n v="314700"/>
    <n v="207750"/>
    <n v="14"/>
    <n v="2908500"/>
    <n v="0.1"/>
    <n v="290850"/>
    <n v="2617650"/>
    <n v="30000"/>
    <n v="2647650"/>
  </r>
  <r>
    <s v="5477-1"/>
    <d v="2017-08-14T00:00:00"/>
    <n v="2017"/>
    <s v="Cengkal Lazuardi"/>
    <s v="Gang R.E Martadinata No. 969"/>
    <s v="Surabaya"/>
    <x v="0"/>
    <s v="E1036"/>
    <s v="Kenari Rajasa"/>
    <s v="Kenari Rajasa"/>
    <s v="Critical"/>
    <s v="OIC Colored Binder Clips, Assorted Sizes"/>
    <x v="0"/>
    <s v="Wrap Bag"/>
    <s v="Regular Air"/>
    <n v="42962"/>
    <n v="34350"/>
    <n v="53700"/>
    <n v="19350"/>
    <n v="15"/>
    <n v="290250"/>
    <n v="0.05"/>
    <n v="14512.5"/>
    <n v="275737.5"/>
    <n v="5000"/>
    <n v="280737.5"/>
  </r>
  <r>
    <s v="5478-1"/>
    <d v="2017-08-15T00:00:00"/>
    <n v="2017"/>
    <s v="Tiara Halim"/>
    <s v="Jl. BKR No. 46"/>
    <s v="Jakarta"/>
    <x v="0"/>
    <s v="E1028"/>
    <s v="Gaduh Pratama"/>
    <s v="Gaduh Pratama"/>
    <s v="Low"/>
    <s v="Steady Liquid Accent Tank-Style Highlighters"/>
    <x v="0"/>
    <s v="Wrap Bag"/>
    <s v="Regular Air"/>
    <n v="42966"/>
    <n v="19650"/>
    <n v="42600"/>
    <n v="22950"/>
    <n v="48"/>
    <n v="1101600"/>
    <n v="0.1"/>
    <n v="110160"/>
    <n v="991440"/>
    <n v="5000"/>
    <n v="996440"/>
  </r>
  <r>
    <s v="5479-1"/>
    <d v="2017-08-18T00:00:00"/>
    <n v="2017"/>
    <s v="Raina Laksita"/>
    <s v="Gang Jakarta No. 938"/>
    <s v="Surabaya"/>
    <x v="0"/>
    <s v="E1036"/>
    <s v="Kenari Rajasa"/>
    <s v="Kenari Rajasa"/>
    <s v="Not Specified"/>
    <s v="Artisan Poly Binder Pockets"/>
    <x v="0"/>
    <s v="Small Box"/>
    <s v="Regular Air"/>
    <n v="42967"/>
    <n v="33900"/>
    <n v="53700"/>
    <n v="19800"/>
    <n v="25"/>
    <n v="495000"/>
    <n v="0"/>
    <n v="0"/>
    <n v="495000"/>
    <n v="15000"/>
    <n v="510000"/>
  </r>
  <r>
    <s v="5479-2"/>
    <d v="2017-08-18T00:00:00"/>
    <n v="2017"/>
    <s v="Raina Laksita"/>
    <s v="Gang Jakarta No. 938"/>
    <s v="Surabaya"/>
    <x v="0"/>
    <s v="E1036"/>
    <s v="Kenari Rajasa"/>
    <s v="Kenari Rajasa"/>
    <s v="Not Specified"/>
    <s v="Assorted Color Push Pins"/>
    <x v="0"/>
    <s v="Wrap Bag"/>
    <s v="Regular Air"/>
    <n v="42967"/>
    <n v="13050"/>
    <n v="27150"/>
    <n v="14100"/>
    <n v="45"/>
    <n v="634500"/>
    <n v="0.08"/>
    <n v="50760"/>
    <n v="583740"/>
    <n v="5000"/>
    <n v="588740"/>
  </r>
  <r>
    <s v="5483-1"/>
    <d v="2017-08-20T00:00:00"/>
    <n v="2017"/>
    <s v="Jamil Mustofa"/>
    <s v="Jalan Cikutra Barat No. 96"/>
    <s v="Bandung"/>
    <x v="1"/>
    <s v="E1033"/>
    <s v="Paiman Firgantoro"/>
    <s v="Paiman Firgantoro"/>
    <s v="Low"/>
    <s v="Binder Clips by OIC"/>
    <x v="0"/>
    <s v="Wrap Bag"/>
    <s v="Regular Air"/>
    <n v="42972"/>
    <n v="13950"/>
    <n v="22200"/>
    <n v="8250"/>
    <n v="33"/>
    <n v="272250"/>
    <n v="7.0000000000000007E-2"/>
    <n v="19057.5"/>
    <n v="253192.5"/>
    <n v="5000"/>
    <n v="258192.5"/>
  </r>
  <r>
    <s v="5485-1"/>
    <d v="2017-08-20T00:00:00"/>
    <n v="2017"/>
    <s v="Nyana Suryatmi"/>
    <s v="Gg. Pacuan Kuda No. 49"/>
    <s v="Surabaya"/>
    <x v="1"/>
    <s v="E1037"/>
    <s v="Puti Nadine Prakasa"/>
    <s v="Puti Nadine Prakasa"/>
    <s v="Low"/>
    <s v="Economy Binders"/>
    <x v="0"/>
    <s v="Small Box"/>
    <s v="Regular Air"/>
    <n v="42971"/>
    <n v="19950"/>
    <n v="31200"/>
    <n v="11250"/>
    <n v="40"/>
    <n v="450000"/>
    <n v="0"/>
    <n v="0"/>
    <n v="450000"/>
    <n v="15000"/>
    <n v="465000"/>
  </r>
  <r>
    <s v="5487-1"/>
    <d v="2017-08-21T00:00:00"/>
    <n v="2017"/>
    <s v="Natalia Palastri"/>
    <s v="Gg. Joyoboyo No. 8"/>
    <s v="Jakarta"/>
    <x v="1"/>
    <s v="E1028"/>
    <s v="Gaduh Pratama"/>
    <s v="Gaduh Pratama"/>
    <s v="Critical"/>
    <s v="3Max Polarizing Task Lamp with Clamp Arm, Light Gray"/>
    <x v="2"/>
    <s v="Large Box"/>
    <s v="Regular Air"/>
    <n v="42969"/>
    <n v="842400"/>
    <n v="2054699.9999999998"/>
    <n v="1212299.9999999998"/>
    <n v="44"/>
    <n v="53341199.999999993"/>
    <n v="0.08"/>
    <n v="4267295.9999999991"/>
    <n v="49073903.999999993"/>
    <n v="50000"/>
    <n v="49123903.999999993"/>
  </r>
  <r>
    <s v="5489-1"/>
    <d v="2017-08-23T00:00:00"/>
    <n v="2017"/>
    <s v="Luhung Padmasari"/>
    <s v="Jl. Pelajar Pejuang No. 25"/>
    <s v="Bandung"/>
    <x v="1"/>
    <s v="E1036"/>
    <s v="Kenari Rajasa"/>
    <s v="Kenari Rajasa"/>
    <s v="Medium"/>
    <s v="Lumi Crayons"/>
    <x v="0"/>
    <s v="Wrap Bag"/>
    <s v="Regular Air"/>
    <n v="42971"/>
    <n v="78300"/>
    <n v="147750"/>
    <n v="69450"/>
    <n v="20"/>
    <n v="1389000"/>
    <n v="0.06"/>
    <n v="83340"/>
    <n v="1305660"/>
    <n v="5000"/>
    <n v="1310660"/>
  </r>
  <r>
    <s v="5491-1"/>
    <d v="2017-08-25T00:00:00"/>
    <n v="2017"/>
    <s v="Siska Utami"/>
    <s v="Gang Otto Iskandardinata No. 167"/>
    <s v="Surabaya"/>
    <x v="0"/>
    <s v="E1037"/>
    <s v="Puti Nadine Prakasa"/>
    <s v="Puti Nadine Prakasa"/>
    <s v="Not Specified"/>
    <s v="Alto 3-Hole Punch"/>
    <x v="0"/>
    <s v="Small Box"/>
    <s v="Regular Air"/>
    <n v="42973"/>
    <n v="41400"/>
    <n v="65700"/>
    <n v="24300"/>
    <n v="29"/>
    <n v="704700"/>
    <n v="0.08"/>
    <n v="56376"/>
    <n v="648324"/>
    <n v="15000"/>
    <n v="663324"/>
  </r>
  <r>
    <s v="5493-1"/>
    <d v="2017-08-27T00:00:00"/>
    <n v="2017"/>
    <s v="Oman Sihombing"/>
    <s v="Jl. Raya Ujungberung No. 121"/>
    <s v="Bandung"/>
    <x v="2"/>
    <s v="E1032"/>
    <s v="Violet Mentari"/>
    <s v="Violet Mentari"/>
    <s v="Medium"/>
    <s v="Artisan 481 Labels"/>
    <x v="0"/>
    <s v="Small Box"/>
    <s v="Regular Air"/>
    <n v="42975"/>
    <n v="29100"/>
    <n v="46200"/>
    <n v="17100"/>
    <n v="9"/>
    <n v="153900"/>
    <n v="0.01"/>
    <n v="1539"/>
    <n v="152361"/>
    <n v="15000"/>
    <n v="167361"/>
  </r>
  <r>
    <s v="5494-1"/>
    <d v="2017-08-29T00:00:00"/>
    <n v="2017"/>
    <s v="Yuni Wastuti"/>
    <s v="Jl. S. Parman No. 91"/>
    <s v="Surabaya"/>
    <x v="3"/>
    <s v="E1034"/>
    <s v="Ophelia Mustofa"/>
    <s v="Ophelia Mustofa"/>
    <s v="Not Specified"/>
    <s v="Apex Straight Scissors"/>
    <x v="0"/>
    <s v="Small Pack"/>
    <s v="Regular Air"/>
    <n v="42977"/>
    <n v="77850"/>
    <n v="194700"/>
    <n v="116850"/>
    <n v="20"/>
    <n v="2337000"/>
    <n v="0.04"/>
    <n v="93480"/>
    <n v="2243520"/>
    <n v="10000"/>
    <n v="2253520"/>
  </r>
  <r>
    <s v="5496-1"/>
    <d v="2017-08-31T00:00:00"/>
    <n v="2017"/>
    <s v="Dwi Utami"/>
    <s v="Gang Monginsidi No. 138"/>
    <s v="Jakarta"/>
    <x v="2"/>
    <s v="E1029"/>
    <s v="Laras Nuraini"/>
    <s v="Laras Nuraini"/>
    <s v="Medium"/>
    <s v="Aluminum Document Frame"/>
    <x v="2"/>
    <s v="Small Pack"/>
    <s v="Express Air"/>
    <n v="42979"/>
    <n v="82500"/>
    <n v="183300"/>
    <n v="100800"/>
    <n v="18"/>
    <n v="1814400"/>
    <n v="0.04"/>
    <n v="72576"/>
    <n v="1741824"/>
    <n v="20000"/>
    <n v="1761824"/>
  </r>
  <r>
    <s v="5497-1"/>
    <d v="2017-08-31T00:00:00"/>
    <n v="2017"/>
    <s v="Jamal Hidayanto"/>
    <s v="Jalan PHH. Mustofa No. 625"/>
    <s v="Surabaya"/>
    <x v="1"/>
    <s v="E1034"/>
    <s v="Ophelia Mustofa"/>
    <s v="Ophelia Mustofa"/>
    <s v="Low"/>
    <s v="Smiths Bulldog Clip"/>
    <x v="0"/>
    <s v="Wrap Bag"/>
    <s v="Express Air"/>
    <n v="42983"/>
    <n v="34650"/>
    <n v="56700"/>
    <n v="22050"/>
    <n v="15"/>
    <n v="330750"/>
    <n v="0.03"/>
    <n v="9922.5"/>
    <n v="320827.5"/>
    <n v="10000"/>
    <n v="330827.5"/>
  </r>
  <r>
    <s v="5498-1"/>
    <d v="2017-09-06T00:00:00"/>
    <n v="2017"/>
    <s v="Rahmi Prakasa"/>
    <s v="Jalan Sadang Serang No. 54"/>
    <s v="Surabaya"/>
    <x v="3"/>
    <s v="E1041"/>
    <s v="Sari Winarno"/>
    <s v="Sari Winarno"/>
    <s v="Low"/>
    <s v="Cando PC940 Copier"/>
    <x v="1"/>
    <s v="Jumbo Drum"/>
    <s v="Delivery Truck"/>
    <n v="42988"/>
    <n v="4184850"/>
    <n v="6749850"/>
    <n v="2565000"/>
    <n v="47"/>
    <n v="120555000"/>
    <n v="0.1"/>
    <n v="12055500"/>
    <n v="108499500"/>
    <n v="500000"/>
    <n v="108999500"/>
  </r>
  <r>
    <s v="5500-1"/>
    <d v="2017-09-10T00:00:00"/>
    <n v="2017"/>
    <s v="Eman Widodo"/>
    <s v="Jl. Sadang Serang No. 015"/>
    <s v="Surabaya"/>
    <x v="1"/>
    <s v="E1036"/>
    <s v="Kenari Rajasa"/>
    <s v="Kenari Rajasa"/>
    <s v="Low"/>
    <s v="Adesso Programmable 142-Key Keyboard"/>
    <x v="1"/>
    <s v="Small Box"/>
    <s v="Regular Air"/>
    <n v="42992"/>
    <n v="480300.00000000006"/>
    <n v="2287200"/>
    <n v="1806900"/>
    <n v="49"/>
    <n v="88538100"/>
    <n v="0.03"/>
    <n v="2656143"/>
    <n v="85881957"/>
    <n v="15000"/>
    <n v="85896957"/>
  </r>
  <r>
    <s v="5502-1"/>
    <d v="2017-09-10T00:00:00"/>
    <n v="2017"/>
    <s v="Gambira Prasasta"/>
    <s v="Gang Yos Sudarso No. 78"/>
    <s v="Surabaya"/>
    <x v="1"/>
    <s v="E1033"/>
    <s v="Paiman Firgantoro"/>
    <s v="Paiman Firgantoro"/>
    <s v="High"/>
    <s v="Artisan Flip-Chart Easel Binder, Black"/>
    <x v="0"/>
    <s v="Small Box"/>
    <s v="Regular Air"/>
    <n v="42988"/>
    <n v="208200"/>
    <n v="335700"/>
    <n v="127500"/>
    <n v="26"/>
    <n v="3315000"/>
    <n v="7.0000000000000007E-2"/>
    <n v="232050.00000000003"/>
    <n v="3082950"/>
    <n v="15000"/>
    <n v="3097950"/>
  </r>
  <r>
    <s v="5504-1"/>
    <d v="2017-09-10T00:00:00"/>
    <n v="2017"/>
    <s v="Lanang Wijayanti"/>
    <s v="Jalan Astana Anyar No. 41"/>
    <s v="Jakarta"/>
    <x v="1"/>
    <s v="E1028"/>
    <s v="Gaduh Pratama"/>
    <s v="Gaduh Pratama"/>
    <s v="Medium"/>
    <s v="Smiths SlimLine Pencil Sharpener"/>
    <x v="0"/>
    <s v="Small Pack"/>
    <s v="Regular Air"/>
    <n v="42988"/>
    <n v="71850"/>
    <n v="179550"/>
    <n v="107700"/>
    <n v="46"/>
    <n v="4954200"/>
    <n v="7.0000000000000007E-2"/>
    <n v="346794.00000000006"/>
    <n v="4607406"/>
    <n v="10000"/>
    <n v="4617406"/>
  </r>
  <r>
    <s v="5505-1"/>
    <d v="2017-09-14T00:00:00"/>
    <n v="2017"/>
    <s v="Galuh Zulaika"/>
    <s v="Jalan Otto Iskandardinata No. 1"/>
    <s v="Jakarta"/>
    <x v="1"/>
    <s v="E1029"/>
    <s v="Laras Nuraini"/>
    <s v="Laras Nuraini"/>
    <s v="Critical"/>
    <s v="1726 Digital Answering Machine"/>
    <x v="1"/>
    <s v="Medium Box"/>
    <s v="Regular Air"/>
    <n v="42994"/>
    <n v="132300"/>
    <n v="314850"/>
    <n v="182550"/>
    <n v="10"/>
    <n v="1825500"/>
    <n v="0"/>
    <n v="0"/>
    <n v="1825500"/>
    <n v="20000"/>
    <n v="1845500"/>
  </r>
  <r>
    <s v="5506-1"/>
    <d v="2017-09-15T00:00:00"/>
    <n v="2017"/>
    <s v="Luis Siregar"/>
    <s v="Gg. Ronggowarsito No. 033"/>
    <s v="Surabaya"/>
    <x v="1"/>
    <s v="E1038"/>
    <s v="Clara Prasetyo"/>
    <s v="Clara Prasetyo"/>
    <s v="Not Specified"/>
    <s v="Creator Anti Dust Chalk, 12/Pack"/>
    <x v="0"/>
    <s v="Wrap Bag"/>
    <s v="Regular Air"/>
    <n v="42994"/>
    <n v="16350.000000000002"/>
    <n v="27300"/>
    <n v="10949.999999999998"/>
    <n v="40"/>
    <n v="437999.99999999994"/>
    <n v="0.1"/>
    <n v="43800"/>
    <n v="394199.99999999994"/>
    <n v="5000"/>
    <n v="399199.99999999994"/>
  </r>
  <r>
    <s v="5507-1"/>
    <d v="2017-09-15T00:00:00"/>
    <n v="2017"/>
    <s v="Harimurti Wulandari"/>
    <s v="Jalan Kendalsari No. 1"/>
    <s v="Bandung"/>
    <x v="3"/>
    <s v="E1036"/>
    <s v="Kenari Rajasa"/>
    <s v="Kenari Rajasa"/>
    <s v="High"/>
    <s v="Steady Major Accent Highlighters"/>
    <x v="0"/>
    <s v="Wrap Bag"/>
    <s v="Regular Air"/>
    <n v="42995"/>
    <n v="56250"/>
    <n v="106200"/>
    <n v="49950"/>
    <n v="45"/>
    <n v="2247750"/>
    <n v="0.06"/>
    <n v="134865"/>
    <n v="2112885"/>
    <n v="5000"/>
    <n v="2117885"/>
  </r>
  <r>
    <s v="5508-1"/>
    <d v="2017-09-16T00:00:00"/>
    <n v="2017"/>
    <s v="Putri Maryadi"/>
    <s v="Gg. HOS. Cokroaminoto No. 1"/>
    <s v="Surabaya"/>
    <x v="2"/>
    <s v="E1041"/>
    <s v="Sari Winarno"/>
    <s v="Sari Winarno"/>
    <s v="High"/>
    <s v="Deluxe Rollaway Locking File with Drawer"/>
    <x v="0"/>
    <s v="Small Box"/>
    <s v="Regular Air"/>
    <n v="42995"/>
    <n v="2682450"/>
    <n v="6238200"/>
    <n v="3555750"/>
    <n v="43"/>
    <n v="152897250"/>
    <n v="7.0000000000000007E-2"/>
    <n v="10702807.500000002"/>
    <n v="142194442.5"/>
    <n v="15000"/>
    <n v="142209442.5"/>
  </r>
  <r>
    <s v="5510-1"/>
    <d v="2017-09-16T00:00:00"/>
    <n v="2017"/>
    <s v="Mila Napitupulu"/>
    <s v="Gg. Pacuan Kuda No. 49"/>
    <s v="Surabaya"/>
    <x v="3"/>
    <s v="E1037"/>
    <s v="Puti Nadine Prakasa"/>
    <s v="Puti Nadine Prakasa"/>
    <s v="Not Specified"/>
    <s v="UGen Ultra Professional Cordless Optical Suite"/>
    <x v="1"/>
    <s v="Small Box"/>
    <s v="Regular Air"/>
    <n v="42995"/>
    <n v="2347500"/>
    <n v="4514550"/>
    <n v="2167050"/>
    <n v="6"/>
    <n v="13002300"/>
    <n v="0.04"/>
    <n v="520092"/>
    <n v="12482208"/>
    <n v="15000"/>
    <n v="12497208"/>
  </r>
  <r>
    <s v="5512-1"/>
    <d v="2017-09-17T00:00:00"/>
    <n v="2017"/>
    <s v="Eka Sitorus"/>
    <s v="Jalan Rumah Sakit No. 287"/>
    <s v="Surabaya"/>
    <x v="1"/>
    <s v="E1032"/>
    <s v="Violet Mentari"/>
    <s v="Violet Mentari"/>
    <s v="Medium"/>
    <s v="Xit Blank Computer Paper"/>
    <x v="0"/>
    <s v="Small Box"/>
    <s v="Regular Air"/>
    <n v="42997"/>
    <n v="185850"/>
    <n v="299700"/>
    <n v="113850"/>
    <n v="10"/>
    <n v="1138500"/>
    <n v="0.1"/>
    <n v="113850"/>
    <n v="1024650"/>
    <n v="15000"/>
    <n v="1039650"/>
  </r>
  <r>
    <s v="5513-1"/>
    <d v="2017-09-19T00:00:00"/>
    <n v="2017"/>
    <s v="Ade Novitasari"/>
    <s v="Jl. Cihampelas No. 4"/>
    <s v="Surabaya"/>
    <x v="2"/>
    <s v="E1038"/>
    <s v="Clara Prasetyo"/>
    <s v="Clara Prasetyo"/>
    <s v="Medium"/>
    <s v="Cando PC940 Copier"/>
    <x v="1"/>
    <s v="Jumbo Drum"/>
    <s v="Delivery Truck"/>
    <n v="42998"/>
    <n v="4184850"/>
    <n v="6749850"/>
    <n v="2565000"/>
    <n v="5"/>
    <n v="12825000"/>
    <n v="0.01"/>
    <n v="128250"/>
    <n v="12696750"/>
    <n v="500000"/>
    <n v="13196750"/>
  </r>
  <r>
    <s v="5514-1"/>
    <d v="2017-09-20T00:00:00"/>
    <n v="2017"/>
    <s v="Wardi Nasyidah"/>
    <s v="Jalan R.E Martadinata No. 6"/>
    <s v="Jakarta"/>
    <x v="1"/>
    <s v="E1029"/>
    <s v="Laras Nuraini"/>
    <s v="Laras Nuraini"/>
    <s v="Not Specified"/>
    <s v="Artisan Poly Binder Pockets"/>
    <x v="0"/>
    <s v="Small Box"/>
    <s v="Express Air"/>
    <n v="43000"/>
    <n v="33900"/>
    <n v="53700"/>
    <n v="19800"/>
    <n v="44"/>
    <n v="871200"/>
    <n v="0.06"/>
    <n v="52272"/>
    <n v="818928"/>
    <n v="30000"/>
    <n v="848928"/>
  </r>
  <r>
    <s v="5516-1"/>
    <d v="2017-09-21T00:00:00"/>
    <n v="2017"/>
    <s v="Limar Laksmiwati"/>
    <s v="Gang Sadang Serang No. 74"/>
    <s v="Bandung"/>
    <x v="3"/>
    <s v="E1039"/>
    <s v="Nabila Prakasa"/>
    <s v="Nabila Prakasa"/>
    <s v="High"/>
    <s v="3Max Polarizing Light Filter Sleeves"/>
    <x v="2"/>
    <s v="Small Pack"/>
    <s v="Regular Air"/>
    <n v="42999"/>
    <n v="170700"/>
    <n v="279750"/>
    <n v="109050"/>
    <n v="18"/>
    <n v="1962900"/>
    <n v="0.1"/>
    <n v="196290"/>
    <n v="1766610"/>
    <n v="10000"/>
    <n v="1776610"/>
  </r>
  <r>
    <s v="5518-1"/>
    <d v="2017-09-25T00:00:00"/>
    <n v="2017"/>
    <s v="Gatot Siregar"/>
    <s v="Gg. Kapten Muslihat No. 5"/>
    <s v="Surabaya"/>
    <x v="1"/>
    <s v="E1034"/>
    <s v="Ophelia Mustofa"/>
    <s v="Ophelia Mustofa"/>
    <s v="Low"/>
    <s v="Smiths Colored Interoffice Envelopes"/>
    <x v="0"/>
    <s v="Small Box"/>
    <s v="Express Air"/>
    <n v="43012"/>
    <n v="297450"/>
    <n v="464700"/>
    <n v="167250"/>
    <n v="46"/>
    <n v="7693500"/>
    <n v="0.04"/>
    <n v="307740"/>
    <n v="7385760"/>
    <n v="30000"/>
    <n v="7415760"/>
  </r>
  <r>
    <s v="5520-1"/>
    <d v="2017-09-28T00:00:00"/>
    <n v="2017"/>
    <s v="Karsana Halim"/>
    <s v="Jalan Jayawijaya No. 5"/>
    <s v="Surabaya"/>
    <x v="0"/>
    <s v="E1033"/>
    <s v="Paiman Firgantoro"/>
    <s v="Paiman Firgantoro"/>
    <s v="Low"/>
    <s v="Smiths Standard Envelopes"/>
    <x v="0"/>
    <s v="Small Box"/>
    <s v="Regular Air"/>
    <n v="43011"/>
    <n v="52800"/>
    <n v="85200"/>
    <n v="32400"/>
    <n v="32"/>
    <n v="1036800"/>
    <n v="0.1"/>
    <n v="103680"/>
    <n v="933120"/>
    <n v="15000"/>
    <n v="948120"/>
  </r>
  <r>
    <s v="5521-1"/>
    <d v="2017-09-29T00:00:00"/>
    <n v="2017"/>
    <s v="Ami Utami"/>
    <s v="Jl. S. Parman No. 91"/>
    <s v="Surabaya"/>
    <x v="0"/>
    <s v="E1034"/>
    <s v="Ophelia Mustofa"/>
    <s v="Ophelia Mustofa"/>
    <s v="Medium"/>
    <s v="Smiths General Use 3-Ring Binders"/>
    <x v="0"/>
    <s v="Small Box"/>
    <s v="Regular Air"/>
    <n v="43008"/>
    <n v="17700"/>
    <n v="28200"/>
    <n v="10500"/>
    <n v="19"/>
    <n v="199500"/>
    <n v="7.0000000000000007E-2"/>
    <n v="13965.000000000002"/>
    <n v="185535"/>
    <n v="15000"/>
    <n v="200535"/>
  </r>
  <r>
    <s v="5523-1"/>
    <d v="2017-09-30T00:00:00"/>
    <n v="2017"/>
    <s v="Dwi Suartini"/>
    <s v="Gg. Tubagus Ismail No. 864"/>
    <s v="Bandung"/>
    <x v="1"/>
    <s v="E1032"/>
    <s v="Violet Mentari"/>
    <s v="Violet Mentari"/>
    <s v="High"/>
    <s v="Message Book, One Form per Page"/>
    <x v="0"/>
    <s v="Wrap Bag"/>
    <s v="Regular Air"/>
    <n v="43008"/>
    <n v="36150"/>
    <n v="55650"/>
    <n v="19500"/>
    <n v="39"/>
    <n v="760500"/>
    <n v="0.06"/>
    <n v="45630"/>
    <n v="714870"/>
    <n v="5000"/>
    <n v="719870"/>
  </r>
  <r>
    <s v="5525-1"/>
    <d v="2017-09-30T00:00:00"/>
    <n v="2017"/>
    <s v="Unggul Zulaika"/>
    <s v="Jl. Jend. Sudirman No. 0"/>
    <s v="Surabaya"/>
    <x v="3"/>
    <s v="E1030"/>
    <s v="Cinthia Gunawan"/>
    <s v="Cinthia Gunawan"/>
    <s v="Critical"/>
    <s v="Adams &quot;While You Were Out&quot; Message Pads"/>
    <x v="0"/>
    <s v="Wrap Bag"/>
    <s v="Regular Air"/>
    <n v="43008"/>
    <n v="28200"/>
    <n v="47100"/>
    <n v="18900"/>
    <n v="32"/>
    <n v="604800"/>
    <n v="0.03"/>
    <n v="18144"/>
    <n v="586656"/>
    <n v="5000"/>
    <n v="591656"/>
  </r>
  <r>
    <s v="5526-1"/>
    <d v="2017-10-01T00:00:00"/>
    <n v="2017"/>
    <s v="Cahyono Novitasari"/>
    <s v="Gang Soekarno Hatta No. 2"/>
    <s v="Jakarta"/>
    <x v="2"/>
    <s v="E1029"/>
    <s v="Laras Nuraini"/>
    <s v="Laras Nuraini"/>
    <s v="Medium"/>
    <s v="DrawIt Colored Pencils, 48-Color Set"/>
    <x v="0"/>
    <s v="Wrap Bag"/>
    <s v="Regular Air"/>
    <n v="43011"/>
    <n v="323400"/>
    <n v="548250"/>
    <n v="224850"/>
    <n v="48"/>
    <n v="10792800"/>
    <n v="7.0000000000000007E-2"/>
    <n v="755496.00000000012"/>
    <n v="10037304"/>
    <n v="5000"/>
    <n v="10042304"/>
  </r>
  <r>
    <s v="5527-1"/>
    <d v="2017-10-01T00:00:00"/>
    <n v="2017"/>
    <s v="Puspa Maryati"/>
    <s v="Gang Yos Sudarso No. 13"/>
    <s v="Surabaya"/>
    <x v="2"/>
    <s v="E1039"/>
    <s v="Nabila Prakasa"/>
    <s v="Nabila Prakasa"/>
    <s v="Not Specified"/>
    <s v="Laser DVD-RAM discs"/>
    <x v="1"/>
    <s v="Small Pack"/>
    <s v="Regular Air"/>
    <n v="43011"/>
    <n v="302700"/>
    <n v="531150"/>
    <n v="228450"/>
    <n v="21"/>
    <n v="4797450"/>
    <n v="0.01"/>
    <n v="47974.5"/>
    <n v="4749475.5"/>
    <n v="10000"/>
    <n v="4759475.5"/>
  </r>
  <r>
    <s v="5529-1"/>
    <d v="2017-10-01T00:00:00"/>
    <n v="2017"/>
    <s v="Rangga Hutasoit"/>
    <s v="Jl. S. Parman No. 91"/>
    <s v="Surabaya"/>
    <x v="0"/>
    <s v="E1034"/>
    <s v="Ophelia Mustofa"/>
    <s v="Ophelia Mustofa"/>
    <s v="High"/>
    <s v="Multimedia Mailers"/>
    <x v="0"/>
    <s v="Small Box"/>
    <s v="Regular Air"/>
    <n v="43011"/>
    <n v="1490850"/>
    <n v="2443950"/>
    <n v="953100"/>
    <n v="16"/>
    <n v="15249600"/>
    <n v="0.1"/>
    <n v="1524960"/>
    <n v="13724640"/>
    <n v="15000"/>
    <n v="13739640"/>
  </r>
  <r>
    <s v="5531-1"/>
    <d v="2017-10-04T00:00:00"/>
    <n v="2017"/>
    <s v="Cawisadi Wijaya"/>
    <s v="Gang Ahmad Yani No. 6"/>
    <s v="Surabaya"/>
    <x v="1"/>
    <s v="E1038"/>
    <s v="Clara Prasetyo"/>
    <s v="Clara Prasetyo"/>
    <s v="Not Specified"/>
    <s v="3Max Polarizing Task Lamp with Clamp Arm, Light Gray"/>
    <x v="2"/>
    <s v="Large Box"/>
    <s v="Express Air"/>
    <n v="43014"/>
    <n v="842400"/>
    <n v="2054699.9999999998"/>
    <n v="1212299.9999999998"/>
    <n v="17"/>
    <n v="20609099.999999996"/>
    <n v="0"/>
    <n v="0"/>
    <n v="20609099.999999996"/>
    <n v="100000"/>
    <n v="20709099.999999996"/>
  </r>
  <r>
    <s v="5533-1"/>
    <d v="2017-10-04T00:00:00"/>
    <n v="2017"/>
    <s v="Elma Samosir"/>
    <s v="Gang Raya Setiabudhi No. 870"/>
    <s v="Jakarta"/>
    <x v="2"/>
    <s v="E1029"/>
    <s v="Laras Nuraini"/>
    <s v="Laras Nuraini"/>
    <s v="Medium"/>
    <s v="Artisan 478 Labels"/>
    <x v="0"/>
    <s v="Small Box"/>
    <s v="Express Air"/>
    <n v="43014"/>
    <n v="47100"/>
    <n v="73650"/>
    <n v="26550"/>
    <n v="24"/>
    <n v="637200"/>
    <n v="0.01"/>
    <n v="6372"/>
    <n v="630828"/>
    <n v="30000"/>
    <n v="660828"/>
  </r>
  <r>
    <s v="5534-1"/>
    <d v="2017-10-05T00:00:00"/>
    <n v="2017"/>
    <s v="Maman Wulandari"/>
    <s v="Jl. Pasir Koja No. 64"/>
    <s v="Surabaya"/>
    <x v="0"/>
    <s v="E1032"/>
    <s v="Violet Mentari"/>
    <s v="Violet Mentari"/>
    <s v="Medium"/>
    <s v="Artisan 474 Labels"/>
    <x v="0"/>
    <s v="Small Box"/>
    <s v="Regular Air"/>
    <n v="43013"/>
    <n v="27600"/>
    <n v="43200"/>
    <n v="15600"/>
    <n v="8"/>
    <n v="124800"/>
    <n v="7.0000000000000007E-2"/>
    <n v="8736"/>
    <n v="116064"/>
    <n v="15000"/>
    <n v="131064"/>
  </r>
  <r>
    <s v="5536-1"/>
    <d v="2017-10-07T00:00:00"/>
    <n v="2017"/>
    <s v="Ibun Haryanto"/>
    <s v="Jalan Kutai No. 503"/>
    <s v="Surabaya"/>
    <x v="3"/>
    <s v="E1039"/>
    <s v="Nabila Prakasa"/>
    <s v="Nabila Prakasa"/>
    <s v="Not Specified"/>
    <s v="Steady 52201 APSCO Electric Pencil Sharpener"/>
    <x v="0"/>
    <s v="Small Pack"/>
    <s v="Regular Air"/>
    <n v="43015"/>
    <n v="252000"/>
    <n v="614550"/>
    <n v="362550"/>
    <n v="47"/>
    <n v="17039850"/>
    <n v="0.06"/>
    <n v="1022391"/>
    <n v="16017459"/>
    <n v="10000"/>
    <n v="16027459"/>
  </r>
  <r>
    <s v="5537-1"/>
    <d v="2017-10-09T00:00:00"/>
    <n v="2017"/>
    <s v="Prasetya Wahyuni"/>
    <s v="Jl. Ciwastra No. 543"/>
    <s v="Jakarta"/>
    <x v="3"/>
    <s v="E1029"/>
    <s v="Laras Nuraini"/>
    <s v="Laras Nuraini"/>
    <s v="High"/>
    <s v="Barrel Sharpener"/>
    <x v="0"/>
    <s v="Small Pack"/>
    <s v="Regular Air"/>
    <n v="43018"/>
    <n v="21900"/>
    <n v="53550"/>
    <n v="31650"/>
    <n v="46"/>
    <n v="1455900"/>
    <n v="0.01"/>
    <n v="14559"/>
    <n v="1441341"/>
    <n v="10000"/>
    <n v="1451341"/>
  </r>
  <r>
    <s v="5539-1"/>
    <d v="2017-10-11T00:00:00"/>
    <n v="2017"/>
    <s v="Elma Susanti"/>
    <s v="Gg. HOS. Cokroaminoto No. 72"/>
    <s v="Surabaya"/>
    <x v="0"/>
    <s v="E1034"/>
    <s v="Ophelia Mustofa"/>
    <s v="Ophelia Mustofa"/>
    <s v="Not Specified"/>
    <s v="Angle-D Binders with Locking Rings, Label Holders"/>
    <x v="0"/>
    <s v="Small Box"/>
    <s v="Regular Air"/>
    <n v="43020"/>
    <n v="67950"/>
    <n v="109500"/>
    <n v="41550"/>
    <n v="50"/>
    <n v="2077500"/>
    <n v="0.02"/>
    <n v="41550"/>
    <n v="2035950"/>
    <n v="15000"/>
    <n v="2050950"/>
  </r>
  <r>
    <s v="5539-2"/>
    <d v="2017-10-11T00:00:00"/>
    <n v="2017"/>
    <s v="Elma Susanti"/>
    <s v="Gg. HOS. Cokroaminoto No. 72"/>
    <s v="Surabaya"/>
    <x v="0"/>
    <s v="E1034"/>
    <s v="Ophelia Mustofa"/>
    <s v="Ophelia Mustofa"/>
    <s v="Not Specified"/>
    <s v="Smiths Paper Clips"/>
    <x v="0"/>
    <s v="Wrap Bag"/>
    <s v="Regular Air"/>
    <n v="43020"/>
    <n v="22950"/>
    <n v="37050"/>
    <n v="14100"/>
    <n v="43"/>
    <n v="606300"/>
    <n v="0.02"/>
    <n v="12126"/>
    <n v="594174"/>
    <n v="5000"/>
    <n v="599174"/>
  </r>
  <r>
    <s v="5541-1"/>
    <d v="2017-10-11T00:00:00"/>
    <n v="2017"/>
    <s v="Tiara Lazuardi"/>
    <s v="Jalan Ciwastra No. 383"/>
    <s v="Surabaya"/>
    <x v="1"/>
    <s v="E1032"/>
    <s v="Violet Mentari"/>
    <s v="Violet Mentari"/>
    <s v="Medium"/>
    <s v="Artisan 479 Labels"/>
    <x v="0"/>
    <s v="Small Box"/>
    <s v="Regular Air"/>
    <n v="43019"/>
    <n v="23850"/>
    <n v="39150"/>
    <n v="15300"/>
    <n v="44"/>
    <n v="673200"/>
    <n v="0.09"/>
    <n v="60588"/>
    <n v="612612"/>
    <n v="15000"/>
    <n v="627612"/>
  </r>
  <r>
    <s v="5544-1"/>
    <d v="2017-10-11T00:00:00"/>
    <n v="2017"/>
    <s v="Narji Wastuti"/>
    <s v="Gg. Joyoboyo No. 026"/>
    <s v="Jakarta"/>
    <x v="1"/>
    <s v="E1028"/>
    <s v="Gaduh Pratama"/>
    <s v="Gaduh Pratama"/>
    <s v="Not Specified"/>
    <s v="TechSavi Cordless Access Keyboard"/>
    <x v="1"/>
    <s v="Small Box"/>
    <s v="Regular Air"/>
    <n v="43020"/>
    <n v="220500"/>
    <n v="449850"/>
    <n v="229350"/>
    <n v="20"/>
    <n v="4587000"/>
    <n v="0"/>
    <n v="0"/>
    <n v="4587000"/>
    <n v="15000"/>
    <n v="4602000"/>
  </r>
  <r>
    <s v="5546-1"/>
    <d v="2017-10-12T00:00:00"/>
    <n v="2017"/>
    <s v="Upik Siregar"/>
    <s v="Gang Medokan Ayu No. 764"/>
    <s v="Surabaya"/>
    <x v="1"/>
    <s v="E1038"/>
    <s v="Clara Prasetyo"/>
    <s v="Clara Prasetyo"/>
    <s v="Medium"/>
    <s v="Alto Perma 2700 Stacking Storage Drawers"/>
    <x v="0"/>
    <s v="Small Box"/>
    <s v="Regular Air"/>
    <n v="43023"/>
    <n v="133800"/>
    <n v="446100"/>
    <n v="312300"/>
    <n v="4"/>
    <n v="1249200"/>
    <n v="0.05"/>
    <n v="62460"/>
    <n v="1186740"/>
    <n v="15000"/>
    <n v="1201740"/>
  </r>
  <r>
    <s v="5547-1"/>
    <d v="2017-10-16T00:00:00"/>
    <n v="2017"/>
    <s v="Taufik Najmudin"/>
    <s v="Jalan R.E Martadinata No. 6"/>
    <s v="Jakarta"/>
    <x v="2"/>
    <s v="E1029"/>
    <s v="Laras Nuraini"/>
    <s v="Laras Nuraini"/>
    <s v="High"/>
    <s v="Alto Memo Cubes"/>
    <x v="0"/>
    <s v="Wrap Bag"/>
    <s v="Regular Air"/>
    <n v="43026"/>
    <n v="49800"/>
    <n v="77700"/>
    <n v="27900"/>
    <n v="43"/>
    <n v="1199700"/>
    <n v="0.03"/>
    <n v="35991"/>
    <n v="1163709"/>
    <n v="5000"/>
    <n v="1168709"/>
  </r>
  <r>
    <s v="5548-1"/>
    <d v="2017-10-17T00:00:00"/>
    <n v="2017"/>
    <s v="Kardi Narpati"/>
    <s v="Jalan Pasteur No. 217"/>
    <s v="Surabaya"/>
    <x v="2"/>
    <s v="E1031"/>
    <s v="Bagiya Sihombing"/>
    <s v="Bagiya Sihombing"/>
    <s v="Critical"/>
    <s v="Artisan File Folder Labels"/>
    <x v="0"/>
    <s v="Small Box"/>
    <s v="Regular Air"/>
    <n v="43028"/>
    <n v="27600"/>
    <n v="43200"/>
    <n v="15600"/>
    <n v="47"/>
    <n v="733200"/>
    <n v="0.03"/>
    <n v="21996"/>
    <n v="711204"/>
    <n v="15000"/>
    <n v="726204"/>
  </r>
  <r>
    <s v="5549-1"/>
    <d v="2017-10-23T00:00:00"/>
    <n v="2017"/>
    <s v="Kunthara Prasetya"/>
    <s v="Jalan Astana Anyar No. 41"/>
    <s v="Jakarta"/>
    <x v="2"/>
    <s v="E1028"/>
    <s v="Gaduh Pratama"/>
    <s v="Gaduh Pratama"/>
    <s v="High"/>
    <s v="TechSavi Access Keyboard"/>
    <x v="1"/>
    <s v="Small Box"/>
    <s v="Regular Air"/>
    <n v="43033"/>
    <n v="124650.00000000001"/>
    <n v="239700"/>
    <n v="115049.99999999999"/>
    <n v="40"/>
    <n v="4601999.9999999991"/>
    <n v="0.03"/>
    <n v="138059.99999999997"/>
    <n v="4463939.9999999991"/>
    <n v="15000"/>
    <n v="4478939.9999999991"/>
  </r>
  <r>
    <s v="5551-1"/>
    <d v="2017-10-24T00:00:00"/>
    <n v="2017"/>
    <s v="Gabriella Napitupulu"/>
    <s v="Jl. HOS. Cokroaminoto No. 1"/>
    <s v="Surabaya"/>
    <x v="2"/>
    <s v="E1039"/>
    <s v="Nabila Prakasa"/>
    <s v="Nabila Prakasa"/>
    <s v="Medium"/>
    <s v="Artisan Round Ring Poly Binders"/>
    <x v="0"/>
    <s v="Small Box"/>
    <s v="Regular Air"/>
    <n v="43034"/>
    <n v="27300"/>
    <n v="42600"/>
    <n v="15300"/>
    <n v="19"/>
    <n v="290700"/>
    <n v="0"/>
    <n v="0"/>
    <n v="290700"/>
    <n v="15000"/>
    <n v="305700"/>
  </r>
  <r>
    <s v="5552-1"/>
    <d v="2017-10-27T00:00:00"/>
    <n v="2017"/>
    <s v="Kania Budiyanto"/>
    <s v="Gg. Siliwangi No. 26"/>
    <s v="Jakarta"/>
    <x v="1"/>
    <s v="E1029"/>
    <s v="Laras Nuraini"/>
    <s v="Laras Nuraini"/>
    <s v="Not Specified"/>
    <s v="Laser Neon Mac Format Diskettes, 10/Pack"/>
    <x v="1"/>
    <s v="Small Pack"/>
    <s v="Regular Air"/>
    <n v="43037"/>
    <n v="28050"/>
    <n v="121799.99999999999"/>
    <n v="93749.999999999985"/>
    <n v="4"/>
    <n v="374999.99999999994"/>
    <n v="7.0000000000000007E-2"/>
    <n v="26250"/>
    <n v="348749.99999999994"/>
    <n v="10000"/>
    <n v="358749.99999999994"/>
  </r>
  <r>
    <s v="5554-1"/>
    <d v="2017-10-29T00:00:00"/>
    <n v="2017"/>
    <s v="Oman Sihombing"/>
    <s v="Jl. Raya Ujungberung No. 121"/>
    <s v="Bandung"/>
    <x v="3"/>
    <s v="E1032"/>
    <s v="Violet Mentari"/>
    <s v="Violet Mentari"/>
    <s v="High"/>
    <s v="Alto 3-Hole Punch"/>
    <x v="0"/>
    <s v="Small Box"/>
    <s v="Regular Air"/>
    <n v="43038"/>
    <n v="41400"/>
    <n v="65700"/>
    <n v="24300"/>
    <n v="18"/>
    <n v="437400"/>
    <n v="0.03"/>
    <n v="13122"/>
    <n v="424278"/>
    <n v="15000"/>
    <n v="439278"/>
  </r>
  <r>
    <s v="5556-1"/>
    <d v="2017-10-30T00:00:00"/>
    <n v="2017"/>
    <s v="Gada Gunawan"/>
    <s v="Gang Sadang Serang No. 74"/>
    <s v="Surabaya"/>
    <x v="1"/>
    <s v="E1030"/>
    <s v="Cinthia Gunawan"/>
    <s v="Cinthia Gunawan"/>
    <s v="Medium"/>
    <s v="Artisan 474 Labels"/>
    <x v="0"/>
    <s v="Small Box"/>
    <s v="Regular Air"/>
    <n v="43039"/>
    <n v="27600"/>
    <n v="43200"/>
    <n v="15600"/>
    <n v="10"/>
    <n v="156000"/>
    <n v="0.01"/>
    <n v="1560"/>
    <n v="154440"/>
    <n v="15000"/>
    <n v="169440"/>
  </r>
  <r>
    <s v="5558-1"/>
    <d v="2017-10-30T00:00:00"/>
    <n v="2017"/>
    <s v="Siska Maryadi"/>
    <s v="Gg. BKR No. 882"/>
    <s v="Bandung"/>
    <x v="2"/>
    <s v="E1032"/>
    <s v="Violet Mentari"/>
    <s v="Violet Mentari"/>
    <s v="Low"/>
    <s v="Colored Push Pins"/>
    <x v="0"/>
    <s v="Wrap Bag"/>
    <s v="Regular Air"/>
    <n v="43040"/>
    <n v="13800"/>
    <n v="27150"/>
    <n v="13350"/>
    <n v="8"/>
    <n v="106800"/>
    <n v="0.05"/>
    <n v="5340"/>
    <n v="101460"/>
    <n v="5000"/>
    <n v="106460"/>
  </r>
  <r>
    <s v="5558-2"/>
    <d v="2017-10-30T00:00:00"/>
    <n v="2017"/>
    <s v="Siska Maryadi"/>
    <s v="Gg. BKR No. 882"/>
    <s v="Bandung"/>
    <x v="2"/>
    <s v="E1032"/>
    <s v="Violet Mentari"/>
    <s v="Violet Mentari"/>
    <s v="Low"/>
    <s v="Steady Colorific Eraseable Coloring Pencils, 12 Count"/>
    <x v="0"/>
    <s v="Wrap Bag"/>
    <s v="Regular Air"/>
    <n v="43045"/>
    <n v="28500"/>
    <n v="49200"/>
    <n v="20700"/>
    <n v="41"/>
    <n v="848700"/>
    <n v="0.05"/>
    <n v="42435"/>
    <n v="806265"/>
    <n v="5000"/>
    <n v="811265"/>
  </r>
  <r>
    <s v="5560-1"/>
    <d v="2017-11-03T00:00:00"/>
    <n v="2017"/>
    <s v="Mustofa Tarihoran"/>
    <s v="Gg. Cihampelas No. 423"/>
    <s v="Surabaya"/>
    <x v="2"/>
    <s v="E1030"/>
    <s v="Cinthia Gunawan"/>
    <s v="Cinthia Gunawan"/>
    <s v="Low"/>
    <s v="Economy Binders"/>
    <x v="0"/>
    <s v="Small Box"/>
    <s v="Regular Air"/>
    <n v="43044"/>
    <n v="19950"/>
    <n v="31200"/>
    <n v="11250"/>
    <n v="20"/>
    <n v="225000"/>
    <n v="0.04"/>
    <n v="9000"/>
    <n v="216000"/>
    <n v="15000"/>
    <n v="231000"/>
  </r>
  <r>
    <s v="5562-1"/>
    <d v="2017-11-05T00:00:00"/>
    <n v="2017"/>
    <s v="Paris Palastri"/>
    <s v="Jalan Pasirkoja No. 329"/>
    <s v="Surabaya"/>
    <x v="3"/>
    <s v="E1040"/>
    <s v="Sutan Tirtayasa Wasita"/>
    <s v="Sutan Tirtayasa Wasita"/>
    <s v="Critical"/>
    <s v="Smiths Metal Binder Clips"/>
    <x v="0"/>
    <s v="Wrap Bag"/>
    <s v="Express Air"/>
    <n v="43046"/>
    <n v="24000"/>
    <n v="39300"/>
    <n v="15300"/>
    <n v="25"/>
    <n v="382500"/>
    <n v="0.09"/>
    <n v="34425"/>
    <n v="348075"/>
    <n v="10000"/>
    <n v="358075"/>
  </r>
  <r>
    <s v="5564-1"/>
    <d v="2017-11-06T00:00:00"/>
    <n v="2017"/>
    <s v="Bakiono Wahyuni"/>
    <s v="Jl. Rumah Sakit No. 738"/>
    <s v="Jakarta"/>
    <x v="0"/>
    <s v="E1028"/>
    <s v="Gaduh Pratama"/>
    <s v="Gaduh Pratama"/>
    <s v="Low"/>
    <s v="Self-Adhesive Removable Labels"/>
    <x v="0"/>
    <s v="Small Box"/>
    <s v="Regular Air"/>
    <n v="43047"/>
    <n v="29700"/>
    <n v="47250"/>
    <n v="17550"/>
    <n v="46"/>
    <n v="807300"/>
    <n v="0.1"/>
    <n v="80730"/>
    <n v="726570"/>
    <n v="15000"/>
    <n v="741570"/>
  </r>
  <r>
    <s v="5566-1"/>
    <d v="2017-11-07T00:00:00"/>
    <n v="2017"/>
    <s v="Emas Kurniawan"/>
    <s v="Gg. Surapati No. 50"/>
    <s v="Surabaya"/>
    <x v="0"/>
    <s v="E1033"/>
    <s v="Paiman Firgantoro"/>
    <s v="Paiman Firgantoro"/>
    <s v="Low"/>
    <s v="HFX LaserJet 3310 Copier"/>
    <x v="1"/>
    <s v="Large Box"/>
    <s v="Regular Air"/>
    <n v="43055"/>
    <n v="5669850"/>
    <n v="8999850"/>
    <n v="3330000"/>
    <n v="25"/>
    <n v="83250000"/>
    <n v="7.0000000000000007E-2"/>
    <n v="5827500.0000000009"/>
    <n v="77422500"/>
    <n v="50000"/>
    <n v="77472500"/>
  </r>
  <r>
    <s v="5566-2"/>
    <d v="2017-11-07T00:00:00"/>
    <n v="2017"/>
    <s v="Emas Kurniawan"/>
    <s v="Gg. Surapati No. 50"/>
    <s v="Surabaya"/>
    <x v="0"/>
    <s v="E1033"/>
    <s v="Paiman Firgantoro"/>
    <s v="Paiman Firgantoro"/>
    <s v="Low"/>
    <s v="Smiths Metal Binder Clips"/>
    <x v="0"/>
    <s v="Wrap Bag"/>
    <s v="Regular Air"/>
    <n v="43053"/>
    <n v="24000"/>
    <n v="39300"/>
    <n v="15300"/>
    <n v="10"/>
    <n v="153000"/>
    <n v="0.08"/>
    <n v="12240"/>
    <n v="140760"/>
    <n v="5000"/>
    <n v="145760"/>
  </r>
  <r>
    <s v="5569-1"/>
    <d v="2017-11-09T00:00:00"/>
    <n v="2017"/>
    <s v="Bakti Simbolon"/>
    <s v="Jl. R.E Martadinata No. 18"/>
    <s v="Surabaya"/>
    <x v="1"/>
    <s v="E1039"/>
    <s v="Nabila Prakasa"/>
    <s v="Nabila Prakasa"/>
    <s v="Medium"/>
    <s v="1726 Digital Answering Machine"/>
    <x v="1"/>
    <s v="Medium Box"/>
    <s v="Regular Air"/>
    <n v="43050"/>
    <n v="132300"/>
    <n v="314850"/>
    <n v="182550"/>
    <n v="9"/>
    <n v="1642950"/>
    <n v="0.08"/>
    <n v="131436"/>
    <n v="1511514"/>
    <n v="20000"/>
    <n v="1531514"/>
  </r>
  <r>
    <s v="5570-1"/>
    <d v="2017-11-11T00:00:00"/>
    <n v="2017"/>
    <s v="Gatot Wibisono"/>
    <s v="Gg. Otto Iskandardinata No. 6"/>
    <s v="Jakarta"/>
    <x v="3"/>
    <s v="E1028"/>
    <s v="Gaduh Pratama"/>
    <s v="Gaduh Pratama"/>
    <s v="High"/>
    <s v="Artisan File Folder Labels"/>
    <x v="0"/>
    <s v="Small Box"/>
    <s v="Regular Air"/>
    <n v="43051"/>
    <n v="27600"/>
    <n v="43200"/>
    <n v="15600"/>
    <n v="11"/>
    <n v="171600"/>
    <n v="0.02"/>
    <n v="3432"/>
    <n v="168168"/>
    <n v="15000"/>
    <n v="183168"/>
  </r>
  <r>
    <s v="5572-1"/>
    <d v="2017-11-11T00:00:00"/>
    <n v="2017"/>
    <s v="Abyasa Yulianti"/>
    <s v="Jalan Ciwastra No. 383"/>
    <s v="Surabaya"/>
    <x v="3"/>
    <s v="E1032"/>
    <s v="Violet Mentari"/>
    <s v="Violet Mentari"/>
    <s v="High"/>
    <s v="Artisan Flip-Chart Easel Binder, Black"/>
    <x v="0"/>
    <s v="Small Box"/>
    <s v="Regular Air"/>
    <n v="43052"/>
    <n v="208200"/>
    <n v="335700"/>
    <n v="127500"/>
    <n v="34"/>
    <n v="4335000"/>
    <n v="0.01"/>
    <n v="43350"/>
    <n v="4291650"/>
    <n v="15000"/>
    <n v="4306650"/>
  </r>
  <r>
    <s v="5574-1"/>
    <d v="2017-11-11T00:00:00"/>
    <n v="2017"/>
    <s v="Jumadi Sitompul"/>
    <s v="Gg. M.H Thamrin No. 784"/>
    <s v="Jakarta"/>
    <x v="1"/>
    <s v="E1029"/>
    <s v="Laras Nuraini"/>
    <s v="Laras Nuraini"/>
    <s v="Medium"/>
    <s v="Security-Tint Envelopes"/>
    <x v="0"/>
    <s v="Small Box"/>
    <s v="Regular Air"/>
    <n v="43052"/>
    <n v="73350"/>
    <n v="114600"/>
    <n v="41250"/>
    <n v="7"/>
    <n v="288750"/>
    <n v="0.06"/>
    <n v="17325"/>
    <n v="271425"/>
    <n v="15000"/>
    <n v="286425"/>
  </r>
  <r>
    <s v="5576-1"/>
    <d v="2017-11-15T00:00:00"/>
    <n v="2017"/>
    <s v="Cahyadi Wulandari"/>
    <s v="Gang Cikapayang No. 055"/>
    <s v="Surabaya"/>
    <x v="1"/>
    <s v="E1040"/>
    <s v="Sutan Tirtayasa Wasita"/>
    <s v="Sutan Tirtayasa Wasita"/>
    <s v="Medium"/>
    <s v="Binder Posts"/>
    <x v="0"/>
    <s v="Small Box"/>
    <s v="Regular Air"/>
    <n v="43055"/>
    <n v="52500"/>
    <n v="86100"/>
    <n v="33600"/>
    <n v="7"/>
    <n v="235200"/>
    <n v="0.04"/>
    <n v="9408"/>
    <n v="225792"/>
    <n v="15000"/>
    <n v="240792"/>
  </r>
  <r>
    <s v="5578-1"/>
    <d v="2017-11-17T00:00:00"/>
    <n v="2017"/>
    <s v="Garang Kuswoyo"/>
    <s v="Jl. Antapani Lama No. 705"/>
    <s v="Jakarta"/>
    <x v="2"/>
    <s v="E1028"/>
    <s v="Gaduh Pratama"/>
    <s v="Gaduh Pratama"/>
    <s v="High"/>
    <s v="12 Colored Short Pencils"/>
    <x v="0"/>
    <s v="Wrap Bag"/>
    <s v="Regular Air"/>
    <n v="43058"/>
    <n v="16350.000000000002"/>
    <n v="39000"/>
    <n v="22650"/>
    <n v="43"/>
    <n v="973950"/>
    <n v="0.06"/>
    <n v="58437"/>
    <n v="915513"/>
    <n v="5000"/>
    <n v="920513"/>
  </r>
  <r>
    <s v="5579-1"/>
    <d v="2017-11-18T00:00:00"/>
    <n v="2017"/>
    <s v="Irwan Wahyuni"/>
    <s v="Jl. Moch. Toha No. 1"/>
    <s v="Surabaya"/>
    <x v="1"/>
    <s v="E1041"/>
    <s v="Sari Winarno"/>
    <s v="Sari Winarno"/>
    <s v="Low"/>
    <s v="Artisan Hanging File Binders"/>
    <x v="0"/>
    <s v="Small Box"/>
    <s v="Regular Air"/>
    <n v="43057"/>
    <n v="54750"/>
    <n v="89700"/>
    <n v="34950"/>
    <n v="32"/>
    <n v="1118400"/>
    <n v="0.1"/>
    <n v="111840"/>
    <n v="1006560"/>
    <n v="15000"/>
    <n v="1021560"/>
  </r>
  <r>
    <s v="5581-1"/>
    <d v="2017-11-19T00:00:00"/>
    <n v="2017"/>
    <s v="Gantar Kuswoyo"/>
    <s v="Jalan Jend. A. Yani No. 48"/>
    <s v="Surabaya"/>
    <x v="3"/>
    <s v="E1036"/>
    <s v="Kenari Rajasa"/>
    <s v="Kenari Rajasa"/>
    <s v="Critical"/>
    <s v="Alto Memo Cubes"/>
    <x v="0"/>
    <s v="Wrap Bag"/>
    <s v="Regular Air"/>
    <n v="43060"/>
    <n v="49800"/>
    <n v="77700"/>
    <n v="27900"/>
    <n v="17"/>
    <n v="474300"/>
    <n v="0.02"/>
    <n v="9486"/>
    <n v="464814"/>
    <n v="5000"/>
    <n v="469814"/>
  </r>
  <r>
    <s v="5583-1"/>
    <d v="2017-11-23T00:00:00"/>
    <n v="2017"/>
    <s v="Luis Hasanah"/>
    <s v="Gang Jayawijaya No. 91"/>
    <s v="Surabaya"/>
    <x v="1"/>
    <s v="E1037"/>
    <s v="Puti Nadine Prakasa"/>
    <s v="Puti Nadine Prakasa"/>
    <s v="Critical"/>
    <s v="Bagged Rubber Bands"/>
    <x v="0"/>
    <s v="Wrap Bag"/>
    <s v="Regular Air"/>
    <n v="43063"/>
    <n v="3600"/>
    <n v="18900"/>
    <n v="15300"/>
    <n v="2"/>
    <n v="30600"/>
    <n v="0.06"/>
    <n v="1836"/>
    <n v="28764"/>
    <n v="5000"/>
    <n v="33764"/>
  </r>
  <r>
    <s v="5584-1"/>
    <d v="2017-11-23T00:00:00"/>
    <n v="2017"/>
    <s v="Ibrani Widiastuti"/>
    <s v="Jalan R.E Martadinata No. 6"/>
    <s v="Jakarta"/>
    <x v="3"/>
    <s v="E1029"/>
    <s v="Laras Nuraini"/>
    <s v="Laras Nuraini"/>
    <s v="Critical"/>
    <s v="DrawIt Colored Pencils, 48-Color Set"/>
    <x v="0"/>
    <s v="Wrap Bag"/>
    <s v="Regular Air"/>
    <n v="43065"/>
    <n v="323400"/>
    <n v="548250"/>
    <n v="224850"/>
    <n v="24"/>
    <n v="5396400"/>
    <n v="7.0000000000000007E-2"/>
    <n v="377748.00000000006"/>
    <n v="5018652"/>
    <n v="5000"/>
    <n v="5023652"/>
  </r>
  <r>
    <s v="5586-1"/>
    <d v="2017-11-23T00:00:00"/>
    <n v="2017"/>
    <s v="Talia Maryadi"/>
    <s v="Jalan R.E Martadinata No. 6"/>
    <s v="Jakarta"/>
    <x v="1"/>
    <s v="E1029"/>
    <s v="Laras Nuraini"/>
    <s v="Laras Nuraini"/>
    <s v="Medium"/>
    <s v="Steady Major Accent Highlighters"/>
    <x v="0"/>
    <s v="Wrap Bag"/>
    <s v="Regular Air"/>
    <n v="43064"/>
    <n v="56250"/>
    <n v="106200"/>
    <n v="49950"/>
    <n v="47"/>
    <n v="2347650"/>
    <n v="0.1"/>
    <n v="234765"/>
    <n v="2112885"/>
    <n v="5000"/>
    <n v="2117885"/>
  </r>
  <r>
    <s v="5588-1"/>
    <d v="2017-11-23T00:00:00"/>
    <n v="2017"/>
    <s v="Gambira Kusmawati"/>
    <s v="Jl. Antapani Lama No. 705"/>
    <s v="Jakarta"/>
    <x v="2"/>
    <s v="E1028"/>
    <s v="Gaduh Pratama"/>
    <s v="Gaduh Pratama"/>
    <s v="High"/>
    <s v="Wirebound Voice Message Log Book"/>
    <x v="0"/>
    <s v="Wrap Bag"/>
    <s v="Express Air"/>
    <n v="43064"/>
    <n v="43500"/>
    <n v="71400"/>
    <n v="27900"/>
    <n v="11"/>
    <n v="306900"/>
    <n v="0.08"/>
    <n v="24552"/>
    <n v="282348"/>
    <n v="10000"/>
    <n v="292348"/>
  </r>
  <r>
    <s v="5589-1"/>
    <d v="2017-11-24T00:00:00"/>
    <n v="2017"/>
    <s v="Gara Aryani"/>
    <s v="Gang R.E Martadinata No. 969"/>
    <s v="Surabaya"/>
    <x v="0"/>
    <s v="E1036"/>
    <s v="Kenari Rajasa"/>
    <s v="Kenari Rajasa"/>
    <s v="Low"/>
    <s v="Beekin 105-Key Black Keyboard"/>
    <x v="1"/>
    <s v="Small Box"/>
    <s v="Regular Air"/>
    <n v="43070"/>
    <n v="95850"/>
    <n v="299700"/>
    <n v="203850"/>
    <n v="5"/>
    <n v="1019250"/>
    <n v="0.09"/>
    <n v="91732.5"/>
    <n v="927517.5"/>
    <n v="15000"/>
    <n v="942517.5"/>
  </r>
  <r>
    <s v="5591-1"/>
    <d v="2017-12-04T00:00:00"/>
    <n v="2017"/>
    <s v="Bagus Astuti"/>
    <s v="Jalan Lembong No. 9"/>
    <s v="Surabaya"/>
    <x v="0"/>
    <s v="E1032"/>
    <s v="Violet Mentari"/>
    <s v="Violet Mentari"/>
    <s v="Not Specified"/>
    <s v="Smiths File Caddy"/>
    <x v="0"/>
    <s v="Small Box"/>
    <s v="Regular Air"/>
    <n v="43074"/>
    <n v="60450.000000000007"/>
    <n v="140700"/>
    <n v="80250"/>
    <n v="17"/>
    <n v="1364250"/>
    <n v="0.09"/>
    <n v="122782.5"/>
    <n v="1241467.5"/>
    <n v="15000"/>
    <n v="1256467.5"/>
  </r>
  <r>
    <s v="5593-1"/>
    <d v="2017-12-07T00:00:00"/>
    <n v="2017"/>
    <s v="Wardi Nasyidah"/>
    <s v="Jalan R.E Martadinata No. 6"/>
    <s v="Jakarta"/>
    <x v="1"/>
    <s v="E1029"/>
    <s v="Laras Nuraini"/>
    <s v="Laras Nuraini"/>
    <s v="High"/>
    <s v="Aluminum Document Frame"/>
    <x v="2"/>
    <s v="Small Pack"/>
    <s v="Regular Air"/>
    <n v="43078"/>
    <n v="82500"/>
    <n v="183300"/>
    <n v="100800"/>
    <n v="37"/>
    <n v="3729600"/>
    <n v="0.09"/>
    <n v="335664"/>
    <n v="3393936"/>
    <n v="10000"/>
    <n v="3403936"/>
  </r>
  <r>
    <s v="5594-1"/>
    <d v="2017-12-07T00:00:00"/>
    <n v="2017"/>
    <s v="Gada Hardiansyah"/>
    <s v="Jl. W.R. Supratman No. 473"/>
    <s v="Surabaya"/>
    <x v="0"/>
    <s v="E1036"/>
    <s v="Kenari Rajasa"/>
    <s v="Kenari Rajasa"/>
    <s v="High"/>
    <s v="PastelOcean Color Pencil Set"/>
    <x v="0"/>
    <s v="Wrap Bag"/>
    <s v="Regular Air"/>
    <n v="43078"/>
    <n v="166650"/>
    <n v="297600"/>
    <n v="130950"/>
    <n v="28"/>
    <n v="3666600"/>
    <n v="0.06"/>
    <n v="219996"/>
    <n v="3446604"/>
    <n v="5000"/>
    <n v="3451604"/>
  </r>
  <r>
    <s v="5596-1"/>
    <d v="2017-12-08T00:00:00"/>
    <n v="2017"/>
    <s v="Karta Purnawati"/>
    <s v="Jl. Sukabumi No. 44"/>
    <s v="Bandung"/>
    <x v="1"/>
    <s v="E1036"/>
    <s v="Kenari Rajasa"/>
    <s v="Kenari Rajasa"/>
    <s v="Medium"/>
    <s v="TechSavi Access Keyboard"/>
    <x v="1"/>
    <s v="Small Box"/>
    <s v="Regular Air"/>
    <n v="43077"/>
    <n v="151050"/>
    <n v="239700"/>
    <n v="88650"/>
    <n v="46"/>
    <n v="4077900"/>
    <n v="0.02"/>
    <n v="81558"/>
    <n v="3996342"/>
    <n v="15000"/>
    <n v="4011342"/>
  </r>
  <r>
    <s v="5597-1"/>
    <d v="2017-12-09T00:00:00"/>
    <n v="2017"/>
    <s v="Salwa Wulandari"/>
    <s v="Gg. Jakarta No. 646"/>
    <s v="Jakarta"/>
    <x v="0"/>
    <s v="E1029"/>
    <s v="Laras Nuraini"/>
    <s v="Laras Nuraini"/>
    <s v="Not Specified"/>
    <s v="Smiths Metal Binder Clips"/>
    <x v="0"/>
    <s v="Wrap Bag"/>
    <s v="Express Air"/>
    <n v="43079"/>
    <n v="24000"/>
    <n v="39300"/>
    <n v="15300"/>
    <n v="45"/>
    <n v="688500"/>
    <n v="0.01"/>
    <n v="6885"/>
    <n v="681615"/>
    <n v="10000"/>
    <n v="691615"/>
  </r>
  <r>
    <s v="5599-1"/>
    <d v="2017-12-10T00:00:00"/>
    <n v="2017"/>
    <s v="Aswani Winarno"/>
    <s v="Jl. K.H. Wahid Hasyim No. 4"/>
    <s v="Jakarta"/>
    <x v="1"/>
    <s v="E1028"/>
    <s v="Gaduh Pratama"/>
    <s v="Gaduh Pratama"/>
    <s v="High"/>
    <s v="Cando PC940 Copier"/>
    <x v="1"/>
    <s v="Jumbo Drum"/>
    <s v="Delivery Truck"/>
    <n v="43079"/>
    <n v="4184850"/>
    <n v="6749850"/>
    <n v="2565000"/>
    <n v="15"/>
    <n v="38475000"/>
    <n v="0.04"/>
    <n v="1539000"/>
    <n v="36936000"/>
    <n v="500000"/>
    <n v="37436000"/>
  </r>
  <r>
    <s v="5599-2"/>
    <d v="2017-12-10T00:00:00"/>
    <n v="2017"/>
    <s v="Aswani Winarno"/>
    <s v="Jl. K.H. Wahid Hasyim No. 4"/>
    <s v="Jakarta"/>
    <x v="1"/>
    <s v="E1028"/>
    <s v="Gaduh Pratama"/>
    <s v="Gaduh Pratama"/>
    <s v="High"/>
    <s v="EcoTones Memo Sheets"/>
    <x v="0"/>
    <s v="Wrap Bag"/>
    <s v="Regular Air"/>
    <n v="43080"/>
    <n v="37800"/>
    <n v="60000"/>
    <n v="22200"/>
    <n v="14"/>
    <n v="310800"/>
    <n v="0.06"/>
    <n v="18648"/>
    <n v="292152"/>
    <n v="5000"/>
    <n v="297152"/>
  </r>
  <r>
    <s v="5603-1"/>
    <d v="2017-12-10T00:00:00"/>
    <n v="2017"/>
    <s v="Chandra Firmansyah"/>
    <s v="Jalan Kutai No. 503"/>
    <s v="Surabaya"/>
    <x v="2"/>
    <s v="E1039"/>
    <s v="Nabila Prakasa"/>
    <s v="Nabila Prakasa"/>
    <s v="Low"/>
    <s v="TechSavi Internet Navigator Keyboard"/>
    <x v="1"/>
    <s v="Small Box"/>
    <s v="Regular Air"/>
    <n v="43083"/>
    <n v="97650"/>
    <n v="464700"/>
    <n v="367050"/>
    <n v="37"/>
    <n v="13580850"/>
    <n v="0.03"/>
    <n v="407425.5"/>
    <n v="13173424.5"/>
    <n v="15000"/>
    <n v="13188424.5"/>
  </r>
  <r>
    <s v="5604-1"/>
    <d v="2017-12-15T00:00:00"/>
    <n v="2017"/>
    <s v="Cengkal Lazuardi"/>
    <s v="Gang R.E Martadinata No. 969"/>
    <s v="Surabaya"/>
    <x v="0"/>
    <s v="E1036"/>
    <s v="Kenari Rajasa"/>
    <s v="Kenari Rajasa"/>
    <s v="Low"/>
    <s v="TechSavi Access Keyboard"/>
    <x v="1"/>
    <s v="Small Box"/>
    <s v="Regular Air"/>
    <n v="43086"/>
    <n v="151050"/>
    <n v="239700"/>
    <n v="88650"/>
    <n v="29"/>
    <n v="2570850"/>
    <n v="0.04"/>
    <n v="102834"/>
    <n v="2468016"/>
    <n v="15000"/>
    <n v="2483016"/>
  </r>
  <r>
    <s v="5605-1"/>
    <d v="2017-12-16T00:00:00"/>
    <n v="2017"/>
    <s v="Arsipatra Halimah"/>
    <s v="Gang Otto Iskandardinata No. 167"/>
    <s v="Surabaya"/>
    <x v="3"/>
    <s v="E1037"/>
    <s v="Puti Nadine Prakasa"/>
    <s v="Puti Nadine Prakasa"/>
    <s v="Medium"/>
    <s v="Artisan Hi-Liter GlideStik Fluorescent Highlighter, Yellow Ink"/>
    <x v="0"/>
    <s v="Wrap Bag"/>
    <s v="Regular Air"/>
    <n v="43087"/>
    <n v="28800"/>
    <n v="48900"/>
    <n v="20100"/>
    <n v="31"/>
    <n v="623100"/>
    <n v="0"/>
    <n v="0"/>
    <n v="623100"/>
    <n v="5000"/>
    <n v="628100"/>
  </r>
  <r>
    <s v="5606-1"/>
    <d v="2017-12-16T00:00:00"/>
    <n v="2017"/>
    <s v="Diah Prakasa"/>
    <s v="Jl. Pasir Koja No. 2"/>
    <s v="Bandung"/>
    <x v="1"/>
    <s v="E1033"/>
    <s v="Paiman Firgantoro"/>
    <s v="Paiman Firgantoro"/>
    <s v="Low"/>
    <s v="Artisan Hi-Liter Smear-Safe Highlighters"/>
    <x v="0"/>
    <s v="Wrap Bag"/>
    <s v="Regular Air"/>
    <n v="43092"/>
    <n v="44700"/>
    <n v="87600"/>
    <n v="42900"/>
    <n v="22"/>
    <n v="943800"/>
    <n v="0.1"/>
    <n v="94380"/>
    <n v="849420"/>
    <n v="5000"/>
    <n v="854420"/>
  </r>
  <r>
    <s v="5607-1"/>
    <d v="2017-12-17T00:00:00"/>
    <n v="2017"/>
    <s v="Limar Usamah"/>
    <s v="Jl. S. Parman No. 38"/>
    <s v="Surabaya"/>
    <x v="1"/>
    <s v="E1033"/>
    <s v="Paiman Firgantoro"/>
    <s v="Paiman Firgantoro"/>
    <s v="Not Specified"/>
    <s v="Apex Preferred Stainless Steel Scissors"/>
    <x v="0"/>
    <s v="Small Pack"/>
    <s v="Regular Air"/>
    <n v="43087"/>
    <n v="37500"/>
    <n v="85200"/>
    <n v="47700"/>
    <n v="23"/>
    <n v="1097100"/>
    <n v="0.01"/>
    <n v="10971"/>
    <n v="1086129"/>
    <n v="10000"/>
    <n v="1096129"/>
  </r>
  <r>
    <s v="5609-1"/>
    <d v="2017-12-20T00:00:00"/>
    <n v="2017"/>
    <s v="Enteng Simbolon"/>
    <s v="Gg. Raya Ujungberung No. 54"/>
    <s v="Bandung"/>
    <x v="0"/>
    <s v="E1039"/>
    <s v="Nabila Prakasa"/>
    <s v="Nabila Prakasa"/>
    <s v="Not Specified"/>
    <s v="Smiths General Use 3-Ring Binders"/>
    <x v="0"/>
    <s v="Small Box"/>
    <s v="Regular Air"/>
    <n v="43089"/>
    <n v="17700"/>
    <n v="28200"/>
    <n v="10500"/>
    <n v="47"/>
    <n v="493500"/>
    <n v="0.06"/>
    <n v="29610"/>
    <n v="463890"/>
    <n v="15000"/>
    <n v="478890"/>
  </r>
  <r>
    <s v="5609-2"/>
    <d v="2017-12-20T00:00:00"/>
    <n v="2017"/>
    <s v="Enteng Simbolon"/>
    <s v="Gg. Raya Ujungberung No. 54"/>
    <s v="Bandung"/>
    <x v="0"/>
    <s v="E1039"/>
    <s v="Nabila Prakasa"/>
    <s v="Nabila Prakasa"/>
    <s v="Not Specified"/>
    <s v="Steady Liquid Accent Tank-Style Highlighters"/>
    <x v="0"/>
    <s v="Wrap Bag"/>
    <s v="Regular Air"/>
    <n v="43091"/>
    <n v="19650"/>
    <n v="42600"/>
    <n v="22950"/>
    <n v="39"/>
    <n v="895050"/>
    <n v="0.08"/>
    <n v="71604"/>
    <n v="823446"/>
    <n v="5000"/>
    <n v="828446"/>
  </r>
  <r>
    <s v="5612-1"/>
    <d v="2017-12-23T00:00:00"/>
    <n v="2017"/>
    <s v="Yuliana Rahmawati"/>
    <s v="Gang Kebonjati No. 827"/>
    <s v="Bandung"/>
    <x v="1"/>
    <s v="E1033"/>
    <s v="Paiman Firgantoro"/>
    <s v="Paiman Firgantoro"/>
    <s v="Not Specified"/>
    <s v="3Max Polarizing Light Filter Sleeves"/>
    <x v="2"/>
    <s v="Small Pack"/>
    <s v="Regular Air"/>
    <n v="43094"/>
    <n v="170700"/>
    <n v="279750"/>
    <n v="109050"/>
    <n v="7"/>
    <n v="763350"/>
    <n v="0.01"/>
    <n v="7633.5"/>
    <n v="755716.5"/>
    <n v="10000"/>
    <n v="765716.5"/>
  </r>
  <r>
    <s v="5613-1"/>
    <d v="2017-12-24T00:00:00"/>
    <n v="2017"/>
    <s v="Bakiono Wahyuni"/>
    <s v="Jl. Rumah Sakit No. 738"/>
    <s v="Jakarta"/>
    <x v="0"/>
    <s v="E1028"/>
    <s v="Gaduh Pratama"/>
    <s v="Gaduh Pratama"/>
    <s v="Critical"/>
    <s v="Binder Clips by OIC"/>
    <x v="0"/>
    <s v="Wrap Bag"/>
    <s v="Regular Air"/>
    <n v="43095"/>
    <n v="13950"/>
    <n v="22200"/>
    <n v="8250"/>
    <n v="15"/>
    <n v="123750"/>
    <n v="0.03"/>
    <n v="3712.5"/>
    <n v="120037.5"/>
    <n v="5000"/>
    <n v="125037.5"/>
  </r>
  <r>
    <s v="5615-1"/>
    <d v="2017-12-25T00:00:00"/>
    <n v="2017"/>
    <s v="Hasim Salahudin"/>
    <s v="Jl. Pasir Koja No. 059"/>
    <s v="Surabaya"/>
    <x v="1"/>
    <s v="E1032"/>
    <s v="Violet Mentari"/>
    <s v="Violet Mentari"/>
    <s v="Critical"/>
    <s v="Creator Anti Dust Chalk, 12/Pack"/>
    <x v="0"/>
    <s v="Wrap Bag"/>
    <s v="Regular Air"/>
    <n v="43095"/>
    <n v="16350.000000000002"/>
    <n v="27300"/>
    <n v="10949.999999999998"/>
    <n v="36"/>
    <n v="394199.99999999994"/>
    <n v="0.09"/>
    <n v="35477.999999999993"/>
    <n v="358721.99999999994"/>
    <n v="5000"/>
    <n v="363721.99999999994"/>
  </r>
  <r>
    <s v="5616-1"/>
    <d v="2017-12-25T00:00:00"/>
    <n v="2017"/>
    <s v="Saka Wijaya"/>
    <s v="Jl. Jend. Sudirman No. 0"/>
    <s v="Surabaya"/>
    <x v="2"/>
    <s v="E1030"/>
    <s v="Cinthia Gunawan"/>
    <s v="Cinthia Gunawan"/>
    <s v="Low"/>
    <s v="Multi-Use Personal File Cart and Caster Set, Three Stacking Bins"/>
    <x v="0"/>
    <s v="Small Box"/>
    <s v="Regular Air"/>
    <n v="43101"/>
    <n v="224250"/>
    <n v="521399.99999999994"/>
    <n v="297149.99999999994"/>
    <n v="34"/>
    <n v="10103099.999999998"/>
    <n v="0.03"/>
    <n v="303092.99999999994"/>
    <n v="9800006.9999999981"/>
    <n v="15000"/>
    <n v="9815006.9999999981"/>
  </r>
  <r>
    <s v="5618-1"/>
    <d v="2017-12-26T00:00:00"/>
    <n v="2017"/>
    <s v="Labuh Permata"/>
    <s v="Jalan Jend. A. Yani No. 48"/>
    <s v="Surabaya"/>
    <x v="3"/>
    <s v="E1036"/>
    <s v="Kenari Rajasa"/>
    <s v="Kenari Rajasa"/>
    <s v="Low"/>
    <s v="Angle-D Binders with Locking Rings, Label Holders"/>
    <x v="0"/>
    <s v="Small Box"/>
    <s v="Regular Air"/>
    <n v="43099"/>
    <n v="67950"/>
    <n v="109500"/>
    <n v="41550"/>
    <n v="26"/>
    <n v="1080300"/>
    <n v="0.03"/>
    <n v="32409"/>
    <n v="1047891"/>
    <n v="15000"/>
    <n v="1062891"/>
  </r>
  <r>
    <s v="5619-1"/>
    <d v="2017-12-30T00:00:00"/>
    <n v="2017"/>
    <s v="Dadap Zulkarnain"/>
    <s v="Gang W.R. Supratman No. 8"/>
    <s v="Surabaya"/>
    <x v="1"/>
    <s v="E1031"/>
    <s v="Bagiya Sihombing"/>
    <s v="Bagiya Sihombing"/>
    <s v="Critical"/>
    <s v="Artisan Poly Binder Pockets"/>
    <x v="0"/>
    <s v="Small Box"/>
    <s v="Regular Air"/>
    <n v="43100"/>
    <n v="33900"/>
    <n v="53700"/>
    <n v="19800"/>
    <n v="19"/>
    <n v="376200"/>
    <n v="0"/>
    <n v="0"/>
    <n v="376200"/>
    <n v="15000"/>
    <n v="391200"/>
  </r>
  <r>
    <s v="5621-1"/>
    <d v="2018-01-03T00:00:00"/>
    <n v="2018"/>
    <s v="Luhung Nuraini"/>
    <s v="Gang Monginsidi No. 138"/>
    <s v="Jakarta"/>
    <x v="2"/>
    <s v="E1029"/>
    <s v="Laras Nuraini"/>
    <s v="Laras Nuraini"/>
    <s v="Medium"/>
    <s v="600 Series Non-Flip"/>
    <x v="1"/>
    <s v="Small Box"/>
    <s v="Regular Air"/>
    <n v="43105"/>
    <n v="296700"/>
    <n v="689850"/>
    <n v="393150"/>
    <n v="23"/>
    <n v="9042450"/>
    <n v="0.1"/>
    <n v="904245"/>
    <n v="8138205"/>
    <n v="15000"/>
    <n v="8153205"/>
  </r>
  <r>
    <s v="5621-2"/>
    <d v="2018-01-03T00:00:00"/>
    <n v="2018"/>
    <s v="Luhung Nuraini"/>
    <s v="Gang Monginsidi No. 138"/>
    <s v="Jakarta"/>
    <x v="2"/>
    <s v="E1029"/>
    <s v="Laras Nuraini"/>
    <s v="Laras Nuraini"/>
    <s v="Medium"/>
    <s v="Binder Clips by OIC"/>
    <x v="0"/>
    <s v="Wrap Bag"/>
    <s v="Regular Air"/>
    <n v="43104"/>
    <n v="13950"/>
    <n v="22200"/>
    <n v="8250"/>
    <n v="33"/>
    <n v="272250"/>
    <n v="0.06"/>
    <n v="16335"/>
    <n v="255915"/>
    <n v="5000"/>
    <n v="260915"/>
  </r>
  <r>
    <s v="5625-1"/>
    <d v="2018-01-05T00:00:00"/>
    <n v="2018"/>
    <s v="Dian Haryanti"/>
    <s v="Jl. Ciwastra No. 543"/>
    <s v="Jakarta"/>
    <x v="1"/>
    <s v="E1029"/>
    <s v="Laras Nuraini"/>
    <s v="Laras Nuraini"/>
    <s v="High"/>
    <s v="DrawIt Colored Pencils"/>
    <x v="0"/>
    <s v="Wrap Bag"/>
    <s v="Express Air"/>
    <n v="43107"/>
    <n v="65550"/>
    <n v="136650"/>
    <n v="71100"/>
    <n v="48"/>
    <n v="3412800"/>
    <n v="0.06"/>
    <n v="204768"/>
    <n v="3208032"/>
    <n v="10000"/>
    <n v="3218032"/>
  </r>
  <r>
    <s v="5627-1"/>
    <d v="2018-01-09T00:00:00"/>
    <n v="2018"/>
    <s v="Latika Siregar"/>
    <s v="Jalan S. Parman No. 88"/>
    <s v="Bandung"/>
    <x v="1"/>
    <s v="E1036"/>
    <s v="Kenari Rajasa"/>
    <s v="Kenari Rajasa"/>
    <s v="Low"/>
    <s v="Office Shears by Apex"/>
    <x v="0"/>
    <s v="Small Pack"/>
    <s v="Regular Air"/>
    <n v="43114"/>
    <n v="14100"/>
    <n v="31200"/>
    <n v="17100"/>
    <n v="36"/>
    <n v="615600"/>
    <n v="0.01"/>
    <n v="6156"/>
    <n v="609444"/>
    <n v="10000"/>
    <n v="619444"/>
  </r>
  <r>
    <s v="5629-1"/>
    <d v="2018-01-10T00:00:00"/>
    <n v="2018"/>
    <s v="Jaiman Marbun"/>
    <s v="Gg. Kapten Muslihat No. 5"/>
    <s v="Surabaya"/>
    <x v="1"/>
    <s v="E1034"/>
    <s v="Ophelia Mustofa"/>
    <s v="Ophelia Mustofa"/>
    <s v="High"/>
    <s v="Smiths Paper Clips"/>
    <x v="0"/>
    <s v="Wrap Bag"/>
    <s v="Regular Air"/>
    <n v="43111"/>
    <n v="22950"/>
    <n v="37050"/>
    <n v="14100"/>
    <n v="49"/>
    <n v="690900"/>
    <n v="0.03"/>
    <n v="20727"/>
    <n v="670173"/>
    <n v="5000"/>
    <n v="675173"/>
  </r>
  <r>
    <s v="5630-1"/>
    <d v="2018-01-10T00:00:00"/>
    <n v="2018"/>
    <s v="Cawuk Pradipta"/>
    <s v="Gang Jakarta No. 938"/>
    <s v="Surabaya"/>
    <x v="0"/>
    <s v="E1036"/>
    <s v="Kenari Rajasa"/>
    <s v="Kenari Rajasa"/>
    <s v="High"/>
    <s v="Steady Liquid Accent Highlighters"/>
    <x v="0"/>
    <s v="Wrap Bag"/>
    <s v="Regular Air"/>
    <n v="43111"/>
    <n v="52050"/>
    <n v="100200"/>
    <n v="48150"/>
    <n v="16"/>
    <n v="770400"/>
    <n v="0.1"/>
    <n v="77040"/>
    <n v="693360"/>
    <n v="5000"/>
    <n v="698360"/>
  </r>
  <r>
    <s v="5631-1"/>
    <d v="2018-01-11T00:00:00"/>
    <n v="2018"/>
    <s v="Harimurti Wulandari"/>
    <s v="Jl. Indragiri No. 43"/>
    <s v="Bandung"/>
    <x v="3"/>
    <s v="E1036"/>
    <s v="Kenari Rajasa"/>
    <s v="Kenari Rajasa"/>
    <s v="Low"/>
    <s v="OIC Thumb-Tacks"/>
    <x v="0"/>
    <s v="Wrap Bag"/>
    <s v="Regular Air"/>
    <n v="43111"/>
    <n v="10650"/>
    <n v="17100"/>
    <n v="6450"/>
    <n v="8"/>
    <n v="51600"/>
    <n v="0"/>
    <n v="0"/>
    <n v="51600"/>
    <n v="5000"/>
    <n v="56600"/>
  </r>
  <r>
    <s v="5633-1"/>
    <d v="2018-01-13T00:00:00"/>
    <n v="2018"/>
    <s v="Wawan Riyanti"/>
    <s v="Jl. Antapani Lama No. 705"/>
    <s v="Jakarta"/>
    <x v="0"/>
    <s v="E1028"/>
    <s v="Gaduh Pratama"/>
    <s v="Gaduh Pratama"/>
    <s v="High"/>
    <s v="Adesso Programmable 142-Key Keyboard"/>
    <x v="1"/>
    <s v="Small Box"/>
    <s v="Regular Air"/>
    <n v="43115"/>
    <n v="594600"/>
    <n v="2287200"/>
    <n v="1692600"/>
    <n v="48"/>
    <n v="81244800"/>
    <n v="0.04"/>
    <n v="3249792"/>
    <n v="77995008"/>
    <n v="15000"/>
    <n v="78010008"/>
  </r>
  <r>
    <s v="5635-1"/>
    <d v="2018-01-13T00:00:00"/>
    <n v="2018"/>
    <s v="Rama Firgantoro"/>
    <s v="Jalan Ciwastra No. 383"/>
    <s v="Surabaya"/>
    <x v="1"/>
    <s v="E1032"/>
    <s v="Violet Mentari"/>
    <s v="Violet Mentari"/>
    <s v="Not Specified"/>
    <s v="PastelOcean Color Pencil Set"/>
    <x v="0"/>
    <s v="Wrap Bag"/>
    <s v="Express Air"/>
    <n v="43114"/>
    <n v="166650"/>
    <n v="297600"/>
    <n v="130950"/>
    <n v="15"/>
    <n v="1964250"/>
    <n v="0"/>
    <n v="0"/>
    <n v="1964250"/>
    <n v="10000"/>
    <n v="1974250"/>
  </r>
  <r>
    <s v="5637-1"/>
    <d v="2018-01-14T00:00:00"/>
    <n v="2018"/>
    <s v="Anom Hasanah"/>
    <s v="Jalan Gardujati No. 6"/>
    <s v="Surabaya"/>
    <x v="0"/>
    <s v="E1034"/>
    <s v="Ophelia Mustofa"/>
    <s v="Ophelia Mustofa"/>
    <s v="High"/>
    <s v="Artisan 487 Labels"/>
    <x v="0"/>
    <s v="Small Box"/>
    <s v="Regular Air"/>
    <n v="43116"/>
    <n v="34350"/>
    <n v="55350"/>
    <n v="21000"/>
    <n v="30"/>
    <n v="630000"/>
    <n v="0.09"/>
    <n v="56700"/>
    <n v="573300"/>
    <n v="15000"/>
    <n v="588300"/>
  </r>
  <r>
    <s v="5639-1"/>
    <d v="2018-01-14T00:00:00"/>
    <n v="2018"/>
    <s v="Jamil Mustofa"/>
    <s v="Jalan Cikutra Barat No. 96"/>
    <s v="Bandung"/>
    <x v="1"/>
    <s v="E1033"/>
    <s v="Paiman Firgantoro"/>
    <s v="Paiman Firgantoro"/>
    <s v="High"/>
    <s v="Smiths Colored Bar Computer Paper"/>
    <x v="0"/>
    <s v="Small Box"/>
    <s v="Regular Air"/>
    <n v="43116"/>
    <n v="329550"/>
    <n v="531600"/>
    <n v="202050"/>
    <n v="29"/>
    <n v="5859450"/>
    <n v="0.03"/>
    <n v="175783.5"/>
    <n v="5683666.5"/>
    <n v="15000"/>
    <n v="5698666.5"/>
  </r>
  <r>
    <s v="5641-1"/>
    <d v="2018-01-15T00:00:00"/>
    <n v="2018"/>
    <s v="Dian Haryanti"/>
    <s v="Jl. Ciwastra No. 543"/>
    <s v="Jakarta"/>
    <x v="1"/>
    <s v="E1029"/>
    <s v="Laras Nuraini"/>
    <s v="Laras Nuraini"/>
    <s v="Not Specified"/>
    <s v="OIC Thumb-Tacks"/>
    <x v="0"/>
    <s v="Wrap Bag"/>
    <s v="Regular Air"/>
    <n v="43117"/>
    <n v="10650"/>
    <n v="17100"/>
    <n v="6450"/>
    <n v="4"/>
    <n v="25800"/>
    <n v="0"/>
    <n v="0"/>
    <n v="25800"/>
    <n v="5000"/>
    <n v="30800"/>
  </r>
  <r>
    <s v="5643-1"/>
    <d v="2018-01-16T00:00:00"/>
    <n v="2018"/>
    <s v="Latif Nasyiah"/>
    <s v="Jalan Ciwastra No. 383"/>
    <s v="Surabaya"/>
    <x v="2"/>
    <s v="E1032"/>
    <s v="Violet Mentari"/>
    <s v="Violet Mentari"/>
    <s v="Low"/>
    <s v="Artisan Non-Stick Binders"/>
    <x v="0"/>
    <s v="Small Box"/>
    <s v="Express Air"/>
    <n v="43123"/>
    <n v="41100"/>
    <n v="67350"/>
    <n v="26250"/>
    <n v="44"/>
    <n v="1155000"/>
    <n v="0.03"/>
    <n v="34650"/>
    <n v="1120350"/>
    <n v="30000"/>
    <n v="1150350"/>
  </r>
  <r>
    <s v="5644-1"/>
    <d v="2018-01-16T00:00:00"/>
    <n v="2018"/>
    <s v="Zulfa Puspasari"/>
    <s v="Gang Astana Anyar No. 0"/>
    <s v="Bandung"/>
    <x v="0"/>
    <s v="E1036"/>
    <s v="Kenari Rajasa"/>
    <s v="Kenari Rajasa"/>
    <s v="Low"/>
    <s v="Laser DVD-RAM discs"/>
    <x v="1"/>
    <s v="Small Pack"/>
    <s v="Regular Air"/>
    <n v="43118"/>
    <n v="302700"/>
    <n v="531150"/>
    <n v="228450"/>
    <n v="5"/>
    <n v="1142250"/>
    <n v="0"/>
    <n v="0"/>
    <n v="1142250"/>
    <n v="10000"/>
    <n v="1152250"/>
  </r>
  <r>
    <s v="5645-1"/>
    <d v="2018-01-18T00:00:00"/>
    <n v="2018"/>
    <s v="Kunthara Prasetya"/>
    <s v="Jalan Astana Anyar No. 41"/>
    <s v="Jakarta"/>
    <x v="2"/>
    <s v="E1028"/>
    <s v="Gaduh Pratama"/>
    <s v="Gaduh Pratama"/>
    <s v="Critical"/>
    <s v="Artisan 481 Labels"/>
    <x v="0"/>
    <s v="Small Box"/>
    <s v="Regular Air"/>
    <n v="43119"/>
    <n v="29100"/>
    <n v="46200"/>
    <n v="17100"/>
    <n v="46"/>
    <n v="786600"/>
    <n v="0.04"/>
    <n v="31464"/>
    <n v="755136"/>
    <n v="15000"/>
    <n v="770136"/>
  </r>
  <r>
    <s v="5646-1"/>
    <d v="2018-01-20T00:00:00"/>
    <n v="2018"/>
    <s v="Wani Astuti"/>
    <s v="Gg. Siliwangi No. 82"/>
    <s v="Surabaya"/>
    <x v="1"/>
    <s v="E1036"/>
    <s v="Kenari Rajasa"/>
    <s v="Kenari Rajasa"/>
    <s v="High"/>
    <s v="Aluminum Document Frame"/>
    <x v="2"/>
    <s v="Small Pack"/>
    <s v="Regular Air"/>
    <n v="43122"/>
    <n v="82500"/>
    <n v="183300"/>
    <n v="100800"/>
    <n v="1"/>
    <n v="100800"/>
    <n v="0.1"/>
    <n v="10080"/>
    <n v="90720"/>
    <n v="10000"/>
    <n v="100720"/>
  </r>
  <r>
    <s v="5647-1"/>
    <d v="2018-01-21T00:00:00"/>
    <n v="2018"/>
    <s v="Leo Pranowo"/>
    <s v="Gg. Suniaraja No. 21"/>
    <s v="Surabaya"/>
    <x v="2"/>
    <s v="E1031"/>
    <s v="Bagiya Sihombing"/>
    <s v="Bagiya Sihombing"/>
    <s v="High"/>
    <s v="Apex Box Cutter Scissors"/>
    <x v="0"/>
    <s v="Small Pack"/>
    <s v="Regular Air"/>
    <n v="43121"/>
    <n v="62850.000000000007"/>
    <n v="153450"/>
    <n v="90600"/>
    <n v="37"/>
    <n v="3352200"/>
    <n v="0.08"/>
    <n v="268176"/>
    <n v="3084024"/>
    <n v="10000"/>
    <n v="3094024"/>
  </r>
  <r>
    <s v="5648-1"/>
    <d v="2018-01-22T00:00:00"/>
    <n v="2018"/>
    <s v="Nilam Prastuti"/>
    <s v="Gang Asia Afrika No. 96"/>
    <s v="Surabaya"/>
    <x v="1"/>
    <s v="E1036"/>
    <s v="Kenari Rajasa"/>
    <s v="Kenari Rajasa"/>
    <s v="Low"/>
    <s v="Artisan Reinforcements for Hole-Punch Pages"/>
    <x v="0"/>
    <s v="Small Box"/>
    <s v="Regular Air"/>
    <n v="43129"/>
    <n v="17850"/>
    <n v="29700"/>
    <n v="11850"/>
    <n v="38"/>
    <n v="450300"/>
    <n v="0.05"/>
    <n v="22515"/>
    <n v="427785"/>
    <n v="15000"/>
    <n v="442785"/>
  </r>
  <r>
    <s v="5650-1"/>
    <d v="2018-01-23T00:00:00"/>
    <n v="2018"/>
    <s v="Janet Riyanti"/>
    <s v="Jalan Gegerkalong Hilir No. 763"/>
    <s v="Surabaya"/>
    <x v="0"/>
    <s v="E1032"/>
    <s v="Violet Mentari"/>
    <s v="Violet Mentari"/>
    <s v="Medium"/>
    <s v="PastelOcean Color Pencil Set"/>
    <x v="0"/>
    <s v="Wrap Bag"/>
    <s v="Regular Air"/>
    <n v="43123"/>
    <n v="166650"/>
    <n v="297600"/>
    <n v="130950"/>
    <n v="43"/>
    <n v="5630850"/>
    <n v="0.03"/>
    <n v="168925.5"/>
    <n v="5461924.5"/>
    <n v="5000"/>
    <n v="5466924.5"/>
  </r>
  <r>
    <s v="5651-1"/>
    <d v="2018-01-27T00:00:00"/>
    <n v="2018"/>
    <s v="Aris Widiastuti"/>
    <s v="Jl. S. Parman No. 91"/>
    <s v="Surabaya"/>
    <x v="0"/>
    <s v="E1034"/>
    <s v="Ophelia Mustofa"/>
    <s v="Ophelia Mustofa"/>
    <s v="Low"/>
    <s v="Ames Color-File Green Diamond Border X-ray Mailers"/>
    <x v="0"/>
    <s v="Small Box"/>
    <s v="Express Air"/>
    <n v="43131"/>
    <n v="781050"/>
    <n v="1259700"/>
    <n v="478650"/>
    <n v="34"/>
    <n v="16274100"/>
    <n v="0.06"/>
    <n v="976446"/>
    <n v="15297654"/>
    <n v="30000"/>
    <n v="15327654"/>
  </r>
  <r>
    <s v="5653-1"/>
    <d v="2018-01-28T00:00:00"/>
    <n v="2018"/>
    <s v="Wawan Riyanti"/>
    <s v="Jl. Antapani Lama No. 705"/>
    <s v="Jakarta"/>
    <x v="0"/>
    <s v="E1028"/>
    <s v="Gaduh Pratama"/>
    <s v="Gaduh Pratama"/>
    <s v="Critical"/>
    <s v="EcoTones Memo Sheets"/>
    <x v="0"/>
    <s v="Wrap Bag"/>
    <s v="Regular Air"/>
    <n v="43129"/>
    <n v="37800"/>
    <n v="60000"/>
    <n v="22200"/>
    <n v="36"/>
    <n v="799200"/>
    <n v="0.01"/>
    <n v="7992"/>
    <n v="791208"/>
    <n v="5000"/>
    <n v="796208"/>
  </r>
  <r>
    <s v="5655-1"/>
    <d v="2018-01-29T00:00:00"/>
    <n v="2018"/>
    <s v="Argono Pertiwi"/>
    <s v="Gg. Monginsidi No. 3"/>
    <s v="Jakarta"/>
    <x v="0"/>
    <s v="E1029"/>
    <s v="Laras Nuraini"/>
    <s v="Laras Nuraini"/>
    <s v="Medium"/>
    <s v="Apex Straight Scissors"/>
    <x v="0"/>
    <s v="Small Pack"/>
    <s v="Regular Air"/>
    <n v="43129"/>
    <n v="77850"/>
    <n v="194700"/>
    <n v="116850"/>
    <n v="11"/>
    <n v="1285350"/>
    <n v="0.08"/>
    <n v="102828"/>
    <n v="1182522"/>
    <n v="10000"/>
    <n v="1192522"/>
  </r>
  <r>
    <s v="5655-2"/>
    <d v="2018-01-29T00:00:00"/>
    <n v="2018"/>
    <s v="Argono Pertiwi"/>
    <s v="Gg. Monginsidi No. 3"/>
    <s v="Jakarta"/>
    <x v="0"/>
    <s v="E1029"/>
    <s v="Laras Nuraini"/>
    <s v="Laras Nuraini"/>
    <s v="Medium"/>
    <s v="EcoTones Memo Sheets"/>
    <x v="0"/>
    <s v="Wrap Bag"/>
    <s v="Regular Air"/>
    <n v="43131"/>
    <n v="37800"/>
    <n v="60000"/>
    <n v="22200"/>
    <n v="19"/>
    <n v="421800"/>
    <n v="0.01"/>
    <n v="4218"/>
    <n v="417582"/>
    <n v="5000"/>
    <n v="422582"/>
  </r>
  <r>
    <s v="5658-1"/>
    <d v="2018-01-30T00:00:00"/>
    <n v="2018"/>
    <s v="Wawan Riyanti"/>
    <s v="Jl. Antapani Lama No. 705"/>
    <s v="Jakarta"/>
    <x v="0"/>
    <s v="E1028"/>
    <s v="Gaduh Pratama"/>
    <s v="Gaduh Pratama"/>
    <s v="Not Specified"/>
    <s v="Artisan 48 Labels"/>
    <x v="0"/>
    <s v="Small Box"/>
    <s v="Regular Air"/>
    <n v="43132"/>
    <n v="57600"/>
    <n v="94500"/>
    <n v="36900"/>
    <n v="8"/>
    <n v="295200"/>
    <n v="0.01"/>
    <n v="2952"/>
    <n v="292248"/>
    <n v="15000"/>
    <n v="307248"/>
  </r>
  <r>
    <s v="5659-1"/>
    <d v="2018-01-31T00:00:00"/>
    <n v="2018"/>
    <s v="Laras Lazuardi"/>
    <s v="Gg. Wonoayu No. 96"/>
    <s v="Jakarta"/>
    <x v="1"/>
    <s v="E1028"/>
    <s v="Gaduh Pratama"/>
    <s v="Gaduh Pratama"/>
    <s v="High"/>
    <s v="Beekin 6 Outlet Metallic Surge Strip"/>
    <x v="0"/>
    <s v="Small Box"/>
    <s v="Express Air"/>
    <n v="43132"/>
    <n v="66900"/>
    <n v="163350"/>
    <n v="96450"/>
    <n v="4"/>
    <n v="385800"/>
    <n v="0.05"/>
    <n v="19290"/>
    <n v="366510"/>
    <n v="30000"/>
    <n v="396510"/>
  </r>
  <r>
    <s v="5661-1"/>
    <d v="2018-02-01T00:00:00"/>
    <n v="2018"/>
    <s v="Luhung Nuraini"/>
    <s v="Gang Monginsidi No. 138"/>
    <s v="Jakarta"/>
    <x v="3"/>
    <s v="E1029"/>
    <s v="Laras Nuraini"/>
    <s v="Laras Nuraini"/>
    <s v="Not Specified"/>
    <s v="TechSavi Access Keyboard"/>
    <x v="1"/>
    <s v="Small Box"/>
    <s v="Regular Air"/>
    <n v="43134"/>
    <n v="124650.00000000001"/>
    <n v="239700"/>
    <n v="115049.99999999999"/>
    <n v="38"/>
    <n v="4371899.9999999991"/>
    <n v="0.1"/>
    <n v="437189.99999999994"/>
    <n v="3934709.9999999991"/>
    <n v="15000"/>
    <n v="3949709.9999999991"/>
  </r>
  <r>
    <s v="5663-1"/>
    <d v="2018-02-02T00:00:00"/>
    <n v="2018"/>
    <s v="Prabawa Maryadi"/>
    <s v="Jalan Joyoboyo No. 3"/>
    <s v="Surabaya"/>
    <x v="2"/>
    <s v="E1034"/>
    <s v="Ophelia Mustofa"/>
    <s v="Ophelia Mustofa"/>
    <s v="Not Specified"/>
    <s v="Artisan Hi-Liter EverBold Pen Style Fluorescent Highlighters, 4/Pack"/>
    <x v="0"/>
    <s v="Wrap Bag"/>
    <s v="Regular Air"/>
    <n v="43134"/>
    <n v="67200"/>
    <n v="122100.00000000001"/>
    <n v="54900.000000000015"/>
    <n v="46"/>
    <n v="2525400.0000000005"/>
    <n v="0"/>
    <n v="0"/>
    <n v="2525400.0000000005"/>
    <n v="5000"/>
    <n v="2530400.0000000005"/>
  </r>
  <r>
    <s v="5665-1"/>
    <d v="2018-02-02T00:00:00"/>
    <n v="2018"/>
    <s v="Bakiono Wahyuni"/>
    <s v="Jl. Rumah Sakit No. 738"/>
    <s v="Jakarta"/>
    <x v="1"/>
    <s v="E1028"/>
    <s v="Gaduh Pratama"/>
    <s v="Gaduh Pratama"/>
    <s v="Medium"/>
    <s v="Smiths SlimLine Pencil Sharpener"/>
    <x v="0"/>
    <s v="Small Pack"/>
    <s v="Regular Air"/>
    <n v="43133"/>
    <n v="71850"/>
    <n v="179550"/>
    <n v="107700"/>
    <n v="8"/>
    <n v="861600"/>
    <n v="0.03"/>
    <n v="25848"/>
    <n v="835752"/>
    <n v="10000"/>
    <n v="845752"/>
  </r>
  <r>
    <s v="5667-1"/>
    <d v="2018-02-03T00:00:00"/>
    <n v="2018"/>
    <s v="Gamani Maryati"/>
    <s v="Jl. Rumah Sakit No. 738"/>
    <s v="Jakarta"/>
    <x v="2"/>
    <s v="E1028"/>
    <s v="Gaduh Pratama"/>
    <s v="Gaduh Pratama"/>
    <s v="High"/>
    <s v="3Max Organizer Strips"/>
    <x v="0"/>
    <s v="Small Box"/>
    <s v="Regular Air"/>
    <n v="43135"/>
    <n v="51000"/>
    <n v="81000"/>
    <n v="30000"/>
    <n v="22"/>
    <n v="660000"/>
    <n v="0.1"/>
    <n v="66000"/>
    <n v="594000"/>
    <n v="15000"/>
    <n v="609000"/>
  </r>
  <r>
    <s v="5669-1"/>
    <d v="2018-02-04T00:00:00"/>
    <n v="2018"/>
    <s v="Citra Natsir"/>
    <s v="Gg. Joyoboyo No. 691"/>
    <s v="Surabaya"/>
    <x v="1"/>
    <s v="E1032"/>
    <s v="Violet Mentari"/>
    <s v="Violet Mentari"/>
    <s v="Not Specified"/>
    <s v="Alto Perma 2700 Stacking Storage Drawers"/>
    <x v="0"/>
    <s v="Small Box"/>
    <s v="Regular Air"/>
    <n v="43137"/>
    <n v="133800"/>
    <n v="446100"/>
    <n v="312300"/>
    <n v="19"/>
    <n v="5933700"/>
    <n v="0.1"/>
    <n v="593370"/>
    <n v="5340330"/>
    <n v="15000"/>
    <n v="5355330"/>
  </r>
  <r>
    <s v="5670-1"/>
    <d v="2018-02-07T00:00:00"/>
    <n v="2018"/>
    <s v="Luluh Pratiwi"/>
    <s v="Jalan Jend. A. Yani No. 48"/>
    <s v="Surabaya"/>
    <x v="0"/>
    <s v="E1036"/>
    <s v="Kenari Rajasa"/>
    <s v="Kenari Rajasa"/>
    <s v="Medium"/>
    <s v="Artisan Hanging File Binders"/>
    <x v="0"/>
    <s v="Small Box"/>
    <s v="Regular Air"/>
    <n v="43139"/>
    <n v="54750"/>
    <n v="89700"/>
    <n v="34950"/>
    <n v="19"/>
    <n v="664050"/>
    <n v="0.01"/>
    <n v="6640.5"/>
    <n v="657409.5"/>
    <n v="15000"/>
    <n v="672409.5"/>
  </r>
  <r>
    <s v="5671-1"/>
    <d v="2018-02-08T00:00:00"/>
    <n v="2018"/>
    <s v="Taufik Najmudin"/>
    <s v="Jalan R.E Martadinata No. 6"/>
    <s v="Jakarta"/>
    <x v="2"/>
    <s v="E1029"/>
    <s v="Laras Nuraini"/>
    <s v="Laras Nuraini"/>
    <s v="Low"/>
    <s v="Artisan Hi-Liter Pen Style Six-Color Fluorescent Set"/>
    <x v="0"/>
    <s v="Wrap Bag"/>
    <s v="Regular Air"/>
    <n v="43143"/>
    <n v="32400.000000000004"/>
    <n v="57750"/>
    <n v="25349.999999999996"/>
    <n v="10"/>
    <n v="253499.99999999997"/>
    <n v="0.06"/>
    <n v="15209.999999999998"/>
    <n v="238289.99999999997"/>
    <n v="5000"/>
    <n v="243289.99999999997"/>
  </r>
  <r>
    <s v="5672-1"/>
    <d v="2018-02-09T00:00:00"/>
    <n v="2018"/>
    <s v="Enteng Simbolon"/>
    <s v="Gg. Raya Ujungberung No. 54"/>
    <s v="Bandung"/>
    <x v="0"/>
    <s v="E1039"/>
    <s v="Nabila Prakasa"/>
    <s v="Nabila Prakasa"/>
    <s v="Medium"/>
    <s v="TechSavi Cordless Keyboard"/>
    <x v="1"/>
    <s v="Small Box"/>
    <s v="Regular Air"/>
    <n v="43141"/>
    <n v="267600"/>
    <n v="524850"/>
    <n v="257250"/>
    <n v="29"/>
    <n v="7460250"/>
    <n v="0.09"/>
    <n v="671422.5"/>
    <n v="6788827.5"/>
    <n v="15000"/>
    <n v="6803827.5"/>
  </r>
  <r>
    <s v="5674-1"/>
    <d v="2018-02-10T00:00:00"/>
    <n v="2018"/>
    <s v="Harjaya Budiyanto"/>
    <s v="Jalan PHH. Mustofa No. 625"/>
    <s v="Surabaya"/>
    <x v="1"/>
    <s v="E1034"/>
    <s v="Ophelia Mustofa"/>
    <s v="Ophelia Mustofa"/>
    <s v="High"/>
    <s v="Smiths SlimLine Pencil Sharpener"/>
    <x v="0"/>
    <s v="Small Pack"/>
    <s v="Regular Air"/>
    <n v="43143"/>
    <n v="71850"/>
    <n v="179550"/>
    <n v="107700"/>
    <n v="23"/>
    <n v="2477100"/>
    <n v="0.01"/>
    <n v="24771"/>
    <n v="2452329"/>
    <n v="10000"/>
    <n v="2462329"/>
  </r>
  <r>
    <s v="5676-1"/>
    <d v="2018-02-13T00:00:00"/>
    <n v="2018"/>
    <s v="Panca Damanik"/>
    <s v="Jalan Ciwastra No. 383"/>
    <s v="Surabaya"/>
    <x v="3"/>
    <s v="E1032"/>
    <s v="Violet Mentari"/>
    <s v="Violet Mentari"/>
    <s v="Not Specified"/>
    <s v="Ames Color-File Green Diamond Border X-ray Mailers"/>
    <x v="0"/>
    <s v="Small Box"/>
    <s v="Regular Air"/>
    <n v="43146"/>
    <n v="781050"/>
    <n v="1259700"/>
    <n v="478650"/>
    <n v="24"/>
    <n v="11487600"/>
    <n v="0.05"/>
    <n v="574380"/>
    <n v="10913220"/>
    <n v="15000"/>
    <n v="10928220"/>
  </r>
  <r>
    <s v="5677-1"/>
    <d v="2018-02-14T00:00:00"/>
    <n v="2018"/>
    <s v="Yoga Lestari"/>
    <s v="Jl. Gardujati No. 178"/>
    <s v="Surabaya"/>
    <x v="0"/>
    <s v="E1031"/>
    <s v="Bagiya Sihombing"/>
    <s v="Bagiya Sihombing"/>
    <s v="High"/>
    <s v="Security-Tint Envelopes"/>
    <x v="0"/>
    <s v="Small Box"/>
    <s v="Regular Air"/>
    <n v="43147"/>
    <n v="73350"/>
    <n v="114600"/>
    <n v="41250"/>
    <n v="12"/>
    <n v="495000"/>
    <n v="0.02"/>
    <n v="9900"/>
    <n v="485100"/>
    <n v="15000"/>
    <n v="500100"/>
  </r>
  <r>
    <s v="5679-1"/>
    <d v="2018-02-15T00:00:00"/>
    <n v="2018"/>
    <s v="Kamidin Saptono"/>
    <s v="Gang Monginsidi No. 138"/>
    <s v="Jakarta"/>
    <x v="2"/>
    <s v="E1029"/>
    <s v="Laras Nuraini"/>
    <s v="Laras Nuraini"/>
    <s v="Low"/>
    <s v="EcoTones Memo Sheets"/>
    <x v="0"/>
    <s v="Wrap Bag"/>
    <s v="Regular Air"/>
    <n v="43150"/>
    <n v="37800"/>
    <n v="60000"/>
    <n v="22200"/>
    <n v="32"/>
    <n v="710400"/>
    <n v="0.09"/>
    <n v="63936"/>
    <n v="646464"/>
    <n v="5000"/>
    <n v="651464"/>
  </r>
  <r>
    <s v="5680-1"/>
    <d v="2018-02-15T00:00:00"/>
    <n v="2018"/>
    <s v="Maimunah Safitri"/>
    <s v="Gang W.R. Supratman No. 8"/>
    <s v="Surabaya"/>
    <x v="2"/>
    <s v="E1040"/>
    <s v="Sutan Tirtayasa Wasita"/>
    <s v="Sutan Tirtayasa Wasita"/>
    <s v="Medium"/>
    <s v="TechSavi Internet Navigator Keyboard"/>
    <x v="1"/>
    <s v="Small Box"/>
    <s v="Regular Air"/>
    <n v="43147"/>
    <n v="97650"/>
    <n v="464700"/>
    <n v="367050"/>
    <n v="12"/>
    <n v="4404600"/>
    <n v="0"/>
    <n v="0"/>
    <n v="4404600"/>
    <n v="15000"/>
    <n v="4419600"/>
  </r>
  <r>
    <s v="5681-1"/>
    <d v="2018-02-19T00:00:00"/>
    <n v="2018"/>
    <s v="Jamil Mustofa"/>
    <s v="Jalan Cikutra Barat No. 96"/>
    <s v="Bandung"/>
    <x v="1"/>
    <s v="E1033"/>
    <s v="Paiman Firgantoro"/>
    <s v="Paiman Firgantoro"/>
    <s v="Medium"/>
    <s v="HFX LaserJet 3310 Copier"/>
    <x v="1"/>
    <s v="Large Box"/>
    <s v="Express Air"/>
    <n v="43152"/>
    <n v="5669850"/>
    <n v="8999850"/>
    <n v="3330000"/>
    <n v="41"/>
    <n v="136530000"/>
    <n v="7.0000000000000007E-2"/>
    <n v="9557100"/>
    <n v="126972900"/>
    <n v="100000"/>
    <n v="127072900"/>
  </r>
  <r>
    <s v="5682-1"/>
    <d v="2018-02-22T00:00:00"/>
    <n v="2018"/>
    <s v="Virman Prayoga"/>
    <s v="Gang Jend. A. Yani No. 7"/>
    <s v="Surabaya"/>
    <x v="0"/>
    <s v="E1030"/>
    <s v="Cinthia Gunawan"/>
    <s v="Cinthia Gunawan"/>
    <s v="High"/>
    <s v="HFX LaserJet 3310 Copier"/>
    <x v="1"/>
    <s v="Large Box"/>
    <s v="Regular Air"/>
    <n v="43155"/>
    <n v="5669850"/>
    <n v="8999850"/>
    <n v="3330000"/>
    <n v="20"/>
    <n v="66600000"/>
    <n v="7.0000000000000007E-2"/>
    <n v="4662000"/>
    <n v="61938000"/>
    <n v="50000"/>
    <n v="61988000"/>
  </r>
  <r>
    <s v="5684-1"/>
    <d v="2018-02-23T00:00:00"/>
    <n v="2018"/>
    <s v="Gantar Permata"/>
    <s v="Jl. Antapani Lama No. 705"/>
    <s v="Jakarta"/>
    <x v="0"/>
    <s v="E1028"/>
    <s v="Gaduh Pratama"/>
    <s v="Gaduh Pratama"/>
    <s v="Critical"/>
    <s v="Smiths Pushpins"/>
    <x v="0"/>
    <s v="Wrap Bag"/>
    <s v="Regular Air"/>
    <n v="43155"/>
    <n v="14100"/>
    <n v="28200"/>
    <n v="14100"/>
    <n v="36"/>
    <n v="507600"/>
    <n v="0.1"/>
    <n v="50760"/>
    <n v="456840"/>
    <n v="5000"/>
    <n v="461840"/>
  </r>
  <r>
    <s v="5685-1"/>
    <d v="2018-02-28T00:00:00"/>
    <n v="2018"/>
    <s v="Siska Maryadi"/>
    <s v="Gg. BKR No. 882"/>
    <s v="Bandung"/>
    <x v="2"/>
    <s v="E1032"/>
    <s v="Violet Mentari"/>
    <s v="Violet Mentari"/>
    <s v="Not Specified"/>
    <s v="300 Series Non-Flip"/>
    <x v="1"/>
    <s v="Small Box"/>
    <s v="Regular Air"/>
    <n v="43161"/>
    <n v="936000"/>
    <n v="2339850"/>
    <n v="1403850"/>
    <n v="6"/>
    <n v="8423100"/>
    <n v="0.02"/>
    <n v="168462"/>
    <n v="8254638"/>
    <n v="15000"/>
    <n v="8269638"/>
  </r>
  <r>
    <s v="5686-1"/>
    <d v="2018-02-28T00:00:00"/>
    <n v="2018"/>
    <s v="Rini Marbun"/>
    <s v="Jl. Moch. Toha No. 1"/>
    <s v="Surabaya"/>
    <x v="2"/>
    <s v="E1041"/>
    <s v="Sari Winarno"/>
    <s v="Sari Winarno"/>
    <s v="Low"/>
    <s v="Beekin 6 Outlet Metallic Surge Strip"/>
    <x v="0"/>
    <s v="Small Box"/>
    <s v="Regular Air"/>
    <n v="43164"/>
    <n v="66900"/>
    <n v="163350"/>
    <n v="96450"/>
    <n v="8"/>
    <n v="771600"/>
    <n v="0.09"/>
    <n v="69444"/>
    <n v="702156"/>
    <n v="15000"/>
    <n v="717156"/>
  </r>
  <r>
    <s v="5687-1"/>
    <d v="2018-03-01T00:00:00"/>
    <n v="2018"/>
    <s v="Gina Rajata"/>
    <s v="Gang Gedebage Selatan No. 424"/>
    <s v="Surabaya"/>
    <x v="1"/>
    <s v="E1033"/>
    <s v="Paiman Firgantoro"/>
    <s v="Paiman Firgantoro"/>
    <s v="High"/>
    <s v="Binder Clips by OIC"/>
    <x v="0"/>
    <s v="Wrap Bag"/>
    <s v="Regular Air"/>
    <n v="43162"/>
    <n v="13950"/>
    <n v="22200"/>
    <n v="8250"/>
    <n v="28"/>
    <n v="231000"/>
    <n v="0.04"/>
    <n v="9240"/>
    <n v="221760"/>
    <n v="5000"/>
    <n v="226760"/>
  </r>
  <r>
    <s v="5689-1"/>
    <d v="2018-03-02T00:00:00"/>
    <n v="2018"/>
    <s v="Rama Firgantoro"/>
    <s v="Jalan Ciwastra No. 383"/>
    <s v="Surabaya"/>
    <x v="1"/>
    <s v="E1032"/>
    <s v="Violet Mentari"/>
    <s v="Violet Mentari"/>
    <s v="Critical"/>
    <s v="Steady Liquid Accent Tank-Style Highlighters"/>
    <x v="0"/>
    <s v="Wrap Bag"/>
    <s v="Regular Air"/>
    <n v="43163"/>
    <n v="19650"/>
    <n v="42600"/>
    <n v="22950"/>
    <n v="12"/>
    <n v="275400"/>
    <n v="0.1"/>
    <n v="27540"/>
    <n v="247860"/>
    <n v="5000"/>
    <n v="252860"/>
  </r>
  <r>
    <s v="5690-1"/>
    <d v="2018-03-03T00:00:00"/>
    <n v="2018"/>
    <s v="Harjaya Budiyanto"/>
    <s v="Jalan PHH. Mustofa No. 625"/>
    <s v="Surabaya"/>
    <x v="1"/>
    <s v="E1034"/>
    <s v="Ophelia Mustofa"/>
    <s v="Ophelia Mustofa"/>
    <s v="Medium"/>
    <s v="Economy Rollaway Files"/>
    <x v="0"/>
    <s v="Small Box"/>
    <s v="Express Air"/>
    <n v="43164"/>
    <n v="1015950.0000000001"/>
    <n v="2478000"/>
    <n v="1462050"/>
    <n v="46"/>
    <n v="67254300"/>
    <n v="0.02"/>
    <n v="1345086"/>
    <n v="65909214"/>
    <n v="30000"/>
    <n v="65939214"/>
  </r>
  <r>
    <s v="5692-1"/>
    <d v="2018-03-05T00:00:00"/>
    <n v="2018"/>
    <s v="Ismail Uwais"/>
    <s v="Gg. Siliwangi No. 82"/>
    <s v="Surabaya"/>
    <x v="0"/>
    <s v="E1036"/>
    <s v="Kenari Rajasa"/>
    <s v="Kenari Rajasa"/>
    <s v="Medium"/>
    <s v="Adesso Programmable 142-Key Keyboard"/>
    <x v="1"/>
    <s v="Small Box"/>
    <s v="Regular Air"/>
    <n v="43166"/>
    <n v="480300.00000000006"/>
    <n v="2287200"/>
    <n v="1806900"/>
    <n v="29"/>
    <n v="52400100"/>
    <n v="0.09"/>
    <n v="4716009"/>
    <n v="47684091"/>
    <n v="15000"/>
    <n v="47699091"/>
  </r>
  <r>
    <s v="5693-1"/>
    <d v="2018-03-06T00:00:00"/>
    <n v="2018"/>
    <s v="Mumpuni Haryanto"/>
    <s v="Gg. Moch. Toha No. 63"/>
    <s v="Surabaya"/>
    <x v="0"/>
    <s v="E1030"/>
    <s v="Cinthia Gunawan"/>
    <s v="Cinthia Gunawan"/>
    <s v="High"/>
    <s v="Artisan Flip-Chart Easel Binder, Black"/>
    <x v="0"/>
    <s v="Small Box"/>
    <s v="Regular Air"/>
    <n v="43165"/>
    <n v="208200"/>
    <n v="335700"/>
    <n v="127500"/>
    <n v="10"/>
    <n v="1275000"/>
    <n v="0.01"/>
    <n v="12750"/>
    <n v="1262250"/>
    <n v="15000"/>
    <n v="1277250"/>
  </r>
  <r>
    <s v="5695-1"/>
    <d v="2018-03-06T00:00:00"/>
    <n v="2018"/>
    <s v="Cawuk Fujiati"/>
    <s v="Jl. S. Parman No. 38"/>
    <s v="Surabaya"/>
    <x v="2"/>
    <s v="E1033"/>
    <s v="Paiman Firgantoro"/>
    <s v="Paiman Firgantoro"/>
    <s v="Critical"/>
    <s v="Steady Liquid Accent Tank-Style Highlighters"/>
    <x v="0"/>
    <s v="Wrap Bag"/>
    <s v="Regular Air"/>
    <n v="43167"/>
    <n v="19650"/>
    <n v="42600"/>
    <n v="22950"/>
    <n v="39"/>
    <n v="895050"/>
    <n v="0.05"/>
    <n v="44752.5"/>
    <n v="850297.5"/>
    <n v="5000"/>
    <n v="855297.5"/>
  </r>
  <r>
    <s v="5696-1"/>
    <d v="2018-03-07T00:00:00"/>
    <n v="2018"/>
    <s v="Anastasia Rahimah"/>
    <s v="Jl. Kutisari Selatan No. 078"/>
    <s v="Surabaya"/>
    <x v="3"/>
    <s v="E1038"/>
    <s v="Clara Prasetyo"/>
    <s v="Clara Prasetyo"/>
    <s v="Critical"/>
    <s v="Alto Perma 2700 Stacking Storage Drawers"/>
    <x v="0"/>
    <s v="Small Box"/>
    <s v="Express Air"/>
    <n v="43169"/>
    <n v="133800"/>
    <n v="446100"/>
    <n v="312300"/>
    <n v="34"/>
    <n v="10618200"/>
    <n v="0.09"/>
    <n v="955638"/>
    <n v="9662562"/>
    <n v="30000"/>
    <n v="9692562"/>
  </r>
  <r>
    <s v="5698-1"/>
    <d v="2018-03-07T00:00:00"/>
    <n v="2018"/>
    <s v="Wulan Mustofa"/>
    <s v="Jalan R.E Martadinata No. 6"/>
    <s v="Jakarta"/>
    <x v="2"/>
    <s v="E1029"/>
    <s v="Laras Nuraini"/>
    <s v="Laras Nuraini"/>
    <s v="Low"/>
    <s v="Cando PC940 Copier"/>
    <x v="1"/>
    <s v="Jumbo Drum"/>
    <s v="Delivery Truck"/>
    <n v="43170"/>
    <n v="4184850"/>
    <n v="6749850"/>
    <n v="2565000"/>
    <n v="34"/>
    <n v="87210000"/>
    <n v="0.02"/>
    <n v="1744200"/>
    <n v="85465800"/>
    <n v="500000"/>
    <n v="85965800"/>
  </r>
  <r>
    <s v="5699-1"/>
    <d v="2018-03-10T00:00:00"/>
    <n v="2018"/>
    <s v="Raina Manullang"/>
    <s v="Jalan Jend. A. Yani No. 48"/>
    <s v="Surabaya"/>
    <x v="1"/>
    <s v="E1036"/>
    <s v="Kenari Rajasa"/>
    <s v="Kenari Rajasa"/>
    <s v="High"/>
    <s v="TechSavi Access Keyboard"/>
    <x v="1"/>
    <s v="Small Box"/>
    <s v="Regular Air"/>
    <n v="43171"/>
    <n v="124650.00000000001"/>
    <n v="239700"/>
    <n v="115049.99999999999"/>
    <n v="5"/>
    <n v="575249.99999999988"/>
    <n v="0.08"/>
    <n v="46019.999999999993"/>
    <n v="529229.99999999988"/>
    <n v="15000"/>
    <n v="544229.99999999988"/>
  </r>
  <r>
    <s v="5701-1"/>
    <d v="2018-03-14T00:00:00"/>
    <n v="2018"/>
    <s v="Yulia Mahendra"/>
    <s v="Gg. HOS. Cokroaminoto No. 72"/>
    <s v="Surabaya"/>
    <x v="0"/>
    <s v="E1034"/>
    <s v="Ophelia Mustofa"/>
    <s v="Ophelia Mustofa"/>
    <s v="High"/>
    <s v="Alto Memo Cubes"/>
    <x v="0"/>
    <s v="Wrap Bag"/>
    <s v="Express Air"/>
    <n v="43175"/>
    <n v="49800"/>
    <n v="77700"/>
    <n v="27900"/>
    <n v="9"/>
    <n v="251100"/>
    <n v="0.09"/>
    <n v="22599"/>
    <n v="228501"/>
    <n v="10000"/>
    <n v="238501"/>
  </r>
  <r>
    <s v="5702-1"/>
    <d v="2018-03-15T00:00:00"/>
    <n v="2018"/>
    <s v="Jamil Mustofa"/>
    <s v="Jalan Cikutra Barat No. 96"/>
    <s v="Bandung"/>
    <x v="1"/>
    <s v="E1033"/>
    <s v="Paiman Firgantoro"/>
    <s v="Paiman Firgantoro"/>
    <s v="Low"/>
    <s v="Fluorescent Highlighters by DrawIt"/>
    <x v="0"/>
    <s v="Wrap Bag"/>
    <s v="Express Air"/>
    <n v="43178"/>
    <n v="29250"/>
    <n v="59700"/>
    <n v="30450"/>
    <n v="4"/>
    <n v="121800"/>
    <n v="0.02"/>
    <n v="2436"/>
    <n v="119364"/>
    <n v="10000"/>
    <n v="129364"/>
  </r>
  <r>
    <s v="5703-1"/>
    <d v="2018-03-15T00:00:00"/>
    <n v="2018"/>
    <s v="Martani Sudiati"/>
    <s v="Jl. BKR No. 46"/>
    <s v="Jakarta"/>
    <x v="3"/>
    <s v="E1028"/>
    <s v="Gaduh Pratama"/>
    <s v="Gaduh Pratama"/>
    <s v="Low"/>
    <s v="Steady 52201 APSCO Electric Pencil Sharpener"/>
    <x v="0"/>
    <s v="Small Pack"/>
    <s v="Regular Air"/>
    <n v="43181"/>
    <n v="252000"/>
    <n v="614550"/>
    <n v="362550"/>
    <n v="47"/>
    <n v="17039850"/>
    <n v="0.04"/>
    <n v="681594"/>
    <n v="16358256"/>
    <n v="10000"/>
    <n v="16368256"/>
  </r>
  <r>
    <s v="5705-1"/>
    <d v="2018-03-18T00:00:00"/>
    <n v="2018"/>
    <s v="Darmaji Rajasa"/>
    <s v="Jl. Rumah Sakit No. 738"/>
    <s v="Jakarta"/>
    <x v="0"/>
    <s v="E1028"/>
    <s v="Gaduh Pratama"/>
    <s v="Gaduh Pratama"/>
    <s v="Medium"/>
    <s v="Multi-Use Personal File Cart and Caster Set, Three Stacking Bins"/>
    <x v="0"/>
    <s v="Small Box"/>
    <s v="Regular Air"/>
    <n v="43178"/>
    <n v="224250"/>
    <n v="521399.99999999994"/>
    <n v="297149.99999999994"/>
    <n v="8"/>
    <n v="2377199.9999999995"/>
    <n v="7.0000000000000007E-2"/>
    <n v="166403.99999999997"/>
    <n v="2210795.9999999995"/>
    <n v="15000"/>
    <n v="2225795.9999999995"/>
  </r>
  <r>
    <s v="5706-1"/>
    <d v="2018-03-19T00:00:00"/>
    <n v="2018"/>
    <s v="Asmadi Simanjuntak"/>
    <s v="Gg. HOS. Cokroaminoto No. 1"/>
    <s v="Surabaya"/>
    <x v="1"/>
    <s v="E1041"/>
    <s v="Sari Winarno"/>
    <s v="Sari Winarno"/>
    <s v="Medium"/>
    <s v="Colored Envelopes"/>
    <x v="0"/>
    <s v="Small Box"/>
    <s v="Express Air"/>
    <n v="43179"/>
    <n v="33750"/>
    <n v="55350"/>
    <n v="21600"/>
    <n v="41"/>
    <n v="885600"/>
    <n v="0.08"/>
    <n v="70848"/>
    <n v="814752"/>
    <n v="30000"/>
    <n v="844752"/>
  </r>
  <r>
    <s v="5708-1"/>
    <d v="2018-03-20T00:00:00"/>
    <n v="2018"/>
    <s v="Lantar Gunawan"/>
    <s v="Jl. W.R. Supratman No. 473"/>
    <s v="Surabaya"/>
    <x v="2"/>
    <s v="E1036"/>
    <s v="Kenari Rajasa"/>
    <s v="Kenari Rajasa"/>
    <s v="Not Specified"/>
    <s v="Artisan Round Ring Poly Binders"/>
    <x v="0"/>
    <s v="Small Box"/>
    <s v="Express Air"/>
    <n v="43181"/>
    <n v="27300"/>
    <n v="42600"/>
    <n v="15300"/>
    <n v="21"/>
    <n v="321300"/>
    <n v="0.01"/>
    <n v="3213"/>
    <n v="318087"/>
    <n v="30000"/>
    <n v="348087"/>
  </r>
  <r>
    <s v="5710-1"/>
    <d v="2018-03-22T00:00:00"/>
    <n v="2018"/>
    <s v="Adhiarja Wahyudin"/>
    <s v="Gg. Ronggowarsito No. 033"/>
    <s v="Surabaya"/>
    <x v="3"/>
    <s v="E1038"/>
    <s v="Clara Prasetyo"/>
    <s v="Clara Prasetyo"/>
    <s v="High"/>
    <s v="Deluxe Rollaway Locking File with Drawer"/>
    <x v="0"/>
    <s v="Small Box"/>
    <s v="Regular Air"/>
    <n v="43183"/>
    <n v="2682450"/>
    <n v="6238200"/>
    <n v="3555750"/>
    <n v="4"/>
    <n v="14223000"/>
    <n v="0.03"/>
    <n v="426690"/>
    <n v="13796310"/>
    <n v="15000"/>
    <n v="13811310"/>
  </r>
  <r>
    <s v="5711-1"/>
    <d v="2018-03-23T00:00:00"/>
    <n v="2018"/>
    <s v="Arta Rahmawati"/>
    <s v="Jalan Lembong No. 9"/>
    <s v="Surabaya"/>
    <x v="2"/>
    <s v="E1032"/>
    <s v="Violet Mentari"/>
    <s v="Violet Mentari"/>
    <s v="Medium"/>
    <s v="Xit Blank Computer Paper"/>
    <x v="0"/>
    <s v="Small Box"/>
    <s v="Regular Air"/>
    <n v="43184"/>
    <n v="185850"/>
    <n v="299700"/>
    <n v="113850"/>
    <n v="48"/>
    <n v="5464800"/>
    <n v="0.01"/>
    <n v="54648"/>
    <n v="5410152"/>
    <n v="15000"/>
    <n v="5425152"/>
  </r>
  <r>
    <s v="5712-1"/>
    <d v="2018-03-24T00:00:00"/>
    <n v="2018"/>
    <s v="Dadap Zulkarnain"/>
    <s v="Gang W.R. Supratman No. 8"/>
    <s v="Surabaya"/>
    <x v="1"/>
    <s v="E1031"/>
    <s v="Bagiya Sihombing"/>
    <s v="Bagiya Sihombing"/>
    <s v="Not Specified"/>
    <s v="Apex Box Cutter Scissors"/>
    <x v="0"/>
    <s v="Small Pack"/>
    <s v="Regular Air"/>
    <n v="43184"/>
    <n v="62850.000000000007"/>
    <n v="153450"/>
    <n v="90600"/>
    <n v="46"/>
    <n v="4167600"/>
    <n v="0.01"/>
    <n v="41676"/>
    <n v="4125924"/>
    <n v="10000"/>
    <n v="4135924"/>
  </r>
  <r>
    <s v="5713-1"/>
    <d v="2018-03-24T00:00:00"/>
    <n v="2018"/>
    <s v="Taufan Gunawan"/>
    <s v="Jl. S. Parman No. 38"/>
    <s v="Surabaya"/>
    <x v="1"/>
    <s v="E1033"/>
    <s v="Paiman Firgantoro"/>
    <s v="Paiman Firgantoro"/>
    <s v="Low"/>
    <s v="Laser Neon Mac Format Diskettes, 10/Pack"/>
    <x v="1"/>
    <s v="Small Pack"/>
    <s v="Regular Air"/>
    <n v="43185"/>
    <n v="28050"/>
    <n v="121799.99999999999"/>
    <n v="93749.999999999985"/>
    <n v="11"/>
    <n v="1031249.9999999999"/>
    <n v="0.06"/>
    <n v="61874.999999999993"/>
    <n v="969374.99999999988"/>
    <n v="10000"/>
    <n v="979374.99999999988"/>
  </r>
  <r>
    <s v="5715-1"/>
    <d v="2018-03-27T00:00:00"/>
    <n v="2018"/>
    <s v="Asirwanda Rahimah"/>
    <s v="Gg. M.H Thamrin No. 784"/>
    <s v="Jakarta"/>
    <x v="1"/>
    <s v="E1029"/>
    <s v="Laras Nuraini"/>
    <s v="Laras Nuraini"/>
    <s v="High"/>
    <s v="Alto Parchment Paper, Assorted Colors"/>
    <x v="0"/>
    <s v="Small Box"/>
    <s v="Regular Air"/>
    <n v="43188"/>
    <n v="68850"/>
    <n v="109200"/>
    <n v="40350"/>
    <n v="36"/>
    <n v="1452600"/>
    <n v="0.05"/>
    <n v="72630"/>
    <n v="1379970"/>
    <n v="15000"/>
    <n v="1394970"/>
  </r>
  <r>
    <s v="5717-1"/>
    <d v="2018-03-30T00:00:00"/>
    <n v="2018"/>
    <s v="Cengkir Pradana"/>
    <s v="Jalan Gardujati No. 513"/>
    <s v="Surabaya"/>
    <x v="1"/>
    <s v="E1036"/>
    <s v="Kenari Rajasa"/>
    <s v="Kenari Rajasa"/>
    <s v="Medium"/>
    <s v="Self-Adhesive Ring Binder Labels"/>
    <x v="0"/>
    <s v="Small Box"/>
    <s v="Regular Air"/>
    <n v="43191"/>
    <n v="32700.000000000004"/>
    <n v="52800"/>
    <n v="20099.999999999996"/>
    <n v="23"/>
    <n v="462299.99999999994"/>
    <n v="7.0000000000000007E-2"/>
    <n v="32361"/>
    <n v="429938.99999999994"/>
    <n v="15000"/>
    <n v="444938.99999999994"/>
  </r>
  <r>
    <s v="5718-1"/>
    <d v="2018-04-05T00:00:00"/>
    <n v="2018"/>
    <s v="Ira Prasetyo"/>
    <s v="Jalan Jend. A. Yani No. 48"/>
    <s v="Surabaya"/>
    <x v="1"/>
    <s v="E1036"/>
    <s v="Kenari Rajasa"/>
    <s v="Kenari Rajasa"/>
    <s v="Medium"/>
    <s v="Colored Push Pins"/>
    <x v="0"/>
    <s v="Wrap Bag"/>
    <s v="Regular Air"/>
    <n v="43196"/>
    <n v="13800"/>
    <n v="27150"/>
    <n v="13350"/>
    <n v="48"/>
    <n v="640800"/>
    <n v="0.1"/>
    <n v="64080"/>
    <n v="576720"/>
    <n v="5000"/>
    <n v="581720"/>
  </r>
  <r>
    <s v="5719-1"/>
    <d v="2018-04-08T00:00:00"/>
    <n v="2018"/>
    <s v="Viktor Sihombing"/>
    <s v="Gang Ahmad Yani No. 6"/>
    <s v="Surabaya"/>
    <x v="2"/>
    <s v="E1038"/>
    <s v="Clara Prasetyo"/>
    <s v="Clara Prasetyo"/>
    <s v="Medium"/>
    <s v="Cando PC940 Copier"/>
    <x v="1"/>
    <s v="Large Box"/>
    <s v="Regular Air"/>
    <n v="43200"/>
    <n v="3240000"/>
    <n v="6749850"/>
    <n v="3509850"/>
    <n v="10"/>
    <n v="35098500"/>
    <n v="0.01"/>
    <n v="350985"/>
    <n v="34747515"/>
    <n v="50000"/>
    <n v="34797515"/>
  </r>
  <r>
    <s v="5720-1"/>
    <d v="2018-04-09T00:00:00"/>
    <n v="2018"/>
    <s v="Galuh Zulaika"/>
    <s v="Jalan Otto Iskandardinata No. 1"/>
    <s v="Jakarta"/>
    <x v="2"/>
    <s v="E1029"/>
    <s v="Laras Nuraini"/>
    <s v="Laras Nuraini"/>
    <s v="High"/>
    <s v="Smiths Metal Binder Clips"/>
    <x v="0"/>
    <s v="Wrap Bag"/>
    <s v="Regular Air"/>
    <n v="43202"/>
    <n v="24000"/>
    <n v="39300"/>
    <n v="15300"/>
    <n v="37"/>
    <n v="566100"/>
    <n v="0.01"/>
    <n v="5661"/>
    <n v="560439"/>
    <n v="5000"/>
    <n v="565439"/>
  </r>
  <r>
    <s v="5721-1"/>
    <d v="2018-04-09T00:00:00"/>
    <n v="2018"/>
    <s v="Ajimin Andriani"/>
    <s v="Gang Otto Iskandardinata No. 167"/>
    <s v="Surabaya"/>
    <x v="3"/>
    <s v="E1037"/>
    <s v="Puti Nadine Prakasa"/>
    <s v="Puti Nadine Prakasa"/>
    <s v="High"/>
    <s v="Smiths Standard Envelopes"/>
    <x v="0"/>
    <s v="Small Box"/>
    <s v="Regular Air"/>
    <n v="43202"/>
    <n v="52800"/>
    <n v="85200"/>
    <n v="32400"/>
    <n v="42"/>
    <n v="1360800"/>
    <n v="0.05"/>
    <n v="68040"/>
    <n v="1292760"/>
    <n v="15000"/>
    <n v="1307760"/>
  </r>
  <r>
    <s v="5722-1"/>
    <d v="2018-04-10T00:00:00"/>
    <n v="2018"/>
    <s v="Aswani Rajata"/>
    <s v="Gg. Rumah Sakit No. 617"/>
    <s v="Surabaya"/>
    <x v="3"/>
    <s v="E1038"/>
    <s v="Clara Prasetyo"/>
    <s v="Clara Prasetyo"/>
    <s v="Critical"/>
    <s v="Artisan 479 Labels"/>
    <x v="0"/>
    <s v="Small Box"/>
    <s v="Express Air"/>
    <n v="43201"/>
    <n v="23850"/>
    <n v="39150"/>
    <n v="15300"/>
    <n v="37"/>
    <n v="566100"/>
    <n v="0.09"/>
    <n v="50949"/>
    <n v="515151"/>
    <n v="30000"/>
    <n v="545151"/>
  </r>
  <r>
    <s v="5724-1"/>
    <d v="2018-04-10T00:00:00"/>
    <n v="2018"/>
    <s v="Oliva Melani"/>
    <s v="Gang Cikapayang No. 055"/>
    <s v="Surabaya"/>
    <x v="3"/>
    <s v="E1040"/>
    <s v="Sutan Tirtayasa Wasita"/>
    <s v="Sutan Tirtayasa Wasita"/>
    <s v="High"/>
    <s v="Multi-Use Personal File Cart and Caster Set, Three Stacking Bins"/>
    <x v="0"/>
    <s v="Small Box"/>
    <s v="Regular Air"/>
    <n v="43200"/>
    <n v="224250"/>
    <n v="521399.99999999994"/>
    <n v="297149.99999999994"/>
    <n v="10"/>
    <n v="2971499.9999999995"/>
    <n v="0.03"/>
    <n v="89144.999999999985"/>
    <n v="2882354.9999999995"/>
    <n v="15000"/>
    <n v="2897354.9999999995"/>
  </r>
  <r>
    <s v="5724-2"/>
    <d v="2018-04-10T00:00:00"/>
    <n v="2018"/>
    <s v="Oliva Melani"/>
    <s v="Gang Cikapayang No. 055"/>
    <s v="Surabaya"/>
    <x v="3"/>
    <s v="E1040"/>
    <s v="Sutan Tirtayasa Wasita"/>
    <s v="Sutan Tirtayasa Wasita"/>
    <s v="High"/>
    <s v="Smiths Bulldog Clip"/>
    <x v="0"/>
    <s v="Wrap Bag"/>
    <s v="Regular Air"/>
    <n v="43202"/>
    <n v="34650"/>
    <n v="56700"/>
    <n v="22050"/>
    <n v="41"/>
    <n v="904050"/>
    <n v="0.02"/>
    <n v="18081"/>
    <n v="885969"/>
    <n v="5000"/>
    <n v="890969"/>
  </r>
  <r>
    <s v="5728-1"/>
    <d v="2018-04-11T00:00:00"/>
    <n v="2018"/>
    <s v="Tiara Megantara"/>
    <s v="Jalan Ciwastra No. 383"/>
    <s v="Surabaya"/>
    <x v="2"/>
    <s v="E1032"/>
    <s v="Violet Mentari"/>
    <s v="Violet Mentari"/>
    <s v="High"/>
    <s v="Alto Perma 3000 Stacking Storage Drawers"/>
    <x v="0"/>
    <s v="Small Box"/>
    <s v="Regular Air"/>
    <n v="43203"/>
    <n v="106950"/>
    <n v="314700"/>
    <n v="207750"/>
    <n v="47"/>
    <n v="9764250"/>
    <n v="0.01"/>
    <n v="97642.5"/>
    <n v="9666607.5"/>
    <n v="15000"/>
    <n v="9681607.5"/>
  </r>
  <r>
    <s v="5730-1"/>
    <d v="2018-04-11T00:00:00"/>
    <n v="2018"/>
    <s v="Daliono Yolanda"/>
    <s v="Jalan Jend. A. Yani No. 48"/>
    <s v="Surabaya"/>
    <x v="1"/>
    <s v="E1036"/>
    <s v="Kenari Rajasa"/>
    <s v="Kenari Rajasa"/>
    <s v="Not Specified"/>
    <s v="Desktop 3-Pocket Hot File"/>
    <x v="0"/>
    <s v="Small Box"/>
    <s v="Regular Air"/>
    <n v="43201"/>
    <n v="332700"/>
    <n v="811500"/>
    <n v="478800"/>
    <n v="5"/>
    <n v="2394000"/>
    <n v="0.04"/>
    <n v="95760"/>
    <n v="2298240"/>
    <n v="15000"/>
    <n v="2313240"/>
  </r>
  <r>
    <s v="5731-1"/>
    <d v="2018-04-13T00:00:00"/>
    <n v="2018"/>
    <s v="Prayitna Pangestu"/>
    <s v="Gang Ciwastra No. 43"/>
    <s v="Surabaya"/>
    <x v="3"/>
    <s v="E1040"/>
    <s v="Sutan Tirtayasa Wasita"/>
    <s v="Sutan Tirtayasa Wasita"/>
    <s v="Not Specified"/>
    <s v="Artisan Round Ring Poly Binders"/>
    <x v="0"/>
    <s v="Small Box"/>
    <s v="Regular Air"/>
    <n v="43204"/>
    <n v="27300"/>
    <n v="42600"/>
    <n v="15300"/>
    <n v="27"/>
    <n v="413100"/>
    <n v="0.03"/>
    <n v="12393"/>
    <n v="400707"/>
    <n v="15000"/>
    <n v="415707"/>
  </r>
  <r>
    <s v="5732-1"/>
    <d v="2018-04-15T00:00:00"/>
    <n v="2018"/>
    <s v="Jati Laksmiwati"/>
    <s v="Gg. Monginsidi No. 3"/>
    <s v="Jakarta"/>
    <x v="3"/>
    <s v="E1029"/>
    <s v="Laras Nuraini"/>
    <s v="Laras Nuraini"/>
    <s v="Not Specified"/>
    <s v="Apex Design Stainless Steel Bent Scissors"/>
    <x v="0"/>
    <s v="Small Pack"/>
    <s v="Regular Air"/>
    <n v="43207"/>
    <n v="43050"/>
    <n v="102600"/>
    <n v="59550"/>
    <n v="35"/>
    <n v="2084250"/>
    <n v="0.01"/>
    <n v="20842.5"/>
    <n v="2063407.5"/>
    <n v="10000"/>
    <n v="2073407.5"/>
  </r>
  <r>
    <s v="5734-1"/>
    <d v="2018-04-16T00:00:00"/>
    <n v="2018"/>
    <s v="Julia Situmorang"/>
    <s v="Gang Asia Afrika No. 96"/>
    <s v="Surabaya"/>
    <x v="1"/>
    <s v="E1036"/>
    <s v="Kenari Rajasa"/>
    <s v="Kenari Rajasa"/>
    <s v="Low"/>
    <s v="600 Series Non-Flip"/>
    <x v="1"/>
    <s v="Small Box"/>
    <s v="Regular Air"/>
    <n v="43208"/>
    <n v="296700"/>
    <n v="689850"/>
    <n v="393150"/>
    <n v="50"/>
    <n v="19657500"/>
    <n v="0"/>
    <n v="0"/>
    <n v="19657500"/>
    <n v="15000"/>
    <n v="19672500"/>
  </r>
  <r>
    <s v="5736-1"/>
    <d v="2018-04-16T00:00:00"/>
    <n v="2018"/>
    <s v="Opung Saptono"/>
    <s v="Jl. Medokan Ayu No. 7"/>
    <s v="Surabaya"/>
    <x v="0"/>
    <s v="E1038"/>
    <s v="Clara Prasetyo"/>
    <s v="Clara Prasetyo"/>
    <s v="Medium"/>
    <s v="Col-Erase Pencils with Erasers"/>
    <x v="0"/>
    <s v="Wrap Bag"/>
    <s v="Regular Air"/>
    <n v="43208"/>
    <n v="40200"/>
    <n v="91200"/>
    <n v="51000"/>
    <n v="30"/>
    <n v="1530000"/>
    <n v="0.04"/>
    <n v="61200"/>
    <n v="1468800"/>
    <n v="5000"/>
    <n v="1473800"/>
  </r>
  <r>
    <s v="5737-1"/>
    <d v="2018-04-21T00:00:00"/>
    <n v="2018"/>
    <s v="Laras Lazuardi"/>
    <s v="Gg. Wonoayu No. 96"/>
    <s v="Jakarta"/>
    <x v="1"/>
    <s v="E1028"/>
    <s v="Gaduh Pratama"/>
    <s v="Gaduh Pratama"/>
    <s v="Medium"/>
    <s v="Artisan Printable Repositionable Plastic Tabs"/>
    <x v="0"/>
    <s v="Small Box"/>
    <s v="Regular Air"/>
    <n v="43213"/>
    <n v="79950"/>
    <n v="129000"/>
    <n v="49050"/>
    <n v="48"/>
    <n v="2354400"/>
    <n v="0.02"/>
    <n v="47088"/>
    <n v="2307312"/>
    <n v="15000"/>
    <n v="2322312"/>
  </r>
  <r>
    <s v="5738-1"/>
    <d v="2018-04-21T00:00:00"/>
    <n v="2018"/>
    <s v="Ikin Januar"/>
    <s v="Jl. Gardujati No. 82"/>
    <s v="Surabaya"/>
    <x v="2"/>
    <s v="E1037"/>
    <s v="Puti Nadine Prakasa"/>
    <s v="Puti Nadine Prakasa"/>
    <s v="Not Specified"/>
    <s v="Beekin 6 Outlet Metallic Surge Strip"/>
    <x v="0"/>
    <s v="Small Box"/>
    <s v="Express Air"/>
    <n v="43213"/>
    <n v="66900"/>
    <n v="163350"/>
    <n v="96450"/>
    <n v="37"/>
    <n v="3568650"/>
    <n v="0"/>
    <n v="0"/>
    <n v="3568650"/>
    <n v="30000"/>
    <n v="3598650"/>
  </r>
  <r>
    <s v="5740-1"/>
    <d v="2018-04-23T00:00:00"/>
    <n v="2018"/>
    <s v="Caket Rahimah"/>
    <s v="Gg. Otto Iskandardinata No. 6"/>
    <s v="Jakarta"/>
    <x v="2"/>
    <s v="E1028"/>
    <s v="Gaduh Pratama"/>
    <s v="Gaduh Pratama"/>
    <s v="High"/>
    <s v="Assorted Color Push Pins"/>
    <x v="0"/>
    <s v="Wrap Bag"/>
    <s v="Regular Air"/>
    <n v="43215"/>
    <n v="13050"/>
    <n v="27150"/>
    <n v="14100"/>
    <n v="9"/>
    <n v="126900"/>
    <n v="0.09"/>
    <n v="11421"/>
    <n v="115479"/>
    <n v="5000"/>
    <n v="120479"/>
  </r>
  <r>
    <s v="5741-1"/>
    <d v="2018-04-24T00:00:00"/>
    <n v="2018"/>
    <s v="Kania Tampubolon"/>
    <s v="Gg. Jakarta No. 646"/>
    <s v="Jakarta"/>
    <x v="0"/>
    <s v="E1029"/>
    <s v="Laras Nuraini"/>
    <s v="Laras Nuraini"/>
    <s v="Medium"/>
    <s v="Artisan Flip-Chart Easel Binder, Black"/>
    <x v="0"/>
    <s v="Small Box"/>
    <s v="Regular Air"/>
    <n v="43216"/>
    <n v="208200"/>
    <n v="335700"/>
    <n v="127500"/>
    <n v="50"/>
    <n v="6375000"/>
    <n v="7.0000000000000007E-2"/>
    <n v="446250.00000000006"/>
    <n v="5928750"/>
    <n v="15000"/>
    <n v="5943750"/>
  </r>
  <r>
    <s v="5742-1"/>
    <d v="2018-04-24T00:00:00"/>
    <n v="2018"/>
    <s v="Gamani Laksmiwati"/>
    <s v="Jl. Antapani Lama No. 705"/>
    <s v="Jakarta"/>
    <x v="2"/>
    <s v="E1028"/>
    <s v="Gaduh Pratama"/>
    <s v="Gaduh Pratama"/>
    <s v="Low"/>
    <s v="Steady Liquid Accent Tank-Style Highlighters"/>
    <x v="0"/>
    <s v="Wrap Bag"/>
    <s v="Regular Air"/>
    <n v="43214"/>
    <n v="19650"/>
    <n v="42600"/>
    <n v="22950"/>
    <n v="21"/>
    <n v="481950"/>
    <n v="0"/>
    <n v="0"/>
    <n v="481950"/>
    <n v="5000"/>
    <n v="486950"/>
  </r>
  <r>
    <s v="5743-1"/>
    <d v="2018-04-25T00:00:00"/>
    <n v="2018"/>
    <s v="Farhunnisa Yulianti"/>
    <s v="Jl. K.H. Wahid Hasyim No. 4"/>
    <s v="Jakarta"/>
    <x v="1"/>
    <s v="E1028"/>
    <s v="Gaduh Pratama"/>
    <s v="Gaduh Pratama"/>
    <s v="Not Specified"/>
    <s v="Laser DVD-RAM discs"/>
    <x v="1"/>
    <s v="Small Pack"/>
    <s v="Regular Air"/>
    <n v="43216"/>
    <n v="302700"/>
    <n v="531150"/>
    <n v="228450"/>
    <n v="1"/>
    <n v="228450"/>
    <n v="0"/>
    <n v="0"/>
    <n v="228450"/>
    <n v="10000"/>
    <n v="238450"/>
  </r>
  <r>
    <s v="5745-1"/>
    <d v="2018-04-25T00:00:00"/>
    <n v="2018"/>
    <s v="Iriana Firmansyah"/>
    <s v="Jalan Ciumbuleuit No. 76"/>
    <s v="Surabaya"/>
    <x v="0"/>
    <s v="E1039"/>
    <s v="Nabila Prakasa"/>
    <s v="Nabila Prakasa"/>
    <s v="Not Specified"/>
    <s v="Steady EarthWrite Recycled Pencils, Medium Soft, #2"/>
    <x v="0"/>
    <s v="Wrap Bag"/>
    <s v="Regular Air"/>
    <n v="43217"/>
    <n v="13500"/>
    <n v="31500"/>
    <n v="18000"/>
    <n v="23"/>
    <n v="414000"/>
    <n v="0.06"/>
    <n v="24840"/>
    <n v="389160"/>
    <n v="5000"/>
    <n v="394160"/>
  </r>
  <r>
    <s v="5747-1"/>
    <d v="2018-04-26T00:00:00"/>
    <n v="2018"/>
    <s v="Kajen Zulkarnain"/>
    <s v="Gang Cikapayang No. 055"/>
    <s v="Surabaya"/>
    <x v="1"/>
    <s v="E1040"/>
    <s v="Sutan Tirtayasa Wasita"/>
    <s v="Sutan Tirtayasa Wasita"/>
    <s v="Not Specified"/>
    <s v="Smiths Standard Envelopes"/>
    <x v="0"/>
    <s v="Small Box"/>
    <s v="Regular Air"/>
    <n v="43218"/>
    <n v="52800"/>
    <n v="85200"/>
    <n v="32400"/>
    <n v="18"/>
    <n v="583200"/>
    <n v="0.06"/>
    <n v="34992"/>
    <n v="548208"/>
    <n v="15000"/>
    <n v="563208"/>
  </r>
  <r>
    <s v="5749-1"/>
    <d v="2018-04-26T00:00:00"/>
    <n v="2018"/>
    <s v="Kasiran Firgantoro"/>
    <s v="Jalan Gardujati No. 513"/>
    <s v="Surabaya"/>
    <x v="2"/>
    <s v="E1036"/>
    <s v="Kenari Rajasa"/>
    <s v="Kenari Rajasa"/>
    <s v="Critical"/>
    <s v="Wirebound Voice Message Log Book"/>
    <x v="0"/>
    <s v="Wrap Bag"/>
    <s v="Regular Air"/>
    <n v="43217"/>
    <n v="43500"/>
    <n v="71400"/>
    <n v="27900"/>
    <n v="42"/>
    <n v="1171800"/>
    <n v="7.0000000000000007E-2"/>
    <n v="82026.000000000015"/>
    <n v="1089774"/>
    <n v="5000"/>
    <n v="1094774"/>
  </r>
  <r>
    <s v="5750-1"/>
    <d v="2018-04-27T00:00:00"/>
    <n v="2018"/>
    <s v="Ganep Uwais"/>
    <s v="Gg. Stasiun Wonokromo No. 0"/>
    <s v="Jakarta"/>
    <x v="2"/>
    <s v="E1028"/>
    <s v="Gaduh Pratama"/>
    <s v="Gaduh Pratama"/>
    <s v="High"/>
    <s v="Apex Design Stainless Steel Bent Scissors"/>
    <x v="0"/>
    <s v="Small Pack"/>
    <s v="Regular Air"/>
    <n v="43218"/>
    <n v="43050"/>
    <n v="102600"/>
    <n v="59550"/>
    <n v="26"/>
    <n v="1548300"/>
    <n v="0.08"/>
    <n v="123864"/>
    <n v="1424436"/>
    <n v="10000"/>
    <n v="1434436"/>
  </r>
  <r>
    <s v="5752-1"/>
    <d v="2018-04-27T00:00:00"/>
    <n v="2018"/>
    <s v="Kania Tampubolon"/>
    <s v="Gg. Jakarta No. 646"/>
    <s v="Jakarta"/>
    <x v="0"/>
    <s v="E1029"/>
    <s v="Laras Nuraini"/>
    <s v="Laras Nuraini"/>
    <s v="Not Specified"/>
    <s v="Steady EarthWrite Recycled Pencils, Medium Soft, #2"/>
    <x v="0"/>
    <s v="Wrap Bag"/>
    <s v="Regular Air"/>
    <n v="43219"/>
    <n v="13500"/>
    <n v="31500"/>
    <n v="18000"/>
    <n v="34"/>
    <n v="612000"/>
    <n v="0.02"/>
    <n v="12240"/>
    <n v="599760"/>
    <n v="5000"/>
    <n v="604760"/>
  </r>
  <r>
    <s v="5754-1"/>
    <d v="2018-04-28T00:00:00"/>
    <n v="2018"/>
    <s v="Michelle Oktaviani"/>
    <s v="Jl. Jend. Sudirman No. 0"/>
    <s v="Surabaya"/>
    <x v="1"/>
    <s v="E1030"/>
    <s v="Cinthia Gunawan"/>
    <s v="Cinthia Gunawan"/>
    <s v="Critical"/>
    <s v="Artisan Flip-Chart Easel Binder, Black"/>
    <x v="0"/>
    <s v="Small Box"/>
    <s v="Regular Air"/>
    <n v="43219"/>
    <n v="208200"/>
    <n v="335700"/>
    <n v="127500"/>
    <n v="39"/>
    <n v="4972500"/>
    <n v="7.0000000000000007E-2"/>
    <n v="348075.00000000006"/>
    <n v="4624425"/>
    <n v="15000"/>
    <n v="4639425"/>
  </r>
  <r>
    <s v="5755-1"/>
    <d v="2018-04-29T00:00:00"/>
    <n v="2018"/>
    <s v="Gamani Mulyani"/>
    <s v="Gg. Monginsidi No. 3"/>
    <s v="Jakarta"/>
    <x v="1"/>
    <s v="E1029"/>
    <s v="Laras Nuraini"/>
    <s v="Laras Nuraini"/>
    <s v="Critical"/>
    <s v="Artisan 474 Labels"/>
    <x v="0"/>
    <s v="Small Box"/>
    <s v="Regular Air"/>
    <n v="43221"/>
    <n v="27600"/>
    <n v="43200"/>
    <n v="15600"/>
    <n v="27"/>
    <n v="421200"/>
    <n v="0.06"/>
    <n v="25272"/>
    <n v="395928"/>
    <n v="15000"/>
    <n v="410928"/>
  </r>
  <r>
    <s v="5757-1"/>
    <d v="2018-04-30T00:00:00"/>
    <n v="2018"/>
    <s v="Bakiono Wahyuni"/>
    <s v="Jl. Rumah Sakit No. 738"/>
    <s v="Jakarta"/>
    <x v="1"/>
    <s v="E1028"/>
    <s v="Gaduh Pratama"/>
    <s v="Gaduh Pratama"/>
    <s v="High"/>
    <s v="Emerson Stylus 1520 Color Inkjet Printer"/>
    <x v="1"/>
    <s v="Jumbo Drum"/>
    <s v="Delivery Truck"/>
    <n v="43221"/>
    <n v="4734150"/>
    <n v="7514550"/>
    <n v="2780400"/>
    <n v="37"/>
    <n v="102874800"/>
    <n v="0"/>
    <n v="0"/>
    <n v="102874800"/>
    <n v="500000"/>
    <n v="103374800"/>
  </r>
  <r>
    <s v="5760-1"/>
    <d v="2018-05-01T00:00:00"/>
    <n v="2018"/>
    <s v="Karna Pertiwi"/>
    <s v="Gg. Surapati No. 50"/>
    <s v="Surabaya"/>
    <x v="0"/>
    <s v="E1033"/>
    <s v="Paiman Firgantoro"/>
    <s v="Paiman Firgantoro"/>
    <s v="Medium"/>
    <s v="Multimedia Mailers"/>
    <x v="0"/>
    <s v="Small Box"/>
    <s v="Express Air"/>
    <n v="43223"/>
    <n v="1490850"/>
    <n v="2443950"/>
    <n v="953100"/>
    <n v="48"/>
    <n v="45748800"/>
    <n v="0.04"/>
    <n v="1829952"/>
    <n v="43918848"/>
    <n v="30000"/>
    <n v="43948848"/>
  </r>
  <r>
    <s v="5762-1"/>
    <d v="2018-05-04T00:00:00"/>
    <n v="2018"/>
    <s v="Najib Pratama"/>
    <s v="Gang Cikapayang No. 055"/>
    <s v="Surabaya"/>
    <x v="2"/>
    <s v="E1040"/>
    <s v="Sutan Tirtayasa Wasita"/>
    <s v="Sutan Tirtayasa Wasita"/>
    <s v="Not Specified"/>
    <s v="Artisan Hi-Liter EverBold Pen Style Fluorescent Highlighters, 4/Pack"/>
    <x v="0"/>
    <s v="Wrap Bag"/>
    <s v="Regular Air"/>
    <n v="43225"/>
    <n v="67200"/>
    <n v="122100.00000000001"/>
    <n v="54900.000000000015"/>
    <n v="23"/>
    <n v="1262700.0000000002"/>
    <n v="7.0000000000000007E-2"/>
    <n v="88389.000000000029"/>
    <n v="1174311.0000000002"/>
    <n v="5000"/>
    <n v="1179311.0000000002"/>
  </r>
  <r>
    <s v="5762-2"/>
    <d v="2018-05-04T00:00:00"/>
    <n v="2018"/>
    <s v="Najib Pratama"/>
    <s v="Gang Cikapayang No. 055"/>
    <s v="Surabaya"/>
    <x v="2"/>
    <s v="E1040"/>
    <s v="Sutan Tirtayasa Wasita"/>
    <s v="Sutan Tirtayasa Wasita"/>
    <s v="Not Specified"/>
    <s v="Smiths General Use 3-Ring Binders"/>
    <x v="0"/>
    <s v="Small Box"/>
    <s v="Regular Air"/>
    <n v="43225"/>
    <n v="17700"/>
    <n v="28200"/>
    <n v="10500"/>
    <n v="33"/>
    <n v="346500"/>
    <n v="0.05"/>
    <n v="17325"/>
    <n v="329175"/>
    <n v="15000"/>
    <n v="344175"/>
  </r>
  <r>
    <s v="5766-1"/>
    <d v="2018-05-05T00:00:00"/>
    <n v="2018"/>
    <s v="Yuni Nugroho"/>
    <s v="Gang Otto Iskandardinata No. 167"/>
    <s v="Surabaya"/>
    <x v="3"/>
    <s v="E1037"/>
    <s v="Puti Nadine Prakasa"/>
    <s v="Puti Nadine Prakasa"/>
    <s v="High"/>
    <s v="Colored Envelopes"/>
    <x v="0"/>
    <s v="Small Box"/>
    <s v="Regular Air"/>
    <n v="43227"/>
    <n v="33750"/>
    <n v="55350"/>
    <n v="21600"/>
    <n v="13"/>
    <n v="280800"/>
    <n v="0.05"/>
    <n v="14040"/>
    <n v="266760"/>
    <n v="15000"/>
    <n v="281760"/>
  </r>
  <r>
    <s v="5768-1"/>
    <d v="2018-05-06T00:00:00"/>
    <n v="2018"/>
    <s v="Dwi Suartini"/>
    <s v="Gg. Tubagus Ismail No. 864"/>
    <s v="Bandung"/>
    <x v="1"/>
    <s v="E1032"/>
    <s v="Violet Mentari"/>
    <s v="Violet Mentari"/>
    <s v="Critical"/>
    <s v="1726 Digital Answering Machine"/>
    <x v="1"/>
    <s v="Medium Box"/>
    <s v="Regular Air"/>
    <n v="43227"/>
    <n v="132300"/>
    <n v="314850"/>
    <n v="182550"/>
    <n v="3"/>
    <n v="547650"/>
    <n v="0.01"/>
    <n v="5476.5"/>
    <n v="542173.5"/>
    <n v="20000"/>
    <n v="562173.5"/>
  </r>
  <r>
    <s v="5768-2"/>
    <d v="2018-05-06T00:00:00"/>
    <n v="2018"/>
    <s v="Dwi Suartini"/>
    <s v="Gg. Tubagus Ismail No. 864"/>
    <s v="Bandung"/>
    <x v="1"/>
    <s v="E1032"/>
    <s v="Violet Mentari"/>
    <s v="Violet Mentari"/>
    <s v="Critical"/>
    <s v="Artisan Flip-Chart Easel Binder, Black"/>
    <x v="0"/>
    <s v="Small Box"/>
    <s v="Express Air"/>
    <n v="43226"/>
    <n v="208200"/>
    <n v="335700"/>
    <n v="127500"/>
    <n v="42"/>
    <n v="5355000"/>
    <n v="7.0000000000000007E-2"/>
    <n v="374850.00000000006"/>
    <n v="4980150"/>
    <n v="30000"/>
    <n v="5010150"/>
  </r>
  <r>
    <s v="5768-2"/>
    <d v="2018-05-06T00:00:00"/>
    <n v="2018"/>
    <s v="Dwi Suartini"/>
    <s v="Gg. Tubagus Ismail No. 864"/>
    <s v="Bandung"/>
    <x v="1"/>
    <s v="E1032"/>
    <s v="Violet Mentari"/>
    <s v="Violet Mentari"/>
    <s v="Critical"/>
    <s v="Beekin 105-Key Black Keyboard"/>
    <x v="1"/>
    <s v="Small Box"/>
    <s v="Regular Air"/>
    <n v="43228"/>
    <n v="95850"/>
    <n v="299700"/>
    <n v="203850"/>
    <n v="45"/>
    <n v="9173250"/>
    <n v="0.06"/>
    <n v="550395"/>
    <n v="8622855"/>
    <n v="15000"/>
    <n v="8637855"/>
  </r>
  <r>
    <s v="5773-1"/>
    <d v="2018-05-07T00:00:00"/>
    <n v="2018"/>
    <s v="Siska Halim"/>
    <s v="Jl. HOS. Cokroaminoto No. 1"/>
    <s v="Surabaya"/>
    <x v="2"/>
    <s v="E1039"/>
    <s v="Nabila Prakasa"/>
    <s v="Nabila Prakasa"/>
    <s v="Not Specified"/>
    <s v="Message Book, One Form per Page"/>
    <x v="0"/>
    <s v="Wrap Bag"/>
    <s v="Regular Air"/>
    <n v="43229"/>
    <n v="36150"/>
    <n v="55650"/>
    <n v="19500"/>
    <n v="14"/>
    <n v="273000"/>
    <n v="0.09"/>
    <n v="24570"/>
    <n v="248430"/>
    <n v="5000"/>
    <n v="253430"/>
  </r>
  <r>
    <s v="5775-1"/>
    <d v="2018-05-10T00:00:00"/>
    <n v="2018"/>
    <s v="Bajragin Saputra"/>
    <s v="Jalan Ciwastra No. 383"/>
    <s v="Surabaya"/>
    <x v="2"/>
    <s v="E1032"/>
    <s v="Violet Mentari"/>
    <s v="Violet Mentari"/>
    <s v="Not Specified"/>
    <s v="OIC Thumb-Tacks"/>
    <x v="0"/>
    <s v="Wrap Bag"/>
    <s v="Regular Air"/>
    <n v="43232"/>
    <n v="10650"/>
    <n v="17100"/>
    <n v="6450"/>
    <n v="42"/>
    <n v="270900"/>
    <n v="0.06"/>
    <n v="16254"/>
    <n v="254646"/>
    <n v="5000"/>
    <n v="259646"/>
  </r>
  <r>
    <s v="5777-1"/>
    <d v="2018-05-12T00:00:00"/>
    <n v="2018"/>
    <s v="Kairav Winarno"/>
    <s v="Gg. Suniaraja No. 21"/>
    <s v="Surabaya"/>
    <x v="3"/>
    <s v="E1031"/>
    <s v="Bagiya Sihombing"/>
    <s v="Bagiya Sihombing"/>
    <s v="Medium"/>
    <s v="Artisan 487 Labels"/>
    <x v="0"/>
    <s v="Small Box"/>
    <s v="Regular Air"/>
    <n v="43233"/>
    <n v="34350"/>
    <n v="55350"/>
    <n v="21000"/>
    <n v="4"/>
    <n v="84000"/>
    <n v="0.01"/>
    <n v="840"/>
    <n v="83160"/>
    <n v="15000"/>
    <n v="98160"/>
  </r>
  <r>
    <s v="5778-1"/>
    <d v="2018-05-14T00:00:00"/>
    <n v="2018"/>
    <s v="Ani Anggraini"/>
    <s v="Jalan Kapten Muslihat No. 168"/>
    <s v="Surabaya"/>
    <x v="1"/>
    <s v="E1031"/>
    <s v="Bagiya Sihombing"/>
    <s v="Bagiya Sihombing"/>
    <s v="Not Specified"/>
    <s v="Adesso Programmable 142-Key Keyboard"/>
    <x v="1"/>
    <s v="Small Box"/>
    <s v="Regular Air"/>
    <n v="43235"/>
    <n v="480300.00000000006"/>
    <n v="2287200"/>
    <n v="1806900"/>
    <n v="21"/>
    <n v="37944900"/>
    <n v="0.03"/>
    <n v="1138347"/>
    <n v="36806553"/>
    <n v="15000"/>
    <n v="36821553"/>
  </r>
  <r>
    <s v="5779-1"/>
    <d v="2018-05-15T00:00:00"/>
    <n v="2018"/>
    <s v="Tugiman Santoso"/>
    <s v="Gg. Cihampelas No. 423"/>
    <s v="Surabaya"/>
    <x v="1"/>
    <s v="E1030"/>
    <s v="Cinthia Gunawan"/>
    <s v="Cinthia Gunawan"/>
    <s v="High"/>
    <s v="Cando PC940 Copier"/>
    <x v="1"/>
    <s v="Jumbo Drum"/>
    <s v="Delivery Truck"/>
    <n v="43237"/>
    <n v="4184850"/>
    <n v="6749850"/>
    <n v="2565000"/>
    <n v="25"/>
    <n v="64125000"/>
    <n v="0.01"/>
    <n v="641250"/>
    <n v="63483750"/>
    <n v="500000"/>
    <n v="63983750"/>
  </r>
  <r>
    <s v="5781-1"/>
    <d v="2018-05-16T00:00:00"/>
    <n v="2018"/>
    <s v="Bakidin Firmansyah"/>
    <s v="Jl. Jend. Sudirman No. 0"/>
    <s v="Surabaya"/>
    <x v="0"/>
    <s v="E1030"/>
    <s v="Cinthia Gunawan"/>
    <s v="Cinthia Gunawan"/>
    <s v="High"/>
    <s v="3Max Polarizing Task Lamp with Clamp Arm, Light Gray"/>
    <x v="2"/>
    <s v="Large Box"/>
    <s v="Regular Air"/>
    <n v="43238"/>
    <n v="842400"/>
    <n v="2054699.9999999998"/>
    <n v="1212299.9999999998"/>
    <n v="2"/>
    <n v="2424599.9999999995"/>
    <n v="0.08"/>
    <n v="193967.99999999997"/>
    <n v="2230631.9999999995"/>
    <n v="50000"/>
    <n v="2280631.9999999995"/>
  </r>
  <r>
    <s v="5782-1"/>
    <d v="2018-05-16T00:00:00"/>
    <n v="2018"/>
    <s v="Siska Maryadi"/>
    <s v="Gg. BKR No. 882"/>
    <s v="Bandung"/>
    <x v="2"/>
    <s v="E1032"/>
    <s v="Violet Mentari"/>
    <s v="Violet Mentari"/>
    <s v="Critical"/>
    <s v="Binding Machine Supplies"/>
    <x v="0"/>
    <s v="Small Box"/>
    <s v="Regular Air"/>
    <n v="43238"/>
    <n v="275700"/>
    <n v="437550"/>
    <n v="161850"/>
    <n v="43"/>
    <n v="6959550"/>
    <n v="0.05"/>
    <n v="347977.5"/>
    <n v="6611572.5"/>
    <n v="15000"/>
    <n v="6626572.5"/>
  </r>
  <r>
    <s v="5784-1"/>
    <d v="2018-05-18T00:00:00"/>
    <n v="2018"/>
    <s v="Rendy Andriani"/>
    <s v="Gang Monginsidi No. 432"/>
    <s v="Surabaya"/>
    <x v="3"/>
    <s v="E1035"/>
    <s v="Darmanto Laksita"/>
    <s v="Darmanto Laksita"/>
    <s v="High"/>
    <s v="1726 Digital Answering Machine"/>
    <x v="1"/>
    <s v="Medium Box"/>
    <s v="Regular Air"/>
    <n v="43241"/>
    <n v="132300"/>
    <n v="314850"/>
    <n v="182550"/>
    <n v="23"/>
    <n v="4198650"/>
    <n v="0.1"/>
    <n v="419865"/>
    <n v="3778785"/>
    <n v="20000"/>
    <n v="3798785"/>
  </r>
  <r>
    <s v="5786-1"/>
    <d v="2018-05-18T00:00:00"/>
    <n v="2018"/>
    <s v="Olga Gunawan"/>
    <s v="Gg. Moch. Toha No. 0"/>
    <s v="Surabaya"/>
    <x v="0"/>
    <s v="E1035"/>
    <s v="Darmanto Laksita"/>
    <s v="Darmanto Laksita"/>
    <s v="Medium"/>
    <s v="Artisan Hi-Liter Fluorescent Desk Style Markers"/>
    <x v="0"/>
    <s v="Wrap Bag"/>
    <s v="Express Air"/>
    <n v="43238"/>
    <n v="26400"/>
    <n v="50700"/>
    <n v="24300"/>
    <n v="5"/>
    <n v="121500"/>
    <n v="0.08"/>
    <n v="9720"/>
    <n v="111780"/>
    <n v="10000"/>
    <n v="121780"/>
  </r>
  <r>
    <s v="5787-1"/>
    <d v="2018-05-18T00:00:00"/>
    <n v="2018"/>
    <s v="Purwa Nasyidah"/>
    <s v="Jalan Raya Ujungberung No. 5"/>
    <s v="Surabaya"/>
    <x v="1"/>
    <s v="E1037"/>
    <s v="Puti Nadine Prakasa"/>
    <s v="Puti Nadine Prakasa"/>
    <s v="Low"/>
    <s v="Smiths SlimLine Pencil Sharpener"/>
    <x v="0"/>
    <s v="Small Pack"/>
    <s v="Regular Air"/>
    <n v="43265"/>
    <n v="71850"/>
    <n v="179550"/>
    <n v="107700"/>
    <n v="17"/>
    <n v="1830900"/>
    <n v="0.03"/>
    <n v="54927"/>
    <n v="1775973"/>
    <n v="10000"/>
    <n v="1785973"/>
  </r>
  <r>
    <s v="5788-1"/>
    <d v="2018-05-19T00:00:00"/>
    <n v="2018"/>
    <s v="Gara Aryani"/>
    <s v="Gang R.E Martadinata No. 969"/>
    <s v="Surabaya"/>
    <x v="0"/>
    <s v="E1036"/>
    <s v="Kenari Rajasa"/>
    <s v="Kenari Rajasa"/>
    <s v="Medium"/>
    <s v="DrawIt Colored Pencils, 48-Color Set"/>
    <x v="0"/>
    <s v="Wrap Bag"/>
    <s v="Regular Air"/>
    <n v="43241"/>
    <n v="323400"/>
    <n v="548250"/>
    <n v="224850"/>
    <n v="34"/>
    <n v="7644900"/>
    <n v="0.03"/>
    <n v="229347"/>
    <n v="7415553"/>
    <n v="5000"/>
    <n v="7420553"/>
  </r>
  <r>
    <s v="5790-1"/>
    <d v="2018-05-19T00:00:00"/>
    <n v="2018"/>
    <s v="Calista Ardianto"/>
    <s v="Jalan Kutai No. 503"/>
    <s v="Surabaya"/>
    <x v="3"/>
    <s v="E1039"/>
    <s v="Nabila Prakasa"/>
    <s v="Nabila Prakasa"/>
    <s v="Critical"/>
    <s v="Smiths Bulldog Clip"/>
    <x v="0"/>
    <s v="Wrap Bag"/>
    <s v="Regular Air"/>
    <n v="43241"/>
    <n v="34650"/>
    <n v="56700"/>
    <n v="22050"/>
    <n v="34"/>
    <n v="749700"/>
    <n v="0.03"/>
    <n v="22491"/>
    <n v="727209"/>
    <n v="5000"/>
    <n v="732209"/>
  </r>
  <r>
    <s v="5791-1"/>
    <d v="2018-05-22T00:00:00"/>
    <n v="2018"/>
    <s v="Nasim Purwanti"/>
    <s v="Jl. Cihampelas No. 4"/>
    <s v="Surabaya"/>
    <x v="3"/>
    <s v="E1038"/>
    <s v="Clara Prasetyo"/>
    <s v="Clara Prasetyo"/>
    <s v="Medium"/>
    <s v="TechSavi Cordless Elite Duo"/>
    <x v="1"/>
    <s v="Small Box"/>
    <s v="Regular Air"/>
    <n v="43253"/>
    <n v="908850"/>
    <n v="1514700"/>
    <n v="605850"/>
    <n v="13"/>
    <n v="7876050"/>
    <n v="0.04"/>
    <n v="315042"/>
    <n v="7561008"/>
    <n v="15000"/>
    <n v="7576008"/>
  </r>
  <r>
    <s v="5793-1"/>
    <d v="2018-05-23T00:00:00"/>
    <n v="2018"/>
    <s v="Gambira Suryono"/>
    <s v="Jl. Antapani Lama No. 705"/>
    <s v="Jakarta"/>
    <x v="3"/>
    <s v="E1028"/>
    <s v="Gaduh Pratama"/>
    <s v="Gaduh Pratama"/>
    <s v="Medium"/>
    <s v="Multimedia Mailers"/>
    <x v="0"/>
    <s v="Small Box"/>
    <s v="Regular Air"/>
    <n v="43245"/>
    <n v="1490850"/>
    <n v="2443950"/>
    <n v="953100"/>
    <n v="39"/>
    <n v="37170900"/>
    <n v="0.03"/>
    <n v="1115127"/>
    <n v="36055773"/>
    <n v="15000"/>
    <n v="36070773"/>
  </r>
  <r>
    <s v="5795-1"/>
    <d v="2018-05-24T00:00:00"/>
    <n v="2018"/>
    <s v="Arta Rahmawati"/>
    <s v="Jalan Lembong No. 9"/>
    <s v="Surabaya"/>
    <x v="2"/>
    <s v="E1032"/>
    <s v="Violet Mentari"/>
    <s v="Violet Mentari"/>
    <s v="Low"/>
    <s v="Alto Memo Cubes"/>
    <x v="0"/>
    <s v="Wrap Bag"/>
    <s v="Express Air"/>
    <n v="43251"/>
    <n v="49800"/>
    <n v="77700"/>
    <n v="27900"/>
    <n v="11"/>
    <n v="306900"/>
    <n v="0.06"/>
    <n v="18414"/>
    <n v="288486"/>
    <n v="10000"/>
    <n v="298486"/>
  </r>
  <r>
    <s v="5797-1"/>
    <d v="2018-05-27T00:00:00"/>
    <n v="2018"/>
    <s v="Nyana Suryatmi"/>
    <s v="Gg. Pacuan Kuda No. 49"/>
    <s v="Surabaya"/>
    <x v="1"/>
    <s v="E1037"/>
    <s v="Puti Nadine Prakasa"/>
    <s v="Puti Nadine Prakasa"/>
    <s v="Low"/>
    <s v="Apex Straight Scissors"/>
    <x v="0"/>
    <s v="Small Pack"/>
    <s v="Regular Air"/>
    <n v="43247"/>
    <n v="77850"/>
    <n v="194700"/>
    <n v="116850"/>
    <n v="50"/>
    <n v="5842500"/>
    <n v="0.08"/>
    <n v="467400"/>
    <n v="5375100"/>
    <n v="10000"/>
    <n v="5385100"/>
  </r>
  <r>
    <s v="5799-1"/>
    <d v="2018-05-27T00:00:00"/>
    <n v="2018"/>
    <s v="Bagus Astuti"/>
    <s v="Jalan Lembong No. 9"/>
    <s v="Surabaya"/>
    <x v="0"/>
    <s v="E1032"/>
    <s v="Violet Mentari"/>
    <s v="Violet Mentari"/>
    <s v="Not Specified"/>
    <s v="UGen Ultra Professional Cordless Optical Suite"/>
    <x v="1"/>
    <s v="Small Box"/>
    <s v="Regular Air"/>
    <n v="43248"/>
    <n v="2347500"/>
    <n v="4514550"/>
    <n v="2167050"/>
    <n v="41"/>
    <n v="88849050"/>
    <n v="0.1"/>
    <n v="8884905"/>
    <n v="79964145"/>
    <n v="15000"/>
    <n v="79979145"/>
  </r>
  <r>
    <s v="5800-1"/>
    <d v="2018-05-29T00:00:00"/>
    <n v="2018"/>
    <s v="Cawisono Mardhiyah"/>
    <s v="Gang Ahmad Yani No. 6"/>
    <s v="Surabaya"/>
    <x v="2"/>
    <s v="E1038"/>
    <s v="Clara Prasetyo"/>
    <s v="Clara Prasetyo"/>
    <s v="Medium"/>
    <s v="Alto Parchment Paper, Assorted Colors"/>
    <x v="0"/>
    <s v="Small Box"/>
    <s v="Express Air"/>
    <n v="43250"/>
    <n v="68850"/>
    <n v="109200"/>
    <n v="40350"/>
    <n v="5"/>
    <n v="201750"/>
    <n v="0.05"/>
    <n v="10087.5"/>
    <n v="191662.5"/>
    <n v="30000"/>
    <n v="221662.5"/>
  </r>
  <r>
    <s v="5801-1"/>
    <d v="2018-05-30T00:00:00"/>
    <n v="2018"/>
    <s v="Bahuwarna Winarsih"/>
    <s v="Jl. Pasir Koja No. 08"/>
    <s v="Bandung"/>
    <x v="0"/>
    <s v="E1041"/>
    <s v="Sari Winarno"/>
    <s v="Sari Winarno"/>
    <s v="Medium"/>
    <s v="Artisan Reinforcements for Hole-Punch Pages"/>
    <x v="0"/>
    <s v="Small Box"/>
    <s v="Regular Air"/>
    <n v="43251"/>
    <n v="17850"/>
    <n v="29700"/>
    <n v="11850"/>
    <n v="3"/>
    <n v="35550"/>
    <n v="0.05"/>
    <n v="1777.5"/>
    <n v="33772.5"/>
    <n v="15000"/>
    <n v="48772.5"/>
  </r>
  <r>
    <s v="5802-1"/>
    <d v="2018-06-01T00:00:00"/>
    <n v="2018"/>
    <s v="Eluh Usamah"/>
    <s v="Jalan Ciumbuleuit No. 76"/>
    <s v="Surabaya"/>
    <x v="1"/>
    <s v="E1039"/>
    <s v="Nabila Prakasa"/>
    <s v="Nabila Prakasa"/>
    <s v="Medium"/>
    <s v="Smiths SlimLine Pencil Sharpener"/>
    <x v="0"/>
    <s v="Small Pack"/>
    <s v="Regular Air"/>
    <n v="43254"/>
    <n v="71850"/>
    <n v="179550"/>
    <n v="107700"/>
    <n v="30"/>
    <n v="3231000"/>
    <n v="0.08"/>
    <n v="258480"/>
    <n v="2972520"/>
    <n v="10000"/>
    <n v="2982520"/>
  </r>
  <r>
    <s v="5803-1"/>
    <d v="2018-06-02T00:00:00"/>
    <n v="2018"/>
    <s v="Jayeng Wastuti"/>
    <s v="Jalan Kutai No. 503"/>
    <s v="Surabaya"/>
    <x v="1"/>
    <s v="E1039"/>
    <s v="Nabila Prakasa"/>
    <s v="Nabila Prakasa"/>
    <s v="High"/>
    <s v="Artisan Durable Binders"/>
    <x v="0"/>
    <s v="Small Box"/>
    <s v="Regular Air"/>
    <n v="43255"/>
    <n v="27600"/>
    <n v="43200"/>
    <n v="15600"/>
    <n v="22"/>
    <n v="343200"/>
    <n v="0.1"/>
    <n v="34320"/>
    <n v="308880"/>
    <n v="15000"/>
    <n v="323880"/>
  </r>
  <r>
    <s v="5804-1"/>
    <d v="2018-06-02T00:00:00"/>
    <n v="2018"/>
    <s v="Bakiadi Hassanah"/>
    <s v="Jalan Gedebage Selatan No. 048"/>
    <s v="Jakarta"/>
    <x v="0"/>
    <s v="E1029"/>
    <s v="Laras Nuraini"/>
    <s v="Laras Nuraini"/>
    <s v="High"/>
    <s v="Artisan Durable Poly Binders"/>
    <x v="0"/>
    <s v="Small Box"/>
    <s v="Regular Air"/>
    <n v="43256"/>
    <n v="50550"/>
    <n v="82950"/>
    <n v="32400"/>
    <n v="12"/>
    <n v="388800"/>
    <n v="0.06"/>
    <n v="23328"/>
    <n v="365472"/>
    <n v="15000"/>
    <n v="380472"/>
  </r>
  <r>
    <s v="5804-2"/>
    <d v="2018-06-02T00:00:00"/>
    <n v="2018"/>
    <s v="Bakiadi Hassanah"/>
    <s v="Jalan Gedebage Selatan No. 048"/>
    <s v="Jakarta"/>
    <x v="0"/>
    <s v="E1029"/>
    <s v="Laras Nuraini"/>
    <s v="Laras Nuraini"/>
    <s v="High"/>
    <s v="Artisan Hi-Liter Pen Style Six-Color Fluorescent Set"/>
    <x v="0"/>
    <s v="Wrap Bag"/>
    <s v="Regular Air"/>
    <n v="43254"/>
    <n v="32400.000000000004"/>
    <n v="57750"/>
    <n v="25349.999999999996"/>
    <n v="12"/>
    <n v="304199.99999999994"/>
    <n v="0.1"/>
    <n v="30419.999999999996"/>
    <n v="273779.99999999994"/>
    <n v="5000"/>
    <n v="278779.99999999994"/>
  </r>
  <r>
    <s v="5805-1"/>
    <d v="2018-06-07T00:00:00"/>
    <n v="2018"/>
    <s v="Juli Waluyo"/>
    <s v="Gg. Stasiun Wonokromo No. 324"/>
    <s v="Surabaya"/>
    <x v="0"/>
    <s v="E1034"/>
    <s v="Ophelia Mustofa"/>
    <s v="Ophelia Mustofa"/>
    <s v="Critical"/>
    <s v="Security-Tint Envelopes"/>
    <x v="0"/>
    <s v="Small Box"/>
    <s v="Regular Air"/>
    <n v="43261"/>
    <n v="73350"/>
    <n v="114600"/>
    <n v="41250"/>
    <n v="32"/>
    <n v="1320000"/>
    <n v="0.06"/>
    <n v="79200"/>
    <n v="1240800"/>
    <n v="15000"/>
    <n v="1255800"/>
  </r>
  <r>
    <s v="5806-1"/>
    <d v="2018-06-08T00:00:00"/>
    <n v="2018"/>
    <s v="Olga Usamah"/>
    <s v="Jalan S. Parman No. 88"/>
    <s v="Bandung"/>
    <x v="1"/>
    <s v="E1036"/>
    <s v="Kenari Rajasa"/>
    <s v="Kenari Rajasa"/>
    <s v="Medium"/>
    <s v="Assorted Color Push Pins"/>
    <x v="0"/>
    <s v="Wrap Bag"/>
    <s v="Regular Air"/>
    <n v="43260"/>
    <n v="13050"/>
    <n v="27150"/>
    <n v="14100"/>
    <n v="41"/>
    <n v="578100"/>
    <n v="0.03"/>
    <n v="17343"/>
    <n v="560757"/>
    <n v="5000"/>
    <n v="565757"/>
  </r>
  <r>
    <s v="5807-1"/>
    <d v="2018-06-08T00:00:00"/>
    <n v="2018"/>
    <s v="Lembah Rajasa"/>
    <s v="Jalan Raya Setiabudhi No. 595"/>
    <s v="Jakarta"/>
    <x v="3"/>
    <s v="E1029"/>
    <s v="Laras Nuraini"/>
    <s v="Laras Nuraini"/>
    <s v="Critical"/>
    <s v="Artisan 487 Labels"/>
    <x v="0"/>
    <s v="Small Box"/>
    <s v="Regular Air"/>
    <n v="43259"/>
    <n v="34350"/>
    <n v="55350"/>
    <n v="21000"/>
    <n v="12"/>
    <n v="252000"/>
    <n v="0.02"/>
    <n v="5040"/>
    <n v="246960"/>
    <n v="15000"/>
    <n v="261960"/>
  </r>
  <r>
    <s v="5809-1"/>
    <d v="2018-06-11T00:00:00"/>
    <n v="2018"/>
    <s v="Nilam Dabukke"/>
    <s v="Gg. Dr. Djunjunan No. 33"/>
    <s v="Surabaya"/>
    <x v="2"/>
    <s v="E1032"/>
    <s v="Violet Mentari"/>
    <s v="Violet Mentari"/>
    <s v="High"/>
    <s v="Artisan 474 Labels"/>
    <x v="0"/>
    <s v="Small Box"/>
    <s v="Express Air"/>
    <n v="43263"/>
    <n v="27600"/>
    <n v="43200"/>
    <n v="15600"/>
    <n v="9"/>
    <n v="140400"/>
    <n v="0"/>
    <n v="0"/>
    <n v="140400"/>
    <n v="30000"/>
    <n v="170400"/>
  </r>
  <r>
    <s v="5811-1"/>
    <d v="2018-06-13T00:00:00"/>
    <n v="2018"/>
    <s v="Mahmud Tarihoran"/>
    <s v="Gang H.J Maemunah No. 6"/>
    <s v="Surabaya"/>
    <x v="2"/>
    <s v="E1038"/>
    <s v="Clara Prasetyo"/>
    <s v="Clara Prasetyo"/>
    <s v="Low"/>
    <s v="TechSavi Access Keyboard"/>
    <x v="1"/>
    <s v="Small Box"/>
    <s v="Regular Air"/>
    <n v="43264"/>
    <n v="151050"/>
    <n v="239700"/>
    <n v="88650"/>
    <n v="26"/>
    <n v="2304900"/>
    <n v="0.01"/>
    <n v="23049"/>
    <n v="2281851"/>
    <n v="15000"/>
    <n v="2296851"/>
  </r>
  <r>
    <s v="5813-1"/>
    <d v="2018-06-14T00:00:00"/>
    <n v="2018"/>
    <s v="Rahmat Handayani"/>
    <s v="Gang Asia Afrika No. 72"/>
    <s v="Surabaya"/>
    <x v="1"/>
    <s v="E1037"/>
    <s v="Puti Nadine Prakasa"/>
    <s v="Puti Nadine Prakasa"/>
    <s v="Medium"/>
    <s v="Artisan Hole Reinforcements"/>
    <x v="0"/>
    <s v="Small Box"/>
    <s v="Express Air"/>
    <n v="43266"/>
    <n v="59850"/>
    <n v="93450"/>
    <n v="33600"/>
    <n v="4"/>
    <n v="134400"/>
    <n v="0.1"/>
    <n v="13440"/>
    <n v="120960"/>
    <n v="30000"/>
    <n v="150960"/>
  </r>
  <r>
    <s v="5814-1"/>
    <d v="2018-06-14T00:00:00"/>
    <n v="2018"/>
    <s v="Najwa Usamah"/>
    <s v="Gg. Joyoboyo No. 8"/>
    <s v="Jakarta"/>
    <x v="2"/>
    <s v="E1028"/>
    <s v="Gaduh Pratama"/>
    <s v="Gaduh Pratama"/>
    <s v="Critical"/>
    <s v="Steady Colorific Colored Pencils, 12/Box"/>
    <x v="0"/>
    <s v="Wrap Bag"/>
    <s v="Regular Air"/>
    <n v="43267"/>
    <n v="19500"/>
    <n v="43200"/>
    <n v="23700"/>
    <n v="43"/>
    <n v="1019100"/>
    <n v="0.1"/>
    <n v="101910"/>
    <n v="917190"/>
    <n v="5000"/>
    <n v="922190"/>
  </r>
  <r>
    <s v="5815-1"/>
    <d v="2018-06-15T00:00:00"/>
    <n v="2018"/>
    <s v="Danuja Prayoga"/>
    <s v="Gg. Pacuan Kuda No. 49"/>
    <s v="Surabaya"/>
    <x v="0"/>
    <s v="E1037"/>
    <s v="Puti Nadine Prakasa"/>
    <s v="Puti Nadine Prakasa"/>
    <s v="High"/>
    <s v="Lumi Crayons"/>
    <x v="0"/>
    <s v="Wrap Bag"/>
    <s v="Regular Air"/>
    <n v="43267"/>
    <n v="78300"/>
    <n v="147750"/>
    <n v="69450"/>
    <n v="41"/>
    <n v="2847450"/>
    <n v="0.05"/>
    <n v="142372.5"/>
    <n v="2705077.5"/>
    <n v="5000"/>
    <n v="2710077.5"/>
  </r>
  <r>
    <s v="5816-1"/>
    <d v="2018-06-16T00:00:00"/>
    <n v="2018"/>
    <s v="Warsita Nurdiyanti"/>
    <s v="Gang Medokan Ayu No. 764"/>
    <s v="Surabaya"/>
    <x v="1"/>
    <s v="E1038"/>
    <s v="Clara Prasetyo"/>
    <s v="Clara Prasetyo"/>
    <s v="High"/>
    <s v="Artisan Hi-Liter Pen Style Six-Color Fluorescent Set"/>
    <x v="0"/>
    <s v="Wrap Bag"/>
    <s v="Regular Air"/>
    <n v="43269"/>
    <n v="32400.000000000004"/>
    <n v="57750"/>
    <n v="25349.999999999996"/>
    <n v="4"/>
    <n v="101399.99999999999"/>
    <n v="0.09"/>
    <n v="9125.9999999999982"/>
    <n v="92273.999999999985"/>
    <n v="5000"/>
    <n v="97273.999999999985"/>
  </r>
  <r>
    <s v="5818-1"/>
    <d v="2018-06-18T00:00:00"/>
    <n v="2018"/>
    <s v="Luwar Yuniar"/>
    <s v="Jalan R.E Martadinata No. 6"/>
    <s v="Jakarta"/>
    <x v="3"/>
    <s v="E1029"/>
    <s v="Laras Nuraini"/>
    <s v="Laras Nuraini"/>
    <s v="High"/>
    <s v="Artisan Printable Repositionable Plastic Tabs"/>
    <x v="0"/>
    <s v="Small Box"/>
    <s v="Regular Air"/>
    <n v="43270"/>
    <n v="79950"/>
    <n v="129000"/>
    <n v="49050"/>
    <n v="2"/>
    <n v="98100"/>
    <n v="0.05"/>
    <n v="4905"/>
    <n v="93195"/>
    <n v="15000"/>
    <n v="108195"/>
  </r>
  <r>
    <s v="5819-1"/>
    <d v="2018-06-23T00:00:00"/>
    <n v="2018"/>
    <s v="Paiman Uwais"/>
    <s v="Gang Gedebage Selatan No. 1"/>
    <s v="Surabaya"/>
    <x v="3"/>
    <s v="E1036"/>
    <s v="Kenari Rajasa"/>
    <s v="Kenari Rajasa"/>
    <s v="High"/>
    <s v="Steady Major Accent Highlighters"/>
    <x v="0"/>
    <s v="Wrap Bag"/>
    <s v="Regular Air"/>
    <n v="43275"/>
    <n v="56250"/>
    <n v="106200"/>
    <n v="49950"/>
    <n v="12"/>
    <n v="599400"/>
    <n v="0.1"/>
    <n v="59940"/>
    <n v="539460"/>
    <n v="5000"/>
    <n v="544460"/>
  </r>
  <r>
    <s v="5821-1"/>
    <d v="2018-06-24T00:00:00"/>
    <n v="2018"/>
    <s v="Mahdi Rajata"/>
    <s v="Jl. Pasir Koja No. 059"/>
    <s v="Surabaya"/>
    <x v="0"/>
    <s v="E1032"/>
    <s v="Violet Mentari"/>
    <s v="Violet Mentari"/>
    <s v="Critical"/>
    <s v="Artisan 481 Labels"/>
    <x v="0"/>
    <s v="Small Box"/>
    <s v="Regular Air"/>
    <n v="43276"/>
    <n v="29100"/>
    <n v="46200"/>
    <n v="17100"/>
    <n v="4"/>
    <n v="68400"/>
    <n v="0.03"/>
    <n v="2052"/>
    <n v="66348"/>
    <n v="15000"/>
    <n v="81348"/>
  </r>
  <r>
    <s v="5822-1"/>
    <d v="2018-06-27T00:00:00"/>
    <n v="2018"/>
    <s v="Nasim Purwanti"/>
    <s v="Jl. Cihampelas No. 4"/>
    <s v="Surabaya"/>
    <x v="2"/>
    <s v="E1038"/>
    <s v="Clara Prasetyo"/>
    <s v="Clara Prasetyo"/>
    <s v="High"/>
    <s v="Self-Adhesive Ring Binder Labels"/>
    <x v="0"/>
    <s v="Small Box"/>
    <s v="Regular Air"/>
    <n v="43280"/>
    <n v="32700.000000000004"/>
    <n v="52800"/>
    <n v="20099.999999999996"/>
    <n v="49"/>
    <n v="984899.99999999977"/>
    <n v="0.08"/>
    <n v="78791.999999999985"/>
    <n v="906107.99999999977"/>
    <n v="15000"/>
    <n v="921107.99999999977"/>
  </r>
  <r>
    <s v="5824-1"/>
    <d v="2018-06-28T00:00:00"/>
    <n v="2018"/>
    <s v="Nilam Latupono"/>
    <s v="Jalan Jamika No. 4"/>
    <s v="Surabaya"/>
    <x v="0"/>
    <s v="E1033"/>
    <s v="Paiman Firgantoro"/>
    <s v="Paiman Firgantoro"/>
    <s v="Not Specified"/>
    <s v="Emerson Stylus 1520 Color Inkjet Printer"/>
    <x v="1"/>
    <s v="Jumbo Drum"/>
    <s v="Delivery Truck"/>
    <n v="43280"/>
    <n v="4734150"/>
    <n v="7514550"/>
    <n v="2780400"/>
    <n v="3"/>
    <n v="8341200"/>
    <n v="0.06"/>
    <n v="500472"/>
    <n v="7840728"/>
    <n v="500000"/>
    <n v="8340728"/>
  </r>
  <r>
    <s v="5826-1"/>
    <d v="2018-06-28T00:00:00"/>
    <n v="2018"/>
    <s v="Yoga Damanik"/>
    <s v="Jalan R.E Martadinata No. 6"/>
    <s v="Jakarta"/>
    <x v="3"/>
    <s v="E1029"/>
    <s v="Laras Nuraini"/>
    <s v="Laras Nuraini"/>
    <s v="High"/>
    <s v="Multi-Use Personal File Cart and Caster Set, Three Stacking Bins"/>
    <x v="0"/>
    <s v="Small Box"/>
    <s v="Regular Air"/>
    <n v="43279"/>
    <n v="224250"/>
    <n v="521399.99999999994"/>
    <n v="297149.99999999994"/>
    <n v="43"/>
    <n v="12777449.999999998"/>
    <n v="0"/>
    <n v="0"/>
    <n v="12777449.999999998"/>
    <n v="15000"/>
    <n v="12792449.999999998"/>
  </r>
  <r>
    <s v="5829-1"/>
    <d v="2018-06-29T00:00:00"/>
    <n v="2018"/>
    <s v="Lukita Lestari"/>
    <s v="Jalan R.E Martadinata No. 6"/>
    <s v="Jakarta"/>
    <x v="2"/>
    <s v="E1029"/>
    <s v="Laras Nuraini"/>
    <s v="Laras Nuraini"/>
    <s v="Medium"/>
    <s v="Xit Blank Computer Paper"/>
    <x v="0"/>
    <s v="Small Box"/>
    <s v="Regular Air"/>
    <n v="43280"/>
    <n v="185850"/>
    <n v="299700"/>
    <n v="113850"/>
    <n v="32"/>
    <n v="3643200"/>
    <n v="0.05"/>
    <n v="182160"/>
    <n v="3461040"/>
    <n v="15000"/>
    <n v="3476040"/>
  </r>
  <r>
    <s v="5831-1"/>
    <d v="2018-06-30T00:00:00"/>
    <n v="2018"/>
    <s v="Cakrajiya Sihombing"/>
    <s v="Gang Otto Iskandardinata No. 167"/>
    <s v="Surabaya"/>
    <x v="1"/>
    <s v="E1037"/>
    <s v="Puti Nadine Prakasa"/>
    <s v="Puti Nadine Prakasa"/>
    <s v="Critical"/>
    <s v="Apex Design Stainless Steel Bent Scissors"/>
    <x v="0"/>
    <s v="Small Pack"/>
    <s v="Regular Air"/>
    <n v="43284"/>
    <n v="43050"/>
    <n v="102600"/>
    <n v="59550"/>
    <n v="35"/>
    <n v="2084250"/>
    <n v="0.02"/>
    <n v="41685"/>
    <n v="2042565"/>
    <n v="10000"/>
    <n v="2052565"/>
  </r>
  <r>
    <s v="5832-1"/>
    <d v="2018-07-02T00:00:00"/>
    <n v="2018"/>
    <s v="Putu Suwarno"/>
    <s v="Jalan R.E Martadinata No. 6"/>
    <s v="Jakarta"/>
    <x v="3"/>
    <s v="E1029"/>
    <s v="Laras Nuraini"/>
    <s v="Laras Nuraini"/>
    <s v="Critical"/>
    <s v="Alto Keyboard-In-A-Box"/>
    <x v="1"/>
    <s v="Small Box"/>
    <s v="Express Air"/>
    <n v="43284"/>
    <n v="96000"/>
    <n v="436500"/>
    <n v="340500"/>
    <n v="50"/>
    <n v="17025000"/>
    <n v="0.09"/>
    <n v="1532250"/>
    <n v="15492750"/>
    <n v="30000"/>
    <n v="15522750"/>
  </r>
  <r>
    <s v="5833-1"/>
    <d v="2018-07-03T00:00:00"/>
    <n v="2018"/>
    <s v="Cengkal Prastuti"/>
    <s v="Gang Setiabudhi No. 1"/>
    <s v="Bandung"/>
    <x v="3"/>
    <s v="E1036"/>
    <s v="Kenari Rajasa"/>
    <s v="Kenari Rajasa"/>
    <s v="Low"/>
    <s v="Aluminum Document Frame"/>
    <x v="2"/>
    <s v="Small Pack"/>
    <s v="Regular Air"/>
    <n v="43291"/>
    <n v="82500"/>
    <n v="183300"/>
    <n v="100800"/>
    <n v="5"/>
    <n v="504000"/>
    <n v="0.04"/>
    <n v="20160"/>
    <n v="483840"/>
    <n v="10000"/>
    <n v="493840"/>
  </r>
  <r>
    <s v="5834-1"/>
    <d v="2018-07-03T00:00:00"/>
    <n v="2018"/>
    <s v="Ajiman Mandasari"/>
    <s v="Jl. Rumah Sakit No. 738"/>
    <s v="Jakarta"/>
    <x v="3"/>
    <s v="E1028"/>
    <s v="Gaduh Pratama"/>
    <s v="Gaduh Pratama"/>
    <s v="Critical"/>
    <s v="Steady Major Accent Highlighters"/>
    <x v="0"/>
    <s v="Wrap Bag"/>
    <s v="Regular Air"/>
    <n v="43285"/>
    <n v="56250"/>
    <n v="106200"/>
    <n v="49950"/>
    <n v="31"/>
    <n v="1548450"/>
    <n v="0.01"/>
    <n v="15484.5"/>
    <n v="1532965.5"/>
    <n v="5000"/>
    <n v="1537965.5"/>
  </r>
  <r>
    <s v="5835-1"/>
    <d v="2018-07-04T00:00:00"/>
    <n v="2018"/>
    <s v="Hilda Sihotang"/>
    <s v="Jl. S. Parman No. 38"/>
    <s v="Surabaya"/>
    <x v="0"/>
    <s v="E1033"/>
    <s v="Paiman Firgantoro"/>
    <s v="Paiman Firgantoro"/>
    <s v="High"/>
    <s v="Alto Parchment Paper, Assorted Colors"/>
    <x v="0"/>
    <s v="Small Box"/>
    <s v="Express Air"/>
    <n v="43286"/>
    <n v="68850"/>
    <n v="109200"/>
    <n v="40350"/>
    <n v="40"/>
    <n v="1614000"/>
    <n v="0.04"/>
    <n v="64560"/>
    <n v="1549440"/>
    <n v="30000"/>
    <n v="1579440"/>
  </r>
  <r>
    <s v="5837-1"/>
    <d v="2018-07-06T00:00:00"/>
    <n v="2018"/>
    <s v="Kezia Astuti"/>
    <s v="Jl. Rumah Sakit No. 65"/>
    <s v="Surabaya"/>
    <x v="1"/>
    <s v="E1030"/>
    <s v="Cinthia Gunawan"/>
    <s v="Cinthia Gunawan"/>
    <s v="Medium"/>
    <s v="Artisan Durable Poly Binders"/>
    <x v="0"/>
    <s v="Small Box"/>
    <s v="Regular Air"/>
    <n v="43289"/>
    <n v="50550"/>
    <n v="82950"/>
    <n v="32400"/>
    <n v="23"/>
    <n v="745200"/>
    <n v="0.1"/>
    <n v="74520"/>
    <n v="670680"/>
    <n v="15000"/>
    <n v="685680"/>
  </r>
  <r>
    <s v="5838-1"/>
    <d v="2018-07-06T00:00:00"/>
    <n v="2018"/>
    <s v="Ilyas Najmudin"/>
    <s v="Gg. Otto Iskandardinata No. 6"/>
    <s v="Jakarta"/>
    <x v="1"/>
    <s v="E1028"/>
    <s v="Gaduh Pratama"/>
    <s v="Gaduh Pratama"/>
    <s v="Critical"/>
    <s v="Smiths Standard Envelopes"/>
    <x v="0"/>
    <s v="Small Box"/>
    <s v="Regular Air"/>
    <n v="43288"/>
    <n v="52800"/>
    <n v="85200"/>
    <n v="32400"/>
    <n v="8"/>
    <n v="259200"/>
    <n v="0.02"/>
    <n v="5184"/>
    <n v="254016"/>
    <n v="15000"/>
    <n v="269016"/>
  </r>
  <r>
    <s v="5840-1"/>
    <d v="2018-07-07T00:00:00"/>
    <n v="2018"/>
    <s v="Darmaji Rajasa"/>
    <s v="Jl. Rumah Sakit No. 738"/>
    <s v="Jakarta"/>
    <x v="0"/>
    <s v="E1028"/>
    <s v="Gaduh Pratama"/>
    <s v="Gaduh Pratama"/>
    <s v="Not Specified"/>
    <s v="1726 Digital Answering Machine"/>
    <x v="1"/>
    <s v="Medium Box"/>
    <s v="Regular Air"/>
    <n v="43290"/>
    <n v="132300"/>
    <n v="314850"/>
    <n v="182550"/>
    <n v="45"/>
    <n v="8214750"/>
    <n v="0.03"/>
    <n v="246442.5"/>
    <n v="7968307.5"/>
    <n v="20000"/>
    <n v="7988307.5"/>
  </r>
  <r>
    <s v="5841-1"/>
    <d v="2018-07-07T00:00:00"/>
    <n v="2018"/>
    <s v="Cakrajiya Sihombing"/>
    <s v="Gang Otto Iskandardinata No. 167"/>
    <s v="Surabaya"/>
    <x v="1"/>
    <s v="E1037"/>
    <s v="Puti Nadine Prakasa"/>
    <s v="Puti Nadine Prakasa"/>
    <s v="Not Specified"/>
    <s v="Pizazz Drawing Pencil Set"/>
    <x v="0"/>
    <s v="Wrap Bag"/>
    <s v="Express Air"/>
    <n v="43290"/>
    <n v="22950"/>
    <n v="41700"/>
    <n v="18750"/>
    <n v="34"/>
    <n v="637500"/>
    <n v="0"/>
    <n v="0"/>
    <n v="637500"/>
    <n v="10000"/>
    <n v="647500"/>
  </r>
  <r>
    <s v="5842-1"/>
    <d v="2018-07-12T00:00:00"/>
    <n v="2018"/>
    <s v="Asirwanda Rahimah"/>
    <s v="Gg. M.H Thamrin No. 784"/>
    <s v="Jakarta"/>
    <x v="3"/>
    <s v="E1029"/>
    <s v="Laras Nuraini"/>
    <s v="Laras Nuraini"/>
    <s v="Medium"/>
    <s v="UGen Ultra Cordless Optical Suite"/>
    <x v="1"/>
    <s v="Small Box"/>
    <s v="Regular Air"/>
    <n v="43295"/>
    <n v="817800"/>
    <n v="1514550"/>
    <n v="696750"/>
    <n v="13"/>
    <n v="9057750"/>
    <n v="0.06"/>
    <n v="543465"/>
    <n v="8514285"/>
    <n v="15000"/>
    <n v="8529285"/>
  </r>
  <r>
    <s v="5843-1"/>
    <d v="2018-07-17T00:00:00"/>
    <n v="2018"/>
    <s v="Najwa Najmudin"/>
    <s v="Gang Kebonjati No. 827"/>
    <s v="Bandung"/>
    <x v="0"/>
    <s v="E1033"/>
    <s v="Paiman Firgantoro"/>
    <s v="Paiman Firgantoro"/>
    <s v="Medium"/>
    <s v="Cando S750 Color Inkjet Printer"/>
    <x v="1"/>
    <s v="Jumbo Drum"/>
    <s v="Delivery Truck"/>
    <n v="43299"/>
    <n v="1125000"/>
    <n v="1814550"/>
    <n v="689550"/>
    <n v="38"/>
    <n v="26202900"/>
    <n v="0.09"/>
    <n v="2358261"/>
    <n v="23844639"/>
    <n v="500000"/>
    <n v="24344639"/>
  </r>
  <r>
    <s v="5845-1"/>
    <d v="2018-07-17T00:00:00"/>
    <n v="2018"/>
    <s v="Rizki Purnawati"/>
    <s v="Gang Monginsidi No. 138"/>
    <s v="Jakarta"/>
    <x v="3"/>
    <s v="E1029"/>
    <s v="Laras Nuraini"/>
    <s v="Laras Nuraini"/>
    <s v="High"/>
    <s v="Unpadded Memo Slips"/>
    <x v="0"/>
    <s v="Wrap Bag"/>
    <s v="Regular Air"/>
    <n v="43299"/>
    <n v="38850"/>
    <n v="59700"/>
    <n v="20850"/>
    <n v="2"/>
    <n v="41700"/>
    <n v="0.04"/>
    <n v="1668"/>
    <n v="40032"/>
    <n v="5000"/>
    <n v="45032"/>
  </r>
  <r>
    <s v="5847-1"/>
    <d v="2018-07-21T00:00:00"/>
    <n v="2018"/>
    <s v="Hendri Fujiati"/>
    <s v="Jl. Raya Ujungberung No. 86"/>
    <s v="Bandung"/>
    <x v="0"/>
    <s v="E1041"/>
    <s v="Sari Winarno"/>
    <s v="Sari Winarno"/>
    <s v="Critical"/>
    <s v="Artisan Durable Poly Binders"/>
    <x v="0"/>
    <s v="Small Box"/>
    <s v="Regular Air"/>
    <n v="43303"/>
    <n v="50550"/>
    <n v="82950"/>
    <n v="32400"/>
    <n v="9"/>
    <n v="291600"/>
    <n v="0.09"/>
    <n v="26244"/>
    <n v="265356"/>
    <n v="15000"/>
    <n v="280356"/>
  </r>
  <r>
    <s v="5848-1"/>
    <d v="2018-07-21T00:00:00"/>
    <n v="2018"/>
    <s v="Danuja Rajasa"/>
    <s v="Jl. Pasir Koja No. 64"/>
    <s v="Surabaya"/>
    <x v="3"/>
    <s v="E1032"/>
    <s v="Violet Mentari"/>
    <s v="Violet Mentari"/>
    <s v="Not Specified"/>
    <s v="Wirebound Message Book, 4 per Page"/>
    <x v="0"/>
    <s v="Wrap Bag"/>
    <s v="Regular Air"/>
    <n v="43303"/>
    <n v="52200"/>
    <n v="81450"/>
    <n v="29250"/>
    <n v="13"/>
    <n v="380250"/>
    <n v="0.02"/>
    <n v="7605"/>
    <n v="372645"/>
    <n v="5000"/>
    <n v="377645"/>
  </r>
  <r>
    <s v="5850-1"/>
    <d v="2018-07-23T00:00:00"/>
    <n v="2018"/>
    <s v="Hafshah Utami"/>
    <s v="Jl. HOS. Cokroaminoto No. 1"/>
    <s v="Surabaya"/>
    <x v="2"/>
    <s v="E1039"/>
    <s v="Nabila Prakasa"/>
    <s v="Nabila Prakasa"/>
    <s v="High"/>
    <s v="Alto Six-Outlet Power Strip, 4 Cord Length"/>
    <x v="0"/>
    <s v="Small Box"/>
    <s v="Regular Air"/>
    <n v="43307"/>
    <n v="52950"/>
    <n v="129299.99999999999"/>
    <n v="76349.999999999985"/>
    <n v="50"/>
    <n v="3817499.9999999991"/>
    <n v="7.0000000000000007E-2"/>
    <n v="267224.99999999994"/>
    <n v="3550274.9999999991"/>
    <n v="15000"/>
    <n v="3565274.9999999991"/>
  </r>
  <r>
    <s v="5852-1"/>
    <d v="2018-07-23T00:00:00"/>
    <n v="2018"/>
    <s v="Anggabaya Palastri"/>
    <s v="Gang Cikapayang No. 055"/>
    <s v="Surabaya"/>
    <x v="1"/>
    <s v="E1040"/>
    <s v="Sutan Tirtayasa Wasita"/>
    <s v="Sutan Tirtayasa Wasita"/>
    <s v="Critical"/>
    <s v="Pizazz Drawing Pencil Set"/>
    <x v="0"/>
    <s v="Wrap Bag"/>
    <s v="Regular Air"/>
    <n v="43305"/>
    <n v="22950"/>
    <n v="41700"/>
    <n v="18750"/>
    <n v="19"/>
    <n v="356250"/>
    <n v="0.06"/>
    <n v="21375"/>
    <n v="334875"/>
    <n v="5000"/>
    <n v="339875"/>
  </r>
  <r>
    <s v="5854-1"/>
    <d v="2018-07-24T00:00:00"/>
    <n v="2018"/>
    <s v="Limar Laksmiwati"/>
    <s v="Gang Gedebage Selatan No. 1"/>
    <s v="Bandung"/>
    <x v="3"/>
    <s v="E1039"/>
    <s v="Nabila Prakasa"/>
    <s v="Nabila Prakasa"/>
    <s v="Medium"/>
    <s v="TechSavi Access Keyboard"/>
    <x v="1"/>
    <s v="Small Box"/>
    <s v="Regular Air"/>
    <n v="43306"/>
    <n v="151050"/>
    <n v="239700"/>
    <n v="88650"/>
    <n v="40"/>
    <n v="3546000"/>
    <n v="0.01"/>
    <n v="35460"/>
    <n v="3510540"/>
    <n v="15000"/>
    <n v="3525540"/>
  </r>
  <r>
    <s v="5856-1"/>
    <d v="2018-07-26T00:00:00"/>
    <n v="2018"/>
    <s v="Marwata Fujiati"/>
    <s v="Gang Dipatiukur No. 24"/>
    <s v="Surabaya"/>
    <x v="1"/>
    <s v="E1034"/>
    <s v="Ophelia Mustofa"/>
    <s v="Ophelia Mustofa"/>
    <s v="High"/>
    <s v="Artisan Hi-Liter Pen Style Six-Color Fluorescent Set"/>
    <x v="0"/>
    <s v="Wrap Bag"/>
    <s v="Regular Air"/>
    <n v="43308"/>
    <n v="32400.000000000004"/>
    <n v="57750"/>
    <n v="25349.999999999996"/>
    <n v="42"/>
    <n v="1064699.9999999998"/>
    <n v="0.01"/>
    <n v="10646.999999999998"/>
    <n v="1054052.9999999998"/>
    <n v="5000"/>
    <n v="1059052.9999999998"/>
  </r>
  <r>
    <s v="5857-1"/>
    <d v="2018-07-31T00:00:00"/>
    <n v="2018"/>
    <s v="Bakiono Wahyuni"/>
    <s v="Jl. Rumah Sakit No. 738"/>
    <s v="Jakarta"/>
    <x v="1"/>
    <s v="E1028"/>
    <s v="Gaduh Pratama"/>
    <s v="Gaduh Pratama"/>
    <s v="Medium"/>
    <s v="Artisan Durable Poly Binders"/>
    <x v="0"/>
    <s v="Small Box"/>
    <s v="Regular Air"/>
    <n v="43313"/>
    <n v="50550"/>
    <n v="82950"/>
    <n v="32400"/>
    <n v="30"/>
    <n v="972000"/>
    <n v="0.01"/>
    <n v="9720"/>
    <n v="962280"/>
    <n v="15000"/>
    <n v="977280"/>
  </r>
  <r>
    <s v="5859-1"/>
    <d v="2018-07-31T00:00:00"/>
    <n v="2018"/>
    <s v="Galuh Zulaika"/>
    <s v="Jalan Otto Iskandardinata No. 1"/>
    <s v="Jakarta"/>
    <x v="1"/>
    <s v="E1029"/>
    <s v="Laras Nuraini"/>
    <s v="Laras Nuraini"/>
    <s v="Medium"/>
    <s v="Artisan Durable Poly Binders"/>
    <x v="0"/>
    <s v="Small Box"/>
    <s v="Regular Air"/>
    <n v="43313"/>
    <n v="50550"/>
    <n v="82950"/>
    <n v="32400"/>
    <n v="27"/>
    <n v="874800"/>
    <n v="0.04"/>
    <n v="34992"/>
    <n v="839808"/>
    <n v="15000"/>
    <n v="854808"/>
  </r>
  <r>
    <s v="5861-1"/>
    <d v="2018-07-31T00:00:00"/>
    <n v="2018"/>
    <s v="Jayadi Safitri"/>
    <s v="Gg. Setiabudhi No. 32"/>
    <s v="Surabaya"/>
    <x v="3"/>
    <s v="E1040"/>
    <s v="Sutan Tirtayasa Wasita"/>
    <s v="Sutan Tirtayasa Wasita"/>
    <s v="Medium"/>
    <s v="Binder Posts"/>
    <x v="0"/>
    <s v="Small Box"/>
    <s v="Regular Air"/>
    <n v="43312"/>
    <n v="52500"/>
    <n v="86100"/>
    <n v="33600"/>
    <n v="23"/>
    <n v="772800"/>
    <n v="0.06"/>
    <n v="46368"/>
    <n v="726432"/>
    <n v="15000"/>
    <n v="741432"/>
  </r>
  <r>
    <s v="5863-1"/>
    <d v="2018-08-01T00:00:00"/>
    <n v="2018"/>
    <s v="Cengkal Prastuti"/>
    <s v="Gang Setiabudhi No. 1"/>
    <s v="Bandung"/>
    <x v="1"/>
    <s v="E1036"/>
    <s v="Kenari Rajasa"/>
    <s v="Kenari Rajasa"/>
    <s v="Not Specified"/>
    <s v="Beekin 105-Key Black Keyboard"/>
    <x v="1"/>
    <s v="Small Box"/>
    <s v="Express Air"/>
    <n v="43313"/>
    <n v="95850"/>
    <n v="299700"/>
    <n v="203850"/>
    <n v="6"/>
    <n v="1223100"/>
    <n v="0.08"/>
    <n v="97848"/>
    <n v="1125252"/>
    <n v="30000"/>
    <n v="1155252"/>
  </r>
  <r>
    <s v="5865-1"/>
    <d v="2018-08-02T00:00:00"/>
    <n v="2018"/>
    <s v="Ratna Sitorus"/>
    <s v="Gang Sadang Serang No. 74"/>
    <s v="Surabaya"/>
    <x v="1"/>
    <s v="E1039"/>
    <s v="Nabila Prakasa"/>
    <s v="Nabila Prakasa"/>
    <s v="High"/>
    <s v="Artisan Hi-Liter Smear-Safe Highlighters"/>
    <x v="0"/>
    <s v="Wrap Bag"/>
    <s v="Express Air"/>
    <n v="43316"/>
    <n v="44700"/>
    <n v="87600"/>
    <n v="42900"/>
    <n v="12"/>
    <n v="514800"/>
    <n v="0.02"/>
    <n v="10296"/>
    <n v="504504"/>
    <n v="10000"/>
    <n v="514504"/>
  </r>
  <r>
    <s v="5867-1"/>
    <d v="2018-08-05T00:00:00"/>
    <n v="2018"/>
    <s v="Yuni Wastuti"/>
    <s v="Jl. S. Parman No. 91"/>
    <s v="Surabaya"/>
    <x v="3"/>
    <s v="E1034"/>
    <s v="Ophelia Mustofa"/>
    <s v="Ophelia Mustofa"/>
    <s v="High"/>
    <s v="HFX LaserJet 3310 Copier"/>
    <x v="1"/>
    <s v="Large Box"/>
    <s v="Regular Air"/>
    <n v="43317"/>
    <n v="5669850"/>
    <n v="8999850"/>
    <n v="3330000"/>
    <n v="50"/>
    <n v="166500000"/>
    <n v="0.09"/>
    <n v="14985000"/>
    <n v="151515000"/>
    <n v="50000"/>
    <n v="151565000"/>
  </r>
  <r>
    <s v="5868-1"/>
    <d v="2018-08-06T00:00:00"/>
    <n v="2018"/>
    <s v="Wani Astuti"/>
    <s v="Gg. Siliwangi No. 82"/>
    <s v="Surabaya"/>
    <x v="1"/>
    <s v="E1036"/>
    <s v="Kenari Rajasa"/>
    <s v="Kenari Rajasa"/>
    <s v="Low"/>
    <s v="Artisan Hi-Liter Fluorescent Desk Style Markers"/>
    <x v="0"/>
    <s v="Wrap Bag"/>
    <s v="Regular Air"/>
    <n v="43318"/>
    <n v="26400"/>
    <n v="50700"/>
    <n v="24300"/>
    <n v="31"/>
    <n v="753300"/>
    <n v="0.04"/>
    <n v="30132"/>
    <n v="723168"/>
    <n v="5000"/>
    <n v="728168"/>
  </r>
  <r>
    <s v="5869-1"/>
    <d v="2018-08-07T00:00:00"/>
    <n v="2018"/>
    <s v="Galar Nasyidah"/>
    <s v="Gg. Monginsidi No. 3"/>
    <s v="Jakarta"/>
    <x v="3"/>
    <s v="E1029"/>
    <s v="Laras Nuraini"/>
    <s v="Laras Nuraini"/>
    <s v="Critical"/>
    <s v="Bagged Rubber Bands"/>
    <x v="0"/>
    <s v="Wrap Bag"/>
    <s v="Regular Air"/>
    <n v="43320"/>
    <n v="3600"/>
    <n v="18900"/>
    <n v="15300"/>
    <n v="35"/>
    <n v="535500"/>
    <n v="0.1"/>
    <n v="53550"/>
    <n v="481950"/>
    <n v="5000"/>
    <n v="486950"/>
  </r>
  <r>
    <s v="5869-2"/>
    <d v="2018-08-07T00:00:00"/>
    <n v="2018"/>
    <s v="Galar Nasyidah"/>
    <s v="Gg. Monginsidi No. 3"/>
    <s v="Jakarta"/>
    <x v="3"/>
    <s v="E1029"/>
    <s v="Laras Nuraini"/>
    <s v="Laras Nuraini"/>
    <s v="Critical"/>
    <s v="DrawIt Pizazz Watercolor Pencils, 10-Color Set with Brush"/>
    <x v="0"/>
    <s v="Wrap Bag"/>
    <s v="Regular Air"/>
    <n v="43321"/>
    <n v="35850"/>
    <n v="63900"/>
    <n v="28050"/>
    <n v="8"/>
    <n v="224400"/>
    <n v="0.1"/>
    <n v="22440"/>
    <n v="201960"/>
    <n v="5000"/>
    <n v="206960"/>
  </r>
  <r>
    <s v="5870-1"/>
    <d v="2018-08-07T00:00:00"/>
    <n v="2018"/>
    <s v="Lembah Saragih"/>
    <s v="Gg. Monginsidi No. 3"/>
    <s v="Jakarta"/>
    <x v="3"/>
    <s v="E1029"/>
    <s v="Laras Nuraini"/>
    <s v="Laras Nuraini"/>
    <s v="Critical"/>
    <s v="Cando PC940 Copier"/>
    <x v="1"/>
    <s v="Large Box"/>
    <s v="Regular Air"/>
    <n v="43321"/>
    <n v="3240000"/>
    <n v="6749850"/>
    <n v="3509850"/>
    <n v="2"/>
    <n v="7019700"/>
    <n v="0.08"/>
    <n v="561576"/>
    <n v="6458124"/>
    <n v="50000"/>
    <n v="6508124"/>
  </r>
  <r>
    <s v="5871-1"/>
    <d v="2018-08-08T00:00:00"/>
    <n v="2018"/>
    <s v="Daliman Pranowo"/>
    <s v="Gg. Merdeka No. 97"/>
    <s v="Bandung"/>
    <x v="1"/>
    <s v="E1039"/>
    <s v="Nabila Prakasa"/>
    <s v="Nabila Prakasa"/>
    <s v="Critical"/>
    <s v="1726 Digital Answering Machine"/>
    <x v="1"/>
    <s v="Medium Box"/>
    <s v="Regular Air"/>
    <n v="43320"/>
    <n v="132300"/>
    <n v="314850"/>
    <n v="182550"/>
    <n v="19"/>
    <n v="3468450"/>
    <n v="0.01"/>
    <n v="34684.5"/>
    <n v="3433765.5"/>
    <n v="20000"/>
    <n v="3453765.5"/>
  </r>
  <r>
    <s v="5872-1"/>
    <d v="2018-08-08T00:00:00"/>
    <n v="2018"/>
    <s v="Dacin Setiawan"/>
    <s v="Jl. K.H. Wahid Hasyim No. 4"/>
    <s v="Jakarta"/>
    <x v="0"/>
    <s v="E1028"/>
    <s v="Gaduh Pratama"/>
    <s v="Gaduh Pratama"/>
    <s v="Critical"/>
    <s v="Artisan Flip-Chart Easel Binder, Black"/>
    <x v="0"/>
    <s v="Small Box"/>
    <s v="Regular Air"/>
    <n v="43322"/>
    <n v="208200"/>
    <n v="335700"/>
    <n v="127500"/>
    <n v="6"/>
    <n v="765000"/>
    <n v="0"/>
    <n v="0"/>
    <n v="765000"/>
    <n v="15000"/>
    <n v="780000"/>
  </r>
  <r>
    <s v="5873-1"/>
    <d v="2018-08-10T00:00:00"/>
    <n v="2018"/>
    <s v="Balijan Setiawan"/>
    <s v="Gg. M.H Thamrin No. 784"/>
    <s v="Jakarta"/>
    <x v="0"/>
    <s v="E1029"/>
    <s v="Laras Nuraini"/>
    <s v="Laras Nuraini"/>
    <s v="Low"/>
    <s v="Artisan Hanging File Binders"/>
    <x v="0"/>
    <s v="Small Box"/>
    <s v="Express Air"/>
    <n v="43324"/>
    <n v="54750"/>
    <n v="89700"/>
    <n v="34950"/>
    <n v="50"/>
    <n v="1747500"/>
    <n v="0.09"/>
    <n v="157275"/>
    <n v="1590225"/>
    <n v="30000"/>
    <n v="1620225"/>
  </r>
  <r>
    <s v="5875-1"/>
    <d v="2018-08-10T00:00:00"/>
    <n v="2018"/>
    <s v="Amelia Kuswoyo"/>
    <s v="Gg. Jakarta No. 646"/>
    <s v="Jakarta"/>
    <x v="1"/>
    <s v="E1029"/>
    <s v="Laras Nuraini"/>
    <s v="Laras Nuraini"/>
    <s v="Not Specified"/>
    <s v="Emerson Stylus 1520 Color Inkjet Printer"/>
    <x v="1"/>
    <s v="Jumbo Drum"/>
    <s v="Delivery Truck"/>
    <n v="43325"/>
    <n v="4734150"/>
    <n v="7514550"/>
    <n v="2780400"/>
    <n v="44"/>
    <n v="122337600"/>
    <n v="0.09"/>
    <n v="11010384"/>
    <n v="111327216"/>
    <n v="500000"/>
    <n v="111827216"/>
  </r>
  <r>
    <s v="5877-1"/>
    <d v="2018-08-11T00:00:00"/>
    <n v="2018"/>
    <s v="Satya Nurdiyanti"/>
    <s v="Jalan S. Parman No. 88"/>
    <s v="Bandung"/>
    <x v="1"/>
    <s v="E1036"/>
    <s v="Kenari Rajasa"/>
    <s v="Kenari Rajasa"/>
    <s v="Low"/>
    <s v="Artisan 474 Labels"/>
    <x v="0"/>
    <s v="Small Box"/>
    <s v="Regular Air"/>
    <n v="43328"/>
    <n v="27600"/>
    <n v="43200"/>
    <n v="15600"/>
    <n v="29"/>
    <n v="452400"/>
    <n v="0.03"/>
    <n v="13572"/>
    <n v="438828"/>
    <n v="15000"/>
    <n v="453828"/>
  </r>
  <r>
    <s v="5879-1"/>
    <d v="2018-08-12T00:00:00"/>
    <n v="2018"/>
    <s v="Kuncara Hasanah"/>
    <s v="Jl. Rumah Sakit No. 738"/>
    <s v="Jakarta"/>
    <x v="2"/>
    <s v="E1028"/>
    <s v="Gaduh Pratama"/>
    <s v="Gaduh Pratama"/>
    <s v="High"/>
    <s v="Artisan Poly Binder Pockets"/>
    <x v="0"/>
    <s v="Small Box"/>
    <s v="Regular Air"/>
    <n v="43326"/>
    <n v="33900"/>
    <n v="53700"/>
    <n v="19800"/>
    <n v="7"/>
    <n v="138600"/>
    <n v="0.09"/>
    <n v="12474"/>
    <n v="126126"/>
    <n v="15000"/>
    <n v="141126"/>
  </r>
  <r>
    <s v="5881-1"/>
    <d v="2018-08-13T00:00:00"/>
    <n v="2018"/>
    <s v="Febi Pangestu"/>
    <s v="Gang Sentot Alibasa No. 38"/>
    <s v="Surabaya"/>
    <x v="3"/>
    <s v="E1033"/>
    <s v="Paiman Firgantoro"/>
    <s v="Paiman Firgantoro"/>
    <s v="Not Specified"/>
    <s v="Smiths File Caddy"/>
    <x v="0"/>
    <s v="Small Box"/>
    <s v="Regular Air"/>
    <n v="43326"/>
    <n v="60450.000000000007"/>
    <n v="140700"/>
    <n v="80250"/>
    <n v="31"/>
    <n v="2487750"/>
    <n v="0.08"/>
    <n v="199020"/>
    <n v="2288730"/>
    <n v="15000"/>
    <n v="2303730"/>
  </r>
  <r>
    <s v="5882-1"/>
    <d v="2018-08-14T00:00:00"/>
    <n v="2018"/>
    <s v="Bakda Firmansyah"/>
    <s v="Gg. Rumah Sakit No. 617"/>
    <s v="Surabaya"/>
    <x v="0"/>
    <s v="E1038"/>
    <s v="Clara Prasetyo"/>
    <s v="Clara Prasetyo"/>
    <s v="Critical"/>
    <s v="Apex Elite Stainless Steel Scissors"/>
    <x v="0"/>
    <s v="Small Pack"/>
    <s v="Regular Air"/>
    <n v="43327"/>
    <n v="51300"/>
    <n v="125100"/>
    <n v="73800"/>
    <n v="21"/>
    <n v="1549800"/>
    <n v="0.03"/>
    <n v="46494"/>
    <n v="1503306"/>
    <n v="10000"/>
    <n v="1513306"/>
  </r>
  <r>
    <s v="5884-1"/>
    <d v="2018-08-15T00:00:00"/>
    <n v="2018"/>
    <s v="Usman Prabowo"/>
    <s v="Jl. K.H. Wahid Hasyim No. 4"/>
    <s v="Jakarta"/>
    <x v="1"/>
    <s v="E1029"/>
    <s v="Laras Nuraini"/>
    <s v="Laras Nuraini"/>
    <s v="Critical"/>
    <s v="TechSavi Access Keyboard"/>
    <x v="1"/>
    <s v="Small Box"/>
    <s v="Regular Air"/>
    <n v="43329"/>
    <n v="151050"/>
    <n v="239700"/>
    <n v="88650"/>
    <n v="26"/>
    <n v="2304900"/>
    <n v="0.03"/>
    <n v="69147"/>
    <n v="2235753"/>
    <n v="15000"/>
    <n v="2250753"/>
  </r>
  <r>
    <s v="5885-1"/>
    <d v="2018-08-16T00:00:00"/>
    <n v="2018"/>
    <s v="Mursita Yuniar"/>
    <s v="Jalan Gardujati No. 6"/>
    <s v="Surabaya"/>
    <x v="1"/>
    <s v="E1034"/>
    <s v="Ophelia Mustofa"/>
    <s v="Ophelia Mustofa"/>
    <s v="High"/>
    <s v="24 Capacity Maxi Data Binder Racks, Pearl"/>
    <x v="0"/>
    <s v="Small Box"/>
    <s v="Regular Air"/>
    <n v="43329"/>
    <n v="1263300"/>
    <n v="3158250"/>
    <n v="1894950"/>
    <n v="18"/>
    <n v="34109100"/>
    <n v="0.05"/>
    <n v="1705455"/>
    <n v="32403645"/>
    <n v="15000"/>
    <n v="32418645"/>
  </r>
  <r>
    <s v="5886-1"/>
    <d v="2018-08-18T00:00:00"/>
    <n v="2018"/>
    <s v="Liman Siregar"/>
    <s v="Jalan R.E Martadinata No. 6"/>
    <s v="Jakarta"/>
    <x v="0"/>
    <s v="E1029"/>
    <s v="Laras Nuraini"/>
    <s v="Laras Nuraini"/>
    <s v="Low"/>
    <s v="Artisan Flip-Chart Easel Binder, Black"/>
    <x v="0"/>
    <s v="Small Box"/>
    <s v="Regular Air"/>
    <n v="43332"/>
    <n v="208200"/>
    <n v="335700"/>
    <n v="127500"/>
    <n v="45"/>
    <n v="5737500"/>
    <n v="0.05"/>
    <n v="286875"/>
    <n v="5450625"/>
    <n v="15000"/>
    <n v="5465625"/>
  </r>
  <r>
    <s v="5887-1"/>
    <d v="2018-08-22T00:00:00"/>
    <n v="2018"/>
    <s v="Daliman Pranowo"/>
    <s v="Gg. Merdeka No. 97"/>
    <s v="Bandung"/>
    <x v="1"/>
    <s v="E1039"/>
    <s v="Nabila Prakasa"/>
    <s v="Nabila Prakasa"/>
    <s v="Not Specified"/>
    <s v="UGen Ultra Cordless Optical Suite"/>
    <x v="1"/>
    <s v="Small Box"/>
    <s v="Regular Air"/>
    <n v="43335"/>
    <n v="817800"/>
    <n v="1514550"/>
    <n v="696750"/>
    <n v="15"/>
    <n v="10451250"/>
    <n v="0.1"/>
    <n v="1045125"/>
    <n v="9406125"/>
    <n v="15000"/>
    <n v="9421125"/>
  </r>
  <r>
    <s v="5888-1"/>
    <d v="2018-08-23T00:00:00"/>
    <n v="2018"/>
    <s v="Prayogo Rajata"/>
    <s v="Gg. Jamika No. 6"/>
    <s v="Surabaya"/>
    <x v="1"/>
    <s v="E1036"/>
    <s v="Kenari Rajasa"/>
    <s v="Kenari Rajasa"/>
    <s v="Medium"/>
    <s v="Apex Box Cutter Scissors"/>
    <x v="0"/>
    <s v="Small Pack"/>
    <s v="Regular Air"/>
    <n v="43337"/>
    <n v="62850.000000000007"/>
    <n v="153450"/>
    <n v="90600"/>
    <n v="46"/>
    <n v="4167600"/>
    <n v="0.05"/>
    <n v="208380"/>
    <n v="3959220"/>
    <n v="10000"/>
    <n v="3969220"/>
  </r>
  <r>
    <s v="5888-2"/>
    <d v="2018-08-23T00:00:00"/>
    <n v="2018"/>
    <s v="Prayogo Rajata"/>
    <s v="Gg. Jamika No. 6"/>
    <s v="Surabaya"/>
    <x v="1"/>
    <s v="E1036"/>
    <s v="Kenari Rajasa"/>
    <s v="Kenari Rajasa"/>
    <s v="Medium"/>
    <s v="Artisan Hanging File Binders"/>
    <x v="0"/>
    <s v="Small Box"/>
    <s v="Regular Air"/>
    <n v="43337"/>
    <n v="54750"/>
    <n v="89700"/>
    <n v="34950"/>
    <n v="4"/>
    <n v="139800"/>
    <n v="7.0000000000000007E-2"/>
    <n v="9786.0000000000018"/>
    <n v="130014"/>
    <n v="15000"/>
    <n v="145014"/>
  </r>
  <r>
    <s v="5891-1"/>
    <d v="2018-08-24T00:00:00"/>
    <n v="2018"/>
    <s v="Rafi Anggriawan"/>
    <s v="Gg. Stasiun Wonokromo No. 0"/>
    <s v="Jakarta"/>
    <x v="1"/>
    <s v="E1028"/>
    <s v="Gaduh Pratama"/>
    <s v="Gaduh Pratama"/>
    <s v="High"/>
    <s v="Adams &quot;While You Were Out&quot; Message Pads"/>
    <x v="0"/>
    <s v="Wrap Bag"/>
    <s v="Regular Air"/>
    <n v="43338"/>
    <n v="28200"/>
    <n v="47100"/>
    <n v="18900"/>
    <n v="50"/>
    <n v="945000"/>
    <n v="0"/>
    <n v="0"/>
    <n v="945000"/>
    <n v="5000"/>
    <n v="950000"/>
  </r>
  <r>
    <s v="5893-1"/>
    <d v="2018-08-26T00:00:00"/>
    <n v="2018"/>
    <s v="Kairav Mandasari"/>
    <s v="Jalan Sukabumi No. 509"/>
    <s v="Surabaya"/>
    <x v="1"/>
    <s v="E1030"/>
    <s v="Cinthia Gunawan"/>
    <s v="Cinthia Gunawan"/>
    <s v="Medium"/>
    <s v="Bagged Rubber Bands"/>
    <x v="0"/>
    <s v="Wrap Bag"/>
    <s v="Express Air"/>
    <n v="43338"/>
    <n v="3600"/>
    <n v="18900"/>
    <n v="15300"/>
    <n v="35"/>
    <n v="535500"/>
    <n v="0.06"/>
    <n v="32130"/>
    <n v="503370"/>
    <n v="10000"/>
    <n v="513370"/>
  </r>
  <r>
    <s v="5894-1"/>
    <d v="2018-08-26T00:00:00"/>
    <n v="2018"/>
    <s v="Ozy Pratama"/>
    <s v="Gg. Surapati No. 471"/>
    <s v="Surabaya"/>
    <x v="0"/>
    <s v="E1038"/>
    <s v="Clara Prasetyo"/>
    <s v="Clara Prasetyo"/>
    <s v="High"/>
    <s v="Deluxe Rollaway Locking File with Drawer"/>
    <x v="0"/>
    <s v="Small Box"/>
    <s v="Regular Air"/>
    <n v="43340"/>
    <n v="2682450"/>
    <n v="6238200"/>
    <n v="3555750"/>
    <n v="11"/>
    <n v="39113250"/>
    <n v="0.06"/>
    <n v="2346795"/>
    <n v="36766455"/>
    <n v="15000"/>
    <n v="36781455"/>
  </r>
  <r>
    <s v="5896-1"/>
    <d v="2018-08-27T00:00:00"/>
    <n v="2018"/>
    <s v="Cahyo Widodo"/>
    <s v="Gang Lembong No. 1"/>
    <s v="Surabaya"/>
    <x v="0"/>
    <s v="E1034"/>
    <s v="Ophelia Mustofa"/>
    <s v="Ophelia Mustofa"/>
    <s v="High"/>
    <s v="Apex Straight Scissors"/>
    <x v="0"/>
    <s v="Small Pack"/>
    <s v="Regular Air"/>
    <n v="43341"/>
    <n v="77850"/>
    <n v="194700"/>
    <n v="116850"/>
    <n v="23"/>
    <n v="2687550"/>
    <n v="0.01"/>
    <n v="26875.5"/>
    <n v="2660674.5"/>
    <n v="10000"/>
    <n v="2670674.5"/>
  </r>
  <r>
    <s v="5898-1"/>
    <d v="2018-08-29T00:00:00"/>
    <n v="2018"/>
    <s v="Maman Wulandari"/>
    <s v="Jl. Pasir Koja No. 64"/>
    <s v="Surabaya"/>
    <x v="0"/>
    <s v="E1032"/>
    <s v="Violet Mentari"/>
    <s v="Violet Mentari"/>
    <s v="Not Specified"/>
    <s v="Xit Blank Computer Paper"/>
    <x v="0"/>
    <s v="Small Box"/>
    <s v="Regular Air"/>
    <n v="43344"/>
    <n v="185850"/>
    <n v="299700"/>
    <n v="113850"/>
    <n v="33"/>
    <n v="3757050"/>
    <n v="0.09"/>
    <n v="338134.5"/>
    <n v="3418915.5"/>
    <n v="15000"/>
    <n v="3433915.5"/>
  </r>
  <r>
    <s v="5899-1"/>
    <d v="2018-08-30T00:00:00"/>
    <n v="2018"/>
    <s v="Respati Puspita"/>
    <s v="Gang Pelajar Pejuang No. 95"/>
    <s v="Bandung"/>
    <x v="1"/>
    <s v="E1033"/>
    <s v="Paiman Firgantoro"/>
    <s v="Paiman Firgantoro"/>
    <s v="Not Specified"/>
    <s v="TypeRight Side-Opening Peel &amp; Seel Expanding Envelopes"/>
    <x v="0"/>
    <s v="Small Box"/>
    <s v="Regular Air"/>
    <n v="43344"/>
    <n v="814350"/>
    <n v="1357200"/>
    <n v="542850"/>
    <n v="11"/>
    <n v="5971350"/>
    <n v="0.04"/>
    <n v="238854"/>
    <n v="5732496"/>
    <n v="15000"/>
    <n v="5747496"/>
  </r>
  <r>
    <s v="5900-1"/>
    <d v="2018-08-30T00:00:00"/>
    <n v="2018"/>
    <s v="Putu Suwarno"/>
    <s v="Jalan R.E Martadinata No. 6"/>
    <s v="Jakarta"/>
    <x v="3"/>
    <s v="E1029"/>
    <s v="Laras Nuraini"/>
    <s v="Laras Nuraini"/>
    <s v="Not Specified"/>
    <s v="Artisan Reinforcements for Hole-Punch Pages"/>
    <x v="0"/>
    <s v="Small Box"/>
    <s v="Regular Air"/>
    <n v="43342"/>
    <n v="17850"/>
    <n v="29700"/>
    <n v="11850"/>
    <n v="29"/>
    <n v="343650"/>
    <n v="0.09"/>
    <n v="30928.5"/>
    <n v="312721.5"/>
    <n v="15000"/>
    <n v="327721.5"/>
  </r>
  <r>
    <s v="5902-1"/>
    <d v="2018-08-30T00:00:00"/>
    <n v="2018"/>
    <s v="Unggul Megantara"/>
    <s v="Gang Otto Iskandardinata No. 167"/>
    <s v="Surabaya"/>
    <x v="1"/>
    <s v="E1037"/>
    <s v="Puti Nadine Prakasa"/>
    <s v="Puti Nadine Prakasa"/>
    <s v="Low"/>
    <s v="Laser DVD-RAM discs"/>
    <x v="1"/>
    <s v="Small Pack"/>
    <s v="Regular Air"/>
    <n v="43349"/>
    <n v="302700"/>
    <n v="531150"/>
    <n v="228450"/>
    <n v="1"/>
    <n v="228450"/>
    <n v="0.1"/>
    <n v="22845"/>
    <n v="205605"/>
    <n v="10000"/>
    <n v="215605"/>
  </r>
  <r>
    <s v="5904-1"/>
    <d v="2018-08-31T00:00:00"/>
    <n v="2018"/>
    <s v="Widya Sihotang"/>
    <s v="Gang R.E Martadinata No. 969"/>
    <s v="Surabaya"/>
    <x v="1"/>
    <s v="E1036"/>
    <s v="Kenari Rajasa"/>
    <s v="Kenari Rajasa"/>
    <s v="Critical"/>
    <s v="Artisan Durable Binders"/>
    <x v="0"/>
    <s v="Small Box"/>
    <s v="Regular Air"/>
    <n v="43344"/>
    <n v="27600"/>
    <n v="43200"/>
    <n v="15600"/>
    <n v="16"/>
    <n v="249600"/>
    <n v="0.05"/>
    <n v="12480"/>
    <n v="237120"/>
    <n v="15000"/>
    <n v="252120"/>
  </r>
  <r>
    <s v="5906-1"/>
    <d v="2018-09-01T00:00:00"/>
    <n v="2018"/>
    <s v="Asirwanda Rahimah"/>
    <s v="Gg. M.H Thamrin No. 784"/>
    <s v="Jakarta"/>
    <x v="1"/>
    <s v="E1029"/>
    <s v="Laras Nuraini"/>
    <s v="Laras Nuraini"/>
    <s v="High"/>
    <s v="Artisan Durable Binders"/>
    <x v="0"/>
    <s v="Small Box"/>
    <s v="Regular Air"/>
    <n v="43347"/>
    <n v="27600"/>
    <n v="43200"/>
    <n v="15600"/>
    <n v="26"/>
    <n v="405600"/>
    <n v="0.08"/>
    <n v="32448"/>
    <n v="373152"/>
    <n v="15000"/>
    <n v="388152"/>
  </r>
  <r>
    <s v="5907-1"/>
    <d v="2018-09-01T00:00:00"/>
    <n v="2018"/>
    <s v="Sidiq Sirait"/>
    <s v="Jl. Surapati No. 996"/>
    <s v="Jakarta"/>
    <x v="0"/>
    <s v="E1029"/>
    <s v="Laras Nuraini"/>
    <s v="Laras Nuraini"/>
    <s v="Critical"/>
    <s v="Laser DVD-RAM discs"/>
    <x v="1"/>
    <s v="Small Pack"/>
    <s v="Regular Air"/>
    <n v="43346"/>
    <n v="302700"/>
    <n v="531150"/>
    <n v="228450"/>
    <n v="49"/>
    <n v="11194050"/>
    <n v="0.02"/>
    <n v="223881"/>
    <n v="10970169"/>
    <n v="10000"/>
    <n v="10980169"/>
  </r>
  <r>
    <s v="5908-1"/>
    <d v="2018-09-01T00:00:00"/>
    <n v="2018"/>
    <s v="Lanjar Tampubolon"/>
    <s v="Gg. Suniaraja No. 21"/>
    <s v="Surabaya"/>
    <x v="3"/>
    <s v="E1031"/>
    <s v="Bagiya Sihombing"/>
    <s v="Bagiya Sihombing"/>
    <s v="Critical"/>
    <s v="UGen RF Keyboard"/>
    <x v="1"/>
    <s v="Small Box"/>
    <s v="Regular Air"/>
    <n v="43345"/>
    <n v="1223850"/>
    <n v="2399850"/>
    <n v="1176000"/>
    <n v="19"/>
    <n v="22344000"/>
    <n v="0.1"/>
    <n v="2234400"/>
    <n v="20109600"/>
    <n v="15000"/>
    <n v="20124600"/>
  </r>
  <r>
    <s v="5909-1"/>
    <d v="2018-09-03T00:00:00"/>
    <n v="2018"/>
    <s v="Daliman Pranowo"/>
    <s v="Gg. Merdeka No. 97"/>
    <s v="Bandung"/>
    <x v="1"/>
    <s v="E1039"/>
    <s v="Nabila Prakasa"/>
    <s v="Nabila Prakasa"/>
    <s v="Critical"/>
    <s v="Smiths Bulldog Clip"/>
    <x v="0"/>
    <s v="Wrap Bag"/>
    <s v="Regular Air"/>
    <n v="43348"/>
    <n v="34650"/>
    <n v="56700"/>
    <n v="22050"/>
    <n v="19"/>
    <n v="418950"/>
    <n v="0.03"/>
    <n v="12568.5"/>
    <n v="406381.5"/>
    <n v="5000"/>
    <n v="411381.5"/>
  </r>
  <r>
    <s v="5911-1"/>
    <d v="2018-09-05T00:00:00"/>
    <n v="2018"/>
    <s v="Raina Manullang"/>
    <s v="Jalan Jend. A. Yani No. 48"/>
    <s v="Surabaya"/>
    <x v="1"/>
    <s v="E1036"/>
    <s v="Kenari Rajasa"/>
    <s v="Kenari Rajasa"/>
    <s v="Medium"/>
    <s v="Steady EarthWrite Recycled Pencils, Medium Soft, #2"/>
    <x v="0"/>
    <s v="Wrap Bag"/>
    <s v="Regular Air"/>
    <n v="43349"/>
    <n v="13500"/>
    <n v="31500"/>
    <n v="18000"/>
    <n v="17"/>
    <n v="306000"/>
    <n v="0.09"/>
    <n v="27540"/>
    <n v="278460"/>
    <n v="5000"/>
    <n v="283460"/>
  </r>
  <r>
    <s v="5913-1"/>
    <d v="2018-09-05T00:00:00"/>
    <n v="2018"/>
    <s v="Taufik Najmudin"/>
    <s v="Jalan R.E Martadinata No. 6"/>
    <s v="Jakarta"/>
    <x v="2"/>
    <s v="E1029"/>
    <s v="Laras Nuraini"/>
    <s v="Laras Nuraini"/>
    <s v="Low"/>
    <s v="Steady Major Accent Highlighters"/>
    <x v="0"/>
    <s v="Wrap Bag"/>
    <s v="Regular Air"/>
    <n v="43352"/>
    <n v="56250"/>
    <n v="106200"/>
    <n v="49950"/>
    <n v="49"/>
    <n v="2447550"/>
    <n v="0"/>
    <n v="0"/>
    <n v="2447550"/>
    <n v="5000"/>
    <n v="2452550"/>
  </r>
  <r>
    <s v="5914-1"/>
    <d v="2018-09-07T00:00:00"/>
    <n v="2018"/>
    <s v="Lintang Prabowo"/>
    <s v="Jl. Suryakencana No. 75"/>
    <s v="Jakarta"/>
    <x v="1"/>
    <s v="E1028"/>
    <s v="Gaduh Pratama"/>
    <s v="Gaduh Pratama"/>
    <s v="Critical"/>
    <s v="12 Colored Short Pencils"/>
    <x v="0"/>
    <s v="Wrap Bag"/>
    <s v="Regular Air"/>
    <n v="43352"/>
    <n v="16350.000000000002"/>
    <n v="39000"/>
    <n v="22650"/>
    <n v="8"/>
    <n v="181200"/>
    <n v="0.04"/>
    <n v="7248"/>
    <n v="173952"/>
    <n v="5000"/>
    <n v="178952"/>
  </r>
  <r>
    <s v="5916-1"/>
    <d v="2018-09-08T00:00:00"/>
    <n v="2018"/>
    <s v="Koko Setiawan"/>
    <s v="Gang Yos Sudarso No. 13"/>
    <s v="Surabaya"/>
    <x v="3"/>
    <s v="E1039"/>
    <s v="Nabila Prakasa"/>
    <s v="Nabila Prakasa"/>
    <s v="Not Specified"/>
    <s v="Beekin 105-Key Black Keyboard"/>
    <x v="1"/>
    <s v="Small Box"/>
    <s v="Regular Air"/>
    <n v="43353"/>
    <n v="95850"/>
    <n v="299700"/>
    <n v="203850"/>
    <n v="7"/>
    <n v="1426950"/>
    <n v="0.09"/>
    <n v="128425.5"/>
    <n v="1298524.5"/>
    <n v="15000"/>
    <n v="1313524.5"/>
  </r>
  <r>
    <s v="5917-1"/>
    <d v="2018-09-09T00:00:00"/>
    <n v="2018"/>
    <s v="Elma Agustina"/>
    <s v="Gg. Waringin No. 112"/>
    <s v="Surabaya"/>
    <x v="1"/>
    <s v="E1034"/>
    <s v="Ophelia Mustofa"/>
    <s v="Ophelia Mustofa"/>
    <s v="Not Specified"/>
    <s v="12 Colored Short Pencils"/>
    <x v="0"/>
    <s v="Wrap Bag"/>
    <s v="Express Air"/>
    <n v="43353"/>
    <n v="16350.000000000002"/>
    <n v="39000"/>
    <n v="22650"/>
    <n v="42"/>
    <n v="951300"/>
    <n v="0.05"/>
    <n v="47565"/>
    <n v="903735"/>
    <n v="10000"/>
    <n v="913735"/>
  </r>
  <r>
    <s v="5919-1"/>
    <d v="2018-09-10T00:00:00"/>
    <n v="2018"/>
    <s v="Amelia Kuswoyo"/>
    <s v="Gg. Jakarta No. 646"/>
    <s v="Jakarta"/>
    <x v="1"/>
    <s v="E1029"/>
    <s v="Laras Nuraini"/>
    <s v="Laras Nuraini"/>
    <s v="High"/>
    <s v="Artisan 474 Labels"/>
    <x v="0"/>
    <s v="Small Box"/>
    <s v="Regular Air"/>
    <n v="43355"/>
    <n v="27600"/>
    <n v="43200"/>
    <n v="15600"/>
    <n v="24"/>
    <n v="374400"/>
    <n v="7.0000000000000007E-2"/>
    <n v="26208.000000000004"/>
    <n v="348192"/>
    <n v="15000"/>
    <n v="363192"/>
  </r>
  <r>
    <s v="5921-1"/>
    <d v="2018-09-12T00:00:00"/>
    <n v="2018"/>
    <s v="Elvin Yuniar"/>
    <s v="Jl. Rumah Sakit No. 738"/>
    <s v="Jakarta"/>
    <x v="1"/>
    <s v="E1028"/>
    <s v="Gaduh Pratama"/>
    <s v="Gaduh Pratama"/>
    <s v="Not Specified"/>
    <s v="1726 Digital Answering Machine"/>
    <x v="1"/>
    <s v="Medium Box"/>
    <s v="Express Air"/>
    <n v="43357"/>
    <n v="132300"/>
    <n v="314850"/>
    <n v="182550"/>
    <n v="18"/>
    <n v="3285900"/>
    <n v="0"/>
    <n v="0"/>
    <n v="3285900"/>
    <n v="40000"/>
    <n v="3325900"/>
  </r>
  <r>
    <s v="5923-1"/>
    <d v="2018-09-12T00:00:00"/>
    <n v="2018"/>
    <s v="Kamidin Saptono"/>
    <s v="Gang Monginsidi No. 138"/>
    <s v="Jakarta"/>
    <x v="2"/>
    <s v="E1029"/>
    <s v="Laras Nuraini"/>
    <s v="Laras Nuraini"/>
    <s v="Medium"/>
    <s v="Laser Neon Mac Format Diskettes, 10/Pack"/>
    <x v="1"/>
    <s v="Small Pack"/>
    <s v="Regular Air"/>
    <n v="43356"/>
    <n v="28050"/>
    <n v="121799.99999999999"/>
    <n v="93749.999999999985"/>
    <n v="3"/>
    <n v="281249.99999999994"/>
    <n v="0.03"/>
    <n v="8437.4999999999982"/>
    <n v="272812.49999999994"/>
    <n v="10000"/>
    <n v="282812.49999999994"/>
  </r>
  <r>
    <s v="5925-1"/>
    <d v="2018-09-12T00:00:00"/>
    <n v="2018"/>
    <s v="Titi Kuswandari"/>
    <s v="Jalan Pasteur No. 217"/>
    <s v="Surabaya"/>
    <x v="0"/>
    <s v="E1031"/>
    <s v="Bagiya Sihombing"/>
    <s v="Bagiya Sihombing"/>
    <s v="Low"/>
    <s v="Multi-Use Personal File Cart and Caster Set, Three Stacking Bins"/>
    <x v="0"/>
    <s v="Small Box"/>
    <s v="Regular Air"/>
    <n v="43360"/>
    <n v="224250"/>
    <n v="521399.99999999994"/>
    <n v="297149.99999999994"/>
    <n v="43"/>
    <n v="12777449.999999998"/>
    <n v="0.08"/>
    <n v="1022195.9999999999"/>
    <n v="11755253.999999998"/>
    <n v="15000"/>
    <n v="11770253.999999998"/>
  </r>
  <r>
    <s v="5927-1"/>
    <d v="2018-09-13T00:00:00"/>
    <n v="2018"/>
    <s v="Dian Haryanti"/>
    <s v="Jl. Ciwastra No. 543"/>
    <s v="Jakarta"/>
    <x v="1"/>
    <s v="E1029"/>
    <s v="Laras Nuraini"/>
    <s v="Laras Nuraini"/>
    <s v="Low"/>
    <s v="Apex Box Cutter Scissors"/>
    <x v="0"/>
    <s v="Small Pack"/>
    <s v="Regular Air"/>
    <n v="43361"/>
    <n v="62850.000000000007"/>
    <n v="153450"/>
    <n v="90600"/>
    <n v="35"/>
    <n v="3171000"/>
    <n v="0.01"/>
    <n v="31710"/>
    <n v="3139290"/>
    <n v="10000"/>
    <n v="3149290"/>
  </r>
  <r>
    <s v="5928-1"/>
    <d v="2018-09-20T00:00:00"/>
    <n v="2018"/>
    <s v="Harsaya Salahudin"/>
    <s v="Gg. Dipenogoro No. 947"/>
    <s v="Surabaya"/>
    <x v="2"/>
    <s v="E1034"/>
    <s v="Ophelia Mustofa"/>
    <s v="Ophelia Mustofa"/>
    <s v="Critical"/>
    <s v="300 Series Non-Flip"/>
    <x v="1"/>
    <s v="Small Box"/>
    <s v="Regular Air"/>
    <n v="43365"/>
    <n v="936000"/>
    <n v="2339850"/>
    <n v="1403850"/>
    <n v="21"/>
    <n v="29480850"/>
    <n v="0.08"/>
    <n v="2358468"/>
    <n v="27122382"/>
    <n v="15000"/>
    <n v="27137382"/>
  </r>
  <r>
    <s v="5930-1"/>
    <d v="2018-09-20T00:00:00"/>
    <n v="2018"/>
    <s v="Koko Setiawan"/>
    <s v="Gang Yos Sudarso No. 13"/>
    <s v="Surabaya"/>
    <x v="0"/>
    <s v="E1039"/>
    <s v="Nabila Prakasa"/>
    <s v="Nabila Prakasa"/>
    <s v="Not Specified"/>
    <s v="HFX LaserJet 3310 Copier"/>
    <x v="1"/>
    <s v="Large Box"/>
    <s v="Regular Air"/>
    <n v="43364"/>
    <n v="5669850"/>
    <n v="8999850"/>
    <n v="3330000"/>
    <n v="41"/>
    <n v="136530000"/>
    <n v="0.09"/>
    <n v="12287700"/>
    <n v="124242300"/>
    <n v="50000"/>
    <n v="124292300"/>
  </r>
  <r>
    <s v="5931-1"/>
    <d v="2018-09-22T00:00:00"/>
    <n v="2018"/>
    <s v="Agus Winarsih"/>
    <s v="Gg. Setiabudhi No. 32"/>
    <s v="Surabaya"/>
    <x v="1"/>
    <s v="E1040"/>
    <s v="Sutan Tirtayasa Wasita"/>
    <s v="Sutan Tirtayasa Wasita"/>
    <s v="Critical"/>
    <s v="Multimedia Mailers"/>
    <x v="0"/>
    <s v="Small Box"/>
    <s v="Regular Air"/>
    <n v="43367"/>
    <n v="1490850"/>
    <n v="2443950"/>
    <n v="953100"/>
    <n v="36"/>
    <n v="34311600"/>
    <n v="0.09"/>
    <n v="3088044"/>
    <n v="31223556"/>
    <n v="15000"/>
    <n v="31238556"/>
  </r>
  <r>
    <s v="5932-1"/>
    <d v="2018-09-22T00:00:00"/>
    <n v="2018"/>
    <s v="Hasan Megantara"/>
    <s v="Jalan Gedebage Selatan No. 048"/>
    <s v="Jakarta"/>
    <x v="1"/>
    <s v="E1029"/>
    <s v="Laras Nuraini"/>
    <s v="Laras Nuraini"/>
    <s v="Low"/>
    <s v="Smiths Standard Envelopes"/>
    <x v="0"/>
    <s v="Small Box"/>
    <s v="Regular Air"/>
    <n v="43369"/>
    <n v="52800"/>
    <n v="85200"/>
    <n v="32400"/>
    <n v="8"/>
    <n v="259200"/>
    <n v="0.05"/>
    <n v="12960"/>
    <n v="246240"/>
    <n v="15000"/>
    <n v="261240"/>
  </r>
  <r>
    <s v="5933-1"/>
    <d v="2018-09-23T00:00:00"/>
    <n v="2018"/>
    <s v="Emil Mayasari"/>
    <s v="Gang Lembong No. 1"/>
    <s v="Surabaya"/>
    <x v="2"/>
    <s v="E1034"/>
    <s v="Ophelia Mustofa"/>
    <s v="Ophelia Mustofa"/>
    <s v="Low"/>
    <s v="Apex Office Executive Series Stainless Steel Trimmers"/>
    <x v="0"/>
    <s v="Small Pack"/>
    <s v="Regular Air"/>
    <n v="43366"/>
    <n v="52650"/>
    <n v="128550"/>
    <n v="75900"/>
    <n v="22"/>
    <n v="1669800"/>
    <n v="0.1"/>
    <n v="166980"/>
    <n v="1502820"/>
    <n v="10000"/>
    <n v="1512820"/>
  </r>
  <r>
    <s v="5935-1"/>
    <d v="2018-09-23T00:00:00"/>
    <n v="2018"/>
    <s v="Tiara Megantara"/>
    <s v="Jalan Ciwastra No. 383"/>
    <s v="Surabaya"/>
    <x v="2"/>
    <s v="E1032"/>
    <s v="Violet Mentari"/>
    <s v="Violet Mentari"/>
    <s v="High"/>
    <s v="Steady Pocket Accent Highlighters"/>
    <x v="0"/>
    <s v="Wrap Bag"/>
    <s v="Express Air"/>
    <n v="43368"/>
    <n v="13950"/>
    <n v="24000"/>
    <n v="10050"/>
    <n v="24"/>
    <n v="241200"/>
    <n v="0.04"/>
    <n v="9648"/>
    <n v="231552"/>
    <n v="10000"/>
    <n v="241552"/>
  </r>
  <r>
    <s v="5937-1"/>
    <d v="2018-09-25T00:00:00"/>
    <n v="2018"/>
    <s v="Rina Simanjuntak"/>
    <s v="Gg. Suniaraja No. 21"/>
    <s v="Surabaya"/>
    <x v="1"/>
    <s v="E1031"/>
    <s v="Bagiya Sihombing"/>
    <s v="Bagiya Sihombing"/>
    <s v="Not Specified"/>
    <s v="Aluminum Document Frame"/>
    <x v="2"/>
    <s v="Small Pack"/>
    <s v="Regular Air"/>
    <n v="43371"/>
    <n v="82500"/>
    <n v="183300"/>
    <n v="100800"/>
    <n v="8"/>
    <n v="806400"/>
    <n v="0.1"/>
    <n v="80640"/>
    <n v="725760"/>
    <n v="10000"/>
    <n v="735760"/>
  </r>
  <r>
    <s v="5938-1"/>
    <d v="2018-09-26T00:00:00"/>
    <n v="2018"/>
    <s v="Harto Firgantoro"/>
    <s v="Gang H.J Maemunah No. 6"/>
    <s v="Jakarta"/>
    <x v="0"/>
    <s v="E1029"/>
    <s v="Laras Nuraini"/>
    <s v="Laras Nuraini"/>
    <s v="High"/>
    <s v="Steady Liquid Accent Tank-Style Highlighters"/>
    <x v="0"/>
    <s v="Wrap Bag"/>
    <s v="Regular Air"/>
    <n v="43370"/>
    <n v="19650"/>
    <n v="42600"/>
    <n v="22950"/>
    <n v="23"/>
    <n v="527850"/>
    <n v="0.06"/>
    <n v="31671"/>
    <n v="496179"/>
    <n v="5000"/>
    <n v="501179"/>
  </r>
  <r>
    <s v="5939-1"/>
    <d v="2018-10-02T00:00:00"/>
    <n v="2018"/>
    <s v="Karsana Nugroho"/>
    <s v="Jalan R.E Martadinata No. 6"/>
    <s v="Jakarta"/>
    <x v="3"/>
    <s v="E1029"/>
    <s v="Laras Nuraini"/>
    <s v="Laras Nuraini"/>
    <s v="Not Specified"/>
    <s v="Alto Parchment Paper, Assorted Colors"/>
    <x v="0"/>
    <s v="Small Box"/>
    <s v="Regular Air"/>
    <n v="43377"/>
    <n v="68850"/>
    <n v="109200"/>
    <n v="40350"/>
    <n v="16"/>
    <n v="645600"/>
    <n v="7.0000000000000007E-2"/>
    <n v="45192.000000000007"/>
    <n v="600408"/>
    <n v="15000"/>
    <n v="615408"/>
  </r>
  <r>
    <s v="5941-1"/>
    <d v="2018-10-03T00:00:00"/>
    <n v="2018"/>
    <s v="Hasna Prakasa"/>
    <s v="Jl. Gardujati No. 82"/>
    <s v="Surabaya"/>
    <x v="1"/>
    <s v="E1037"/>
    <s v="Puti Nadine Prakasa"/>
    <s v="Puti Nadine Prakasa"/>
    <s v="Medium"/>
    <s v="Colored Envelopes"/>
    <x v="0"/>
    <s v="Small Box"/>
    <s v="Regular Air"/>
    <n v="43378"/>
    <n v="33750"/>
    <n v="55350"/>
    <n v="21600"/>
    <n v="42"/>
    <n v="907200"/>
    <n v="0.06"/>
    <n v="54432"/>
    <n v="852768"/>
    <n v="15000"/>
    <n v="867768"/>
  </r>
  <r>
    <s v="5943-1"/>
    <d v="2018-10-07T00:00:00"/>
    <n v="2018"/>
    <s v="Tantri Hutapea"/>
    <s v="Jalan PHH. Mustofa No. 625"/>
    <s v="Surabaya"/>
    <x v="0"/>
    <s v="E1034"/>
    <s v="Ophelia Mustofa"/>
    <s v="Ophelia Mustofa"/>
    <s v="Medium"/>
    <s v="12 Colored Short Pencils"/>
    <x v="0"/>
    <s v="Wrap Bag"/>
    <s v="Regular Air"/>
    <n v="43380"/>
    <n v="16350.000000000002"/>
    <n v="39000"/>
    <n v="22650"/>
    <n v="26"/>
    <n v="588900"/>
    <n v="0.08"/>
    <n v="47112"/>
    <n v="541788"/>
    <n v="5000"/>
    <n v="546788"/>
  </r>
  <r>
    <s v="5943-2"/>
    <d v="2018-10-07T00:00:00"/>
    <n v="2018"/>
    <s v="Tantri Hutapea"/>
    <s v="Jalan PHH. Mustofa No. 625"/>
    <s v="Surabaya"/>
    <x v="0"/>
    <s v="E1034"/>
    <s v="Ophelia Mustofa"/>
    <s v="Ophelia Mustofa"/>
    <s v="Medium"/>
    <s v="TechSavi Cordless Navigator Duo"/>
    <x v="1"/>
    <s v="Small Box"/>
    <s v="Regular Air"/>
    <n v="43382"/>
    <n v="631650"/>
    <n v="1214700"/>
    <n v="583050"/>
    <n v="34"/>
    <n v="19823700"/>
    <n v="0.02"/>
    <n v="396474"/>
    <n v="19427226"/>
    <n v="15000"/>
    <n v="19442226"/>
  </r>
  <r>
    <s v="5944-1"/>
    <d v="2018-10-07T00:00:00"/>
    <n v="2018"/>
    <s v="Ibun Hutapea"/>
    <s v="Gang Gedebage Selatan No. 92"/>
    <s v="Surabaya"/>
    <x v="2"/>
    <s v="E1036"/>
    <s v="Kenari Rajasa"/>
    <s v="Kenari Rajasa"/>
    <s v="High"/>
    <s v="Smiths General Use 3-Ring Binders"/>
    <x v="0"/>
    <s v="Small Box"/>
    <s v="Express Air"/>
    <n v="43381"/>
    <n v="17700"/>
    <n v="28200"/>
    <n v="10500"/>
    <n v="5"/>
    <n v="52500"/>
    <n v="0.08"/>
    <n v="4200"/>
    <n v="48300"/>
    <n v="30000"/>
    <n v="78300"/>
  </r>
  <r>
    <s v="5947-1"/>
    <d v="2018-10-09T00:00:00"/>
    <n v="2018"/>
    <s v="Ibrani Anggraini"/>
    <s v="Jalan R.E Martadinata No. 6"/>
    <s v="Jakarta"/>
    <x v="1"/>
    <s v="E1029"/>
    <s v="Laras Nuraini"/>
    <s v="Laras Nuraini"/>
    <s v="Medium"/>
    <s v="Artisan Hanging File Binders"/>
    <x v="0"/>
    <s v="Small Box"/>
    <s v="Regular Air"/>
    <n v="43384"/>
    <n v="54750"/>
    <n v="89700"/>
    <n v="34950"/>
    <n v="50"/>
    <n v="1747500"/>
    <n v="0.02"/>
    <n v="34950"/>
    <n v="1712550"/>
    <n v="15000"/>
    <n v="1727550"/>
  </r>
  <r>
    <s v="5949-1"/>
    <d v="2018-10-09T00:00:00"/>
    <n v="2018"/>
    <s v="Silvia Siregar"/>
    <s v="Gang Sadang Serang No. 74"/>
    <s v="Jakarta"/>
    <x v="1"/>
    <s v="E1029"/>
    <s v="Laras Nuraini"/>
    <s v="Laras Nuraini"/>
    <s v="High"/>
    <s v="Pizazz Drawing Pencil Set"/>
    <x v="0"/>
    <s v="Wrap Bag"/>
    <s v="Regular Air"/>
    <n v="43382"/>
    <n v="22950"/>
    <n v="41700"/>
    <n v="18750"/>
    <n v="44"/>
    <n v="825000"/>
    <n v="7.0000000000000007E-2"/>
    <n v="57750.000000000007"/>
    <n v="767250"/>
    <n v="5000"/>
    <n v="772250"/>
  </r>
  <r>
    <s v="5951-1"/>
    <d v="2018-10-09T00:00:00"/>
    <n v="2018"/>
    <s v="Titi Kuswandari"/>
    <s v="Jalan Pasteur No. 217"/>
    <s v="Surabaya"/>
    <x v="1"/>
    <s v="E1031"/>
    <s v="Bagiya Sihombing"/>
    <s v="Bagiya Sihombing"/>
    <s v="Not Specified"/>
    <s v="Self-Adhesive Ring Binder Labels"/>
    <x v="0"/>
    <s v="Small Box"/>
    <s v="Regular Air"/>
    <n v="43384"/>
    <n v="32700.000000000004"/>
    <n v="52800"/>
    <n v="20099.999999999996"/>
    <n v="1"/>
    <n v="20099.999999999996"/>
    <n v="0.04"/>
    <n v="803.99999999999989"/>
    <n v="19295.999999999996"/>
    <n v="15000"/>
    <n v="34296"/>
  </r>
  <r>
    <s v="5952-1"/>
    <d v="2018-10-10T00:00:00"/>
    <n v="2018"/>
    <s v="Akarsana Purwanti"/>
    <s v="Gang Asia Afrika No. 72"/>
    <s v="Surabaya"/>
    <x v="3"/>
    <s v="E1037"/>
    <s v="Puti Nadine Prakasa"/>
    <s v="Puti Nadine Prakasa"/>
    <s v="Medium"/>
    <s v="Artisan Binder Labels"/>
    <x v="0"/>
    <s v="Small Box"/>
    <s v="Express Air"/>
    <n v="43385"/>
    <n v="36750"/>
    <n v="58350"/>
    <n v="21600"/>
    <n v="32"/>
    <n v="691200"/>
    <n v="0.1"/>
    <n v="69120"/>
    <n v="622080"/>
    <n v="30000"/>
    <n v="652080"/>
  </r>
  <r>
    <s v="5955-1"/>
    <d v="2018-10-10T00:00:00"/>
    <n v="2018"/>
    <s v="Nalar Zulaika"/>
    <s v="Jl. S. Parman No. 91"/>
    <s v="Surabaya"/>
    <x v="1"/>
    <s v="E1034"/>
    <s v="Ophelia Mustofa"/>
    <s v="Ophelia Mustofa"/>
    <s v="Not Specified"/>
    <s v="TechSavi Internet Navigator Keyboard"/>
    <x v="1"/>
    <s v="Small Box"/>
    <s v="Regular Air"/>
    <n v="43384"/>
    <n v="97650"/>
    <n v="464700"/>
    <n v="367050"/>
    <n v="6"/>
    <n v="2202300"/>
    <n v="0.01"/>
    <n v="22023"/>
    <n v="2180277"/>
    <n v="15000"/>
    <n v="2195277"/>
  </r>
  <r>
    <s v="5956-1"/>
    <d v="2018-10-11T00:00:00"/>
    <n v="2018"/>
    <s v="Artawan Mahendra"/>
    <s v="Gang Dipatiukur No. 24"/>
    <s v="Surabaya"/>
    <x v="0"/>
    <s v="E1034"/>
    <s v="Ophelia Mustofa"/>
    <s v="Ophelia Mustofa"/>
    <s v="Low"/>
    <s v="Artisan 474 Labels"/>
    <x v="0"/>
    <s v="Small Box"/>
    <s v="Regular Air"/>
    <n v="43388"/>
    <n v="27600"/>
    <n v="43200"/>
    <n v="15600"/>
    <n v="49"/>
    <n v="764400"/>
    <n v="0.01"/>
    <n v="7644"/>
    <n v="756756"/>
    <n v="15000"/>
    <n v="771756"/>
  </r>
  <r>
    <s v="5960-1"/>
    <d v="2018-10-14T00:00:00"/>
    <n v="2018"/>
    <s v="Jayadi Prakasa"/>
    <s v="Gang Asia Afrika No. 72"/>
    <s v="Surabaya"/>
    <x v="0"/>
    <s v="E1037"/>
    <s v="Puti Nadine Prakasa"/>
    <s v="Puti Nadine Prakasa"/>
    <s v="Critical"/>
    <s v="PastelOcean Color Pencil Set"/>
    <x v="0"/>
    <s v="Wrap Bag"/>
    <s v="Regular Air"/>
    <n v="43389"/>
    <n v="166650"/>
    <n v="297600"/>
    <n v="130950"/>
    <n v="1"/>
    <n v="130950"/>
    <n v="0.05"/>
    <n v="6547.5"/>
    <n v="124402.5"/>
    <n v="5000"/>
    <n v="129402.5"/>
  </r>
  <r>
    <s v="5962-1"/>
    <d v="2018-10-16T00:00:00"/>
    <n v="2018"/>
    <s v="Vega Kurniawan"/>
    <s v="Jalan Dipatiukur No. 56"/>
    <s v="Surabaya"/>
    <x v="1"/>
    <s v="E1036"/>
    <s v="Kenari Rajasa"/>
    <s v="Kenari Rajasa"/>
    <s v="Not Specified"/>
    <s v="3Max Polarizing Light Filter Sleeves"/>
    <x v="2"/>
    <s v="Small Pack"/>
    <s v="Regular Air"/>
    <n v="43389"/>
    <n v="170700"/>
    <n v="279750"/>
    <n v="109050"/>
    <n v="44"/>
    <n v="4798200"/>
    <n v="0.03"/>
    <n v="143946"/>
    <n v="4654254"/>
    <n v="10000"/>
    <n v="4664254"/>
  </r>
  <r>
    <s v="5964-1"/>
    <d v="2018-10-16T00:00:00"/>
    <n v="2018"/>
    <s v="Lintang Prabowo"/>
    <s v="Jl. Suryakencana No. 75"/>
    <s v="Jakarta"/>
    <x v="1"/>
    <s v="E1028"/>
    <s v="Gaduh Pratama"/>
    <s v="Gaduh Pratama"/>
    <s v="High"/>
    <s v="Artisan Non-Stick Binders"/>
    <x v="0"/>
    <s v="Small Box"/>
    <s v="Regular Air"/>
    <n v="43390"/>
    <n v="41100"/>
    <n v="67350"/>
    <n v="26250"/>
    <n v="15"/>
    <n v="393750"/>
    <n v="0.05"/>
    <n v="19687.5"/>
    <n v="374062.5"/>
    <n v="15000"/>
    <n v="389062.5"/>
  </r>
  <r>
    <s v="5965-1"/>
    <d v="2018-10-17T00:00:00"/>
    <n v="2018"/>
    <s v="Karya Haryanto"/>
    <s v="Gg. Siliwangi No. 82"/>
    <s v="Surabaya"/>
    <x v="0"/>
    <s v="E1036"/>
    <s v="Kenari Rajasa"/>
    <s v="Kenari Rajasa"/>
    <s v="Critical"/>
    <s v="1726 Digital Answering Machine"/>
    <x v="1"/>
    <s v="Medium Box"/>
    <s v="Regular Air"/>
    <n v="43392"/>
    <n v="132300"/>
    <n v="314850"/>
    <n v="182550"/>
    <n v="49"/>
    <n v="8944950"/>
    <n v="0.06"/>
    <n v="536697"/>
    <n v="8408253"/>
    <n v="20000"/>
    <n v="8428253"/>
  </r>
  <r>
    <s v="5967-1"/>
    <d v="2018-10-21T00:00:00"/>
    <n v="2018"/>
    <s v="Nilam Latupono"/>
    <s v="Jalan Jamika No. 4"/>
    <s v="Surabaya"/>
    <x v="0"/>
    <s v="E1033"/>
    <s v="Paiman Firgantoro"/>
    <s v="Paiman Firgantoro"/>
    <s v="Not Specified"/>
    <s v="3Max Polarizing Task Lamp with Clamp Arm, Light Gray"/>
    <x v="2"/>
    <s v="Large Box"/>
    <s v="Regular Air"/>
    <n v="43395"/>
    <n v="842400"/>
    <n v="2054699.9999999998"/>
    <n v="1212299.9999999998"/>
    <n v="7"/>
    <n v="8486099.9999999981"/>
    <n v="0.02"/>
    <n v="169721.99999999997"/>
    <n v="8316377.9999999981"/>
    <n v="50000"/>
    <n v="8366377.9999999981"/>
  </r>
  <r>
    <s v="5968-1"/>
    <d v="2018-10-23T00:00:00"/>
    <n v="2018"/>
    <s v="Aswani Rajata"/>
    <s v="Gg. Rumah Sakit No. 617"/>
    <s v="Surabaya"/>
    <x v="3"/>
    <s v="E1038"/>
    <s v="Clara Prasetyo"/>
    <s v="Clara Prasetyo"/>
    <s v="Medium"/>
    <s v="Smiths Pushpins"/>
    <x v="0"/>
    <s v="Wrap Bag"/>
    <s v="Regular Air"/>
    <n v="43398"/>
    <n v="14100"/>
    <n v="28200"/>
    <n v="14100"/>
    <n v="22"/>
    <n v="310200"/>
    <n v="7.0000000000000007E-2"/>
    <n v="21714.000000000004"/>
    <n v="288486"/>
    <n v="5000"/>
    <n v="293486"/>
  </r>
  <r>
    <s v="5969-1"/>
    <d v="2018-10-24T00:00:00"/>
    <n v="2018"/>
    <s v="Ajimin Suartini"/>
    <s v="Gg. Surapati No. 471"/>
    <s v="Surabaya"/>
    <x v="0"/>
    <s v="E1038"/>
    <s v="Clara Prasetyo"/>
    <s v="Clara Prasetyo"/>
    <s v="Low"/>
    <s v="Brown Kraft Recycled Envelopes"/>
    <x v="0"/>
    <s v="Small Box"/>
    <s v="Regular Air"/>
    <n v="43399"/>
    <n v="165600"/>
    <n v="254700"/>
    <n v="89100"/>
    <n v="1"/>
    <n v="89100"/>
    <n v="0.03"/>
    <n v="2673"/>
    <n v="86427"/>
    <n v="15000"/>
    <n v="101427"/>
  </r>
  <r>
    <s v="5971-1"/>
    <d v="2018-10-26T00:00:00"/>
    <n v="2018"/>
    <s v="Cakrawala Yuniar"/>
    <s v="Jalan Jend. A. Yani No. 48"/>
    <s v="Surabaya"/>
    <x v="3"/>
    <s v="E1036"/>
    <s v="Kenari Rajasa"/>
    <s v="Kenari Rajasa"/>
    <s v="Low"/>
    <s v="Wirebound Message Book, 4 per Page"/>
    <x v="0"/>
    <s v="Wrap Bag"/>
    <s v="Express Air"/>
    <n v="43404"/>
    <n v="52200"/>
    <n v="81450"/>
    <n v="29250"/>
    <n v="48"/>
    <n v="1404000"/>
    <n v="0.05"/>
    <n v="70200"/>
    <n v="1333800"/>
    <n v="10000"/>
    <n v="1343800"/>
  </r>
  <r>
    <s v="5973-1"/>
    <d v="2018-10-27T00:00:00"/>
    <n v="2018"/>
    <s v="Sari Januar"/>
    <s v="Gang Soekarno Hatta No. 2"/>
    <s v="Surabaya"/>
    <x v="2"/>
    <s v="E1032"/>
    <s v="Violet Mentari"/>
    <s v="Violet Mentari"/>
    <s v="Low"/>
    <s v="Lumi Crayons"/>
    <x v="0"/>
    <s v="Wrap Bag"/>
    <s v="Regular Air"/>
    <n v="43404"/>
    <n v="78300"/>
    <n v="147750"/>
    <n v="69450"/>
    <n v="21"/>
    <n v="1458450"/>
    <n v="0.1"/>
    <n v="145845"/>
    <n v="1312605"/>
    <n v="5000"/>
    <n v="1317605"/>
  </r>
  <r>
    <s v="5974-1"/>
    <d v="2018-10-28T00:00:00"/>
    <n v="2018"/>
    <s v="Asirwanda Rahimah"/>
    <s v="Gg. M.H Thamrin No. 784"/>
    <s v="Jakarta"/>
    <x v="1"/>
    <s v="E1029"/>
    <s v="Laras Nuraini"/>
    <s v="Laras Nuraini"/>
    <s v="Low"/>
    <s v="Colored Push Pins"/>
    <x v="0"/>
    <s v="Wrap Bag"/>
    <s v="Regular Air"/>
    <n v="43405"/>
    <n v="13800"/>
    <n v="27150"/>
    <n v="13350"/>
    <n v="48"/>
    <n v="640800"/>
    <n v="0.02"/>
    <n v="12816"/>
    <n v="627984"/>
    <n v="5000"/>
    <n v="632984"/>
  </r>
  <r>
    <s v="5976-1"/>
    <d v="2018-10-29T00:00:00"/>
    <n v="2018"/>
    <s v="Lala Wacana"/>
    <s v="Jl. Rumah Sakit No. 65"/>
    <s v="Surabaya"/>
    <x v="3"/>
    <s v="E1034"/>
    <s v="Ophelia Mustofa"/>
    <s v="Ophelia Mustofa"/>
    <s v="High"/>
    <s v="Message Book, One Form per Page"/>
    <x v="0"/>
    <s v="Wrap Bag"/>
    <s v="Regular Air"/>
    <n v="43402"/>
    <n v="36150"/>
    <n v="55650"/>
    <n v="19500"/>
    <n v="13"/>
    <n v="253500"/>
    <n v="0.06"/>
    <n v="15210"/>
    <n v="238290"/>
    <n v="5000"/>
    <n v="243290"/>
  </r>
  <r>
    <s v="5977-1"/>
    <d v="2018-10-30T00:00:00"/>
    <n v="2018"/>
    <s v="Olga Marpaung"/>
    <s v="Gg. Surapati No. 50"/>
    <s v="Surabaya"/>
    <x v="1"/>
    <s v="E1033"/>
    <s v="Paiman Firgantoro"/>
    <s v="Paiman Firgantoro"/>
    <s v="High"/>
    <s v="Apex Preferred Stainless Steel Scissors"/>
    <x v="0"/>
    <s v="Small Pack"/>
    <s v="Regular Air"/>
    <n v="43405"/>
    <n v="37500"/>
    <n v="85200"/>
    <n v="47700"/>
    <n v="21"/>
    <n v="1001700"/>
    <n v="7.0000000000000007E-2"/>
    <n v="70119"/>
    <n v="931581"/>
    <n v="10000"/>
    <n v="941581"/>
  </r>
  <r>
    <s v="5978-1"/>
    <d v="2018-10-30T00:00:00"/>
    <n v="2018"/>
    <s v="Pangestu Maulana"/>
    <s v="Gg. Joyoboyo No. 026"/>
    <s v="Jakarta"/>
    <x v="1"/>
    <s v="E1028"/>
    <s v="Gaduh Pratama"/>
    <s v="Gaduh Pratama"/>
    <s v="High"/>
    <s v="Artisan Poly Binder Pockets"/>
    <x v="0"/>
    <s v="Small Box"/>
    <s v="Regular Air"/>
    <n v="43405"/>
    <n v="33900"/>
    <n v="53700"/>
    <n v="19800"/>
    <n v="43"/>
    <n v="851400"/>
    <n v="0.08"/>
    <n v="68112"/>
    <n v="783288"/>
    <n v="15000"/>
    <n v="798288"/>
  </r>
  <r>
    <s v="5980-1"/>
    <d v="2018-10-31T00:00:00"/>
    <n v="2018"/>
    <s v="Cindy Maryati"/>
    <s v="Gg. Jakarta No. 646"/>
    <s v="Jakarta"/>
    <x v="3"/>
    <s v="E1029"/>
    <s v="Laras Nuraini"/>
    <s v="Laras Nuraini"/>
    <s v="Medium"/>
    <s v="Binder Posts"/>
    <x v="0"/>
    <s v="Small Box"/>
    <s v="Regular Air"/>
    <n v="43405"/>
    <n v="52500"/>
    <n v="86100"/>
    <n v="33600"/>
    <n v="41"/>
    <n v="1377600"/>
    <n v="0.08"/>
    <n v="110208"/>
    <n v="1267392"/>
    <n v="15000"/>
    <n v="1282392"/>
  </r>
  <r>
    <s v="5982-1"/>
    <d v="2018-11-01T00:00:00"/>
    <n v="2018"/>
    <s v="Intan Oktaviani"/>
    <s v="Gang Otto Iskandardinata No. 167"/>
    <s v="Surabaya"/>
    <x v="2"/>
    <s v="E1037"/>
    <s v="Puti Nadine Prakasa"/>
    <s v="Puti Nadine Prakasa"/>
    <s v="Critical"/>
    <s v="Apex Forged Steel Scissors with Black Enamel Handles"/>
    <x v="0"/>
    <s v="Small Pack"/>
    <s v="Regular Air"/>
    <n v="43408"/>
    <n v="61499.999999999993"/>
    <n v="139650"/>
    <n v="78150"/>
    <n v="26"/>
    <n v="2031900"/>
    <n v="0.06"/>
    <n v="121914"/>
    <n v="1909986"/>
    <n v="10000"/>
    <n v="1919986"/>
  </r>
  <r>
    <s v="5983-1"/>
    <d v="2018-11-04T00:00:00"/>
    <n v="2018"/>
    <s v="Jatmiko Megantara"/>
    <s v="Jl. W.R. Supratman No. 473"/>
    <s v="Surabaya"/>
    <x v="0"/>
    <s v="E1036"/>
    <s v="Kenari Rajasa"/>
    <s v="Kenari Rajasa"/>
    <s v="Low"/>
    <s v="Adesso Programmable 142-Key Keyboard"/>
    <x v="1"/>
    <s v="Small Box"/>
    <s v="Regular Air"/>
    <n v="43415"/>
    <n v="480300.00000000006"/>
    <n v="2287200"/>
    <n v="1806900"/>
    <n v="14"/>
    <n v="25296600"/>
    <n v="0.03"/>
    <n v="758898"/>
    <n v="24537702"/>
    <n v="15000"/>
    <n v="24552702"/>
  </r>
  <r>
    <s v="5984-1"/>
    <d v="2018-11-04T00:00:00"/>
    <n v="2018"/>
    <s v="Oni Prastuti"/>
    <s v="Jalan Jend. A. Yani No. 48"/>
    <s v="Surabaya"/>
    <x v="1"/>
    <s v="E1036"/>
    <s v="Kenari Rajasa"/>
    <s v="Kenari Rajasa"/>
    <s v="Not Specified"/>
    <s v="Alto Memo Cubes"/>
    <x v="0"/>
    <s v="Wrap Bag"/>
    <s v="Express Air"/>
    <n v="43409"/>
    <n v="49800"/>
    <n v="77700"/>
    <n v="27900"/>
    <n v="1"/>
    <n v="27900"/>
    <n v="0"/>
    <n v="0"/>
    <n v="27900"/>
    <n v="10000"/>
    <n v="37900"/>
  </r>
  <r>
    <s v="5985-1"/>
    <d v="2018-11-04T00:00:00"/>
    <n v="2018"/>
    <s v="Harja Pratiwi"/>
    <s v="Gg. Jakarta No. 646"/>
    <s v="Jakarta"/>
    <x v="2"/>
    <s v="E1029"/>
    <s v="Laras Nuraini"/>
    <s v="Laras Nuraini"/>
    <s v="Critical"/>
    <s v="Smiths General Use 3-Ring Binders"/>
    <x v="0"/>
    <s v="Small Box"/>
    <s v="Regular Air"/>
    <n v="43409"/>
    <n v="17700"/>
    <n v="28200"/>
    <n v="10500"/>
    <n v="8"/>
    <n v="84000"/>
    <n v="0.05"/>
    <n v="4200"/>
    <n v="79800"/>
    <n v="15000"/>
    <n v="94800"/>
  </r>
  <r>
    <s v="5987-1"/>
    <d v="2018-11-05T00:00:00"/>
    <n v="2018"/>
    <s v="Laila Usamah"/>
    <s v="Gg. Otto Iskandardinata No. 6"/>
    <s v="Jakarta"/>
    <x v="0"/>
    <s v="E1029"/>
    <s v="Laras Nuraini"/>
    <s v="Laras Nuraini"/>
    <s v="High"/>
    <s v="Artisan Reinforcements for Hole-Punch Pages"/>
    <x v="0"/>
    <s v="Small Box"/>
    <s v="Regular Air"/>
    <n v="43411"/>
    <n v="17850"/>
    <n v="29700"/>
    <n v="11850"/>
    <n v="21"/>
    <n v="248850"/>
    <n v="0.01"/>
    <n v="2488.5"/>
    <n v="246361.5"/>
    <n v="15000"/>
    <n v="261361.5"/>
  </r>
  <r>
    <s v="5988-1"/>
    <d v="2018-11-05T00:00:00"/>
    <n v="2018"/>
    <s v="Gatot Siregar"/>
    <s v="Gg. Kapten Muslihat No. 5"/>
    <s v="Surabaya"/>
    <x v="1"/>
    <s v="E1034"/>
    <s v="Ophelia Mustofa"/>
    <s v="Ophelia Mustofa"/>
    <s v="High"/>
    <s v="Pizazz Colored Pencils"/>
    <x v="0"/>
    <s v="Wrap Bag"/>
    <s v="Regular Air"/>
    <n v="43411"/>
    <n v="26400"/>
    <n v="44100"/>
    <n v="17700"/>
    <n v="35"/>
    <n v="619500"/>
    <n v="0.09"/>
    <n v="55755"/>
    <n v="563745"/>
    <n v="5000"/>
    <n v="568745"/>
  </r>
  <r>
    <s v="5990-1"/>
    <d v="2018-11-06T00:00:00"/>
    <n v="2018"/>
    <s v="Carub Hardiansyah"/>
    <s v="Gang H.J Maemunah No. 6"/>
    <s v="Jakarta"/>
    <x v="0"/>
    <s v="E1028"/>
    <s v="Gaduh Pratama"/>
    <s v="Gaduh Pratama"/>
    <s v="High"/>
    <s v="Adams &quot;While You Were Out&quot; Message Pads"/>
    <x v="0"/>
    <s v="Wrap Bag"/>
    <s v="Express Air"/>
    <n v="43411"/>
    <n v="28200"/>
    <n v="47100"/>
    <n v="18900"/>
    <n v="43"/>
    <n v="812700"/>
    <n v="7.0000000000000007E-2"/>
    <n v="56889.000000000007"/>
    <n v="755811"/>
    <n v="10000"/>
    <n v="765811"/>
  </r>
  <r>
    <s v="5990-2"/>
    <d v="2018-11-06T00:00:00"/>
    <n v="2018"/>
    <s v="Carub Hardiansyah"/>
    <s v="Gang H.J Maemunah No. 6"/>
    <s v="Jakarta"/>
    <x v="0"/>
    <s v="E1028"/>
    <s v="Gaduh Pratama"/>
    <s v="Gaduh Pratama"/>
    <s v="High"/>
    <s v="Barrel Sharpener"/>
    <x v="0"/>
    <s v="Small Pack"/>
    <s v="Regular Air"/>
    <n v="43412"/>
    <n v="21900"/>
    <n v="53550"/>
    <n v="31650"/>
    <n v="19"/>
    <n v="601350"/>
    <n v="0.08"/>
    <n v="48108"/>
    <n v="553242"/>
    <n v="10000"/>
    <n v="563242"/>
  </r>
  <r>
    <s v="5993-1"/>
    <d v="2018-11-06T00:00:00"/>
    <n v="2018"/>
    <s v="Dacin Setiawan"/>
    <s v="Jl. K.H. Wahid Hasyim No. 4"/>
    <s v="Jakarta"/>
    <x v="0"/>
    <s v="E1028"/>
    <s v="Gaduh Pratama"/>
    <s v="Gaduh Pratama"/>
    <s v="Critical"/>
    <s v="Self-Adhesive Removable Labels"/>
    <x v="0"/>
    <s v="Small Box"/>
    <s v="Regular Air"/>
    <n v="43413"/>
    <n v="29700"/>
    <n v="47250"/>
    <n v="17550"/>
    <n v="17"/>
    <n v="298350"/>
    <n v="0.05"/>
    <n v="14917.5"/>
    <n v="283432.5"/>
    <n v="15000"/>
    <n v="298432.5"/>
  </r>
  <r>
    <s v="5994-1"/>
    <d v="2018-11-07T00:00:00"/>
    <n v="2018"/>
    <s v="Koko Setiawan"/>
    <s v="Gang Yos Sudarso No. 13"/>
    <s v="Surabaya"/>
    <x v="2"/>
    <s v="E1039"/>
    <s v="Nabila Prakasa"/>
    <s v="Nabila Prakasa"/>
    <s v="Medium"/>
    <s v="Alto Parchment Paper, Assorted Colors"/>
    <x v="0"/>
    <s v="Small Box"/>
    <s v="Express Air"/>
    <n v="43412"/>
    <n v="68850"/>
    <n v="109200"/>
    <n v="40350"/>
    <n v="20"/>
    <n v="807000"/>
    <n v="0.1"/>
    <n v="80700"/>
    <n v="726300"/>
    <n v="30000"/>
    <n v="756300"/>
  </r>
  <r>
    <s v="5996-1"/>
    <d v="2018-11-07T00:00:00"/>
    <n v="2018"/>
    <s v="Anom Hasanah"/>
    <s v="Jalan Gardujati No. 6"/>
    <s v="Surabaya"/>
    <x v="1"/>
    <s v="E1034"/>
    <s v="Ophelia Mustofa"/>
    <s v="Ophelia Mustofa"/>
    <s v="High"/>
    <s v="Angle-D Binders with Locking Rings, Label Holders"/>
    <x v="0"/>
    <s v="Small Box"/>
    <s v="Regular Air"/>
    <n v="43411"/>
    <n v="67950"/>
    <n v="109500"/>
    <n v="41550"/>
    <n v="12"/>
    <n v="498600"/>
    <n v="0.03"/>
    <n v="14958"/>
    <n v="483642"/>
    <n v="15000"/>
    <n v="498642"/>
  </r>
  <r>
    <s v="5997-1"/>
    <d v="2018-11-08T00:00:00"/>
    <n v="2018"/>
    <s v="Jati Laksmiwati"/>
    <s v="Gg. Monginsidi No. 3"/>
    <s v="Jakarta"/>
    <x v="3"/>
    <s v="E1029"/>
    <s v="Laras Nuraini"/>
    <s v="Laras Nuraini"/>
    <s v="Low"/>
    <s v="Binder Clips by OIC"/>
    <x v="0"/>
    <s v="Wrap Bag"/>
    <s v="Express Air"/>
    <n v="43416"/>
    <n v="13950"/>
    <n v="22200"/>
    <n v="8250"/>
    <n v="37"/>
    <n v="305250"/>
    <n v="0.04"/>
    <n v="12210"/>
    <n v="293040"/>
    <n v="10000"/>
    <n v="303040"/>
  </r>
  <r>
    <s v="5997-2"/>
    <d v="2018-11-08T00:00:00"/>
    <n v="2018"/>
    <s v="Jati Laksmiwati"/>
    <s v="Gg. Monginsidi No. 3"/>
    <s v="Jakarta"/>
    <x v="3"/>
    <s v="E1029"/>
    <s v="Laras Nuraini"/>
    <s v="Laras Nuraini"/>
    <s v="Low"/>
    <s v="PastelOcean Color Pencil Set"/>
    <x v="0"/>
    <s v="Wrap Bag"/>
    <s v="Regular Air"/>
    <n v="43417"/>
    <n v="166650"/>
    <n v="297600"/>
    <n v="130950"/>
    <n v="28"/>
    <n v="3666600"/>
    <n v="0.08"/>
    <n v="293328"/>
    <n v="3373272"/>
    <n v="5000"/>
    <n v="3378272"/>
  </r>
  <r>
    <s v="6000-1"/>
    <d v="2018-11-10T00:00:00"/>
    <n v="2018"/>
    <s v="Lanjar Hakim"/>
    <s v="Jalan R.E Martadinata No. 6"/>
    <s v="Jakarta"/>
    <x v="1"/>
    <s v="E1029"/>
    <s v="Laras Nuraini"/>
    <s v="Laras Nuraini"/>
    <s v="High"/>
    <s v="Pizazz Drawing Pencil Set"/>
    <x v="0"/>
    <s v="Wrap Bag"/>
    <s v="Regular Air"/>
    <n v="43416"/>
    <n v="22950"/>
    <n v="41700"/>
    <n v="18750"/>
    <n v="38"/>
    <n v="712500"/>
    <n v="0.1"/>
    <n v="71250"/>
    <n v="641250"/>
    <n v="5000"/>
    <n v="646250"/>
  </r>
  <r>
    <s v="6001-1"/>
    <d v="2018-11-10T00:00:00"/>
    <n v="2018"/>
    <s v="Kawaya Hastuti"/>
    <s v="Jalan Pasirkoja No. 750"/>
    <s v="Surabaya"/>
    <x v="0"/>
    <s v="E1039"/>
    <s v="Nabila Prakasa"/>
    <s v="Nabila Prakasa"/>
    <s v="Not Specified"/>
    <s v="TypeRight Side-Opening Peel &amp; Seel Expanding Envelopes"/>
    <x v="0"/>
    <s v="Small Box"/>
    <s v="Regular Air"/>
    <n v="43415"/>
    <n v="814350"/>
    <n v="1357200"/>
    <n v="542850"/>
    <n v="15"/>
    <n v="8142750"/>
    <n v="0.01"/>
    <n v="81427.5"/>
    <n v="8061322.5"/>
    <n v="15000"/>
    <n v="8076322.5"/>
  </r>
  <r>
    <s v="6002-1"/>
    <d v="2018-11-11T00:00:00"/>
    <n v="2018"/>
    <s v="Arta Lestari"/>
    <s v="Jl. S. Parman No. 91"/>
    <s v="Surabaya"/>
    <x v="0"/>
    <s v="E1034"/>
    <s v="Ophelia Mustofa"/>
    <s v="Ophelia Mustofa"/>
    <s v="High"/>
    <s v="Artisan 487 Labels"/>
    <x v="0"/>
    <s v="Small Box"/>
    <s v="Express Air"/>
    <n v="43416"/>
    <n v="34350"/>
    <n v="55350"/>
    <n v="21000"/>
    <n v="48"/>
    <n v="1008000"/>
    <n v="0.1"/>
    <n v="100800"/>
    <n v="907200"/>
    <n v="30000"/>
    <n v="937200"/>
  </r>
  <r>
    <s v="6003-1"/>
    <d v="2018-11-11T00:00:00"/>
    <n v="2018"/>
    <s v="Karsana Halim"/>
    <s v="Jalan Jayawijaya No. 5"/>
    <s v="Surabaya"/>
    <x v="0"/>
    <s v="E1033"/>
    <s v="Paiman Firgantoro"/>
    <s v="Paiman Firgantoro"/>
    <s v="Medium"/>
    <s v="TechSavi Cordless Access Keyboard"/>
    <x v="1"/>
    <s v="Small Box"/>
    <s v="Express Air"/>
    <n v="43416"/>
    <n v="220500"/>
    <n v="449850"/>
    <n v="229350"/>
    <n v="27"/>
    <n v="6192450"/>
    <n v="0.05"/>
    <n v="309622.5"/>
    <n v="5882827.5"/>
    <n v="30000"/>
    <n v="5912827.5"/>
  </r>
  <r>
    <s v="6005-1"/>
    <d v="2018-11-13T00:00:00"/>
    <n v="2018"/>
    <s v="Hari Situmorang"/>
    <s v="Jalan Gardujati No. 513"/>
    <s v="Surabaya"/>
    <x v="0"/>
    <s v="E1036"/>
    <s v="Kenari Rajasa"/>
    <s v="Kenari Rajasa"/>
    <s v="Critical"/>
    <s v="TechSavi Cordless Navigator Duo"/>
    <x v="1"/>
    <s v="Small Box"/>
    <s v="Regular Air"/>
    <n v="43419"/>
    <n v="631650"/>
    <n v="1214700"/>
    <n v="583050"/>
    <n v="22"/>
    <n v="12827100"/>
    <n v="0.1"/>
    <n v="1282710"/>
    <n v="11544390"/>
    <n v="15000"/>
    <n v="11559390"/>
  </r>
  <r>
    <s v="6006-1"/>
    <d v="2018-11-14T00:00:00"/>
    <n v="2018"/>
    <s v="Bagus Setiawan"/>
    <s v="Jl. Monginsidi No. 1"/>
    <s v="Surabaya"/>
    <x v="0"/>
    <s v="E1031"/>
    <s v="Bagiya Sihombing"/>
    <s v="Bagiya Sihombing"/>
    <s v="Not Specified"/>
    <s v="Cando PC940 Copier"/>
    <x v="1"/>
    <s v="Large Box"/>
    <s v="Regular Air"/>
    <n v="43420"/>
    <n v="3240000"/>
    <n v="6749850"/>
    <n v="3509850"/>
    <n v="29"/>
    <n v="101785650"/>
    <n v="0"/>
    <n v="0"/>
    <n v="101785650"/>
    <n v="50000"/>
    <n v="101835650"/>
  </r>
  <r>
    <s v="6007-1"/>
    <d v="2018-11-14T00:00:00"/>
    <n v="2018"/>
    <s v="Kambali Wahyuni"/>
    <s v="Jl. K.H. Wahid Hasyim No. 4"/>
    <s v="Jakarta"/>
    <x v="2"/>
    <s v="E1029"/>
    <s v="Laras Nuraini"/>
    <s v="Laras Nuraini"/>
    <s v="Not Specified"/>
    <s v="Xit Blank Computer Paper"/>
    <x v="0"/>
    <s v="Small Box"/>
    <s v="Regular Air"/>
    <n v="43420"/>
    <n v="185850"/>
    <n v="299700"/>
    <n v="113850"/>
    <n v="44"/>
    <n v="5009400"/>
    <n v="7.0000000000000007E-2"/>
    <n v="350658.00000000006"/>
    <n v="4658742"/>
    <n v="15000"/>
    <n v="4673742"/>
  </r>
  <r>
    <s v="6009-1"/>
    <d v="2018-11-15T00:00:00"/>
    <n v="2018"/>
    <s v="Opung Saptono"/>
    <s v="Jl. Medokan Ayu No. 7"/>
    <s v="Surabaya"/>
    <x v="1"/>
    <s v="E1038"/>
    <s v="Clara Prasetyo"/>
    <s v="Clara Prasetyo"/>
    <s v="Low"/>
    <s v="Economy Binders"/>
    <x v="0"/>
    <s v="Small Box"/>
    <s v="Regular Air"/>
    <n v="43424"/>
    <n v="19950"/>
    <n v="31200"/>
    <n v="11250"/>
    <n v="20"/>
    <n v="225000"/>
    <n v="0.1"/>
    <n v="22500"/>
    <n v="202500"/>
    <n v="15000"/>
    <n v="217500"/>
  </r>
  <r>
    <s v="6011-1"/>
    <d v="2018-11-19T00:00:00"/>
    <n v="2018"/>
    <s v="Kezia Astuti"/>
    <s v="Jl. Rumah Sakit No. 65"/>
    <s v="Surabaya"/>
    <x v="1"/>
    <s v="E1030"/>
    <s v="Cinthia Gunawan"/>
    <s v="Cinthia Gunawan"/>
    <s v="Critical"/>
    <s v="Unpadded Memo Slips"/>
    <x v="0"/>
    <s v="Wrap Bag"/>
    <s v="Regular Air"/>
    <n v="43424"/>
    <n v="38850"/>
    <n v="59700"/>
    <n v="20850"/>
    <n v="16"/>
    <n v="333600"/>
    <n v="0.09"/>
    <n v="30024"/>
    <n v="303576"/>
    <n v="5000"/>
    <n v="308576"/>
  </r>
  <r>
    <s v="6012-1"/>
    <d v="2018-11-20T00:00:00"/>
    <n v="2018"/>
    <s v="Tantri Handayani"/>
    <s v="Jalan Astana Anyar No. 41"/>
    <s v="Jakarta"/>
    <x v="1"/>
    <s v="E1028"/>
    <s v="Gaduh Pratama"/>
    <s v="Gaduh Pratama"/>
    <s v="High"/>
    <s v="Artisan Printable Repositionable Plastic Tabs"/>
    <x v="0"/>
    <s v="Small Box"/>
    <s v="Express Air"/>
    <n v="43425"/>
    <n v="79950"/>
    <n v="129000"/>
    <n v="49050"/>
    <n v="15"/>
    <n v="735750"/>
    <n v="0.04"/>
    <n v="29430"/>
    <n v="706320"/>
    <n v="30000"/>
    <n v="736320"/>
  </r>
  <r>
    <s v="6014-1"/>
    <d v="2018-11-22T00:00:00"/>
    <n v="2018"/>
    <s v="Ida Waluyo"/>
    <s v="Gang Ciwastra No. 43"/>
    <s v="Surabaya"/>
    <x v="3"/>
    <s v="E1040"/>
    <s v="Sutan Tirtayasa Wasita"/>
    <s v="Sutan Tirtayasa Wasita"/>
    <s v="Not Specified"/>
    <s v="Alto 3-Hole Punch"/>
    <x v="0"/>
    <s v="Small Box"/>
    <s v="Regular Air"/>
    <n v="43427"/>
    <n v="41400"/>
    <n v="65700"/>
    <n v="24300"/>
    <n v="24"/>
    <n v="583200"/>
    <n v="0.02"/>
    <n v="11664"/>
    <n v="571536"/>
    <n v="15000"/>
    <n v="586536"/>
  </r>
  <r>
    <s v="6014-2"/>
    <d v="2018-11-22T00:00:00"/>
    <n v="2018"/>
    <s v="Ida Waluyo"/>
    <s v="Gang Ciwastra No. 43"/>
    <s v="Surabaya"/>
    <x v="3"/>
    <s v="E1040"/>
    <s v="Sutan Tirtayasa Wasita"/>
    <s v="Sutan Tirtayasa Wasita"/>
    <s v="Not Specified"/>
    <s v="Apex Forged Steel Scissors with Black Enamel Handles"/>
    <x v="0"/>
    <s v="Small Pack"/>
    <s v="Regular Air"/>
    <n v="43429"/>
    <n v="61499.999999999993"/>
    <n v="139650"/>
    <n v="78150"/>
    <n v="30"/>
    <n v="2344500"/>
    <n v="0.03"/>
    <n v="70335"/>
    <n v="2274165"/>
    <n v="10000"/>
    <n v="2284165"/>
  </r>
  <r>
    <s v="6017-1"/>
    <d v="2018-11-23T00:00:00"/>
    <n v="2018"/>
    <s v="Gabriella Napitupulu"/>
    <s v="Jl. HOS. Cokroaminoto No. 1"/>
    <s v="Surabaya"/>
    <x v="2"/>
    <s v="E1039"/>
    <s v="Nabila Prakasa"/>
    <s v="Nabila Prakasa"/>
    <s v="High"/>
    <s v="HFX LaserJet 3310 Copier"/>
    <x v="1"/>
    <s v="Large Box"/>
    <s v="Regular Air"/>
    <n v="43428"/>
    <n v="5669850"/>
    <n v="8999850"/>
    <n v="3330000"/>
    <n v="46"/>
    <n v="153180000"/>
    <n v="7.0000000000000007E-2"/>
    <n v="10722600.000000002"/>
    <n v="142457400"/>
    <n v="50000"/>
    <n v="142507400"/>
  </r>
  <r>
    <s v="6019-1"/>
    <d v="2018-11-23T00:00:00"/>
    <n v="2018"/>
    <s v="Prayitna Pangestu"/>
    <s v="Gang Ciwastra No. 43"/>
    <s v="Surabaya"/>
    <x v="3"/>
    <s v="E1040"/>
    <s v="Sutan Tirtayasa Wasita"/>
    <s v="Sutan Tirtayasa Wasita"/>
    <s v="High"/>
    <s v="Pizazz Colored Pencils"/>
    <x v="0"/>
    <s v="Wrap Bag"/>
    <s v="Regular Air"/>
    <n v="43430"/>
    <n v="26400"/>
    <n v="44100"/>
    <n v="17700"/>
    <n v="39"/>
    <n v="690300"/>
    <n v="0.04"/>
    <n v="27612"/>
    <n v="662688"/>
    <n v="5000"/>
    <n v="667688"/>
  </r>
  <r>
    <s v="6021-1"/>
    <d v="2018-11-23T00:00:00"/>
    <n v="2018"/>
    <s v="Zaenab Aryani"/>
    <s v="Gg. Suniaraja No. 21"/>
    <s v="Surabaya"/>
    <x v="2"/>
    <s v="E1031"/>
    <s v="Bagiya Sihombing"/>
    <s v="Bagiya Sihombing"/>
    <s v="High"/>
    <s v="TechSavi Access Keyboard"/>
    <x v="1"/>
    <s v="Small Box"/>
    <s v="Express Air"/>
    <n v="43428"/>
    <n v="151050"/>
    <n v="239700"/>
    <n v="88650"/>
    <n v="7"/>
    <n v="620550"/>
    <n v="0.04"/>
    <n v="24822"/>
    <n v="595728"/>
    <n v="30000"/>
    <n v="625728"/>
  </r>
  <r>
    <s v="6023-1"/>
    <d v="2018-11-24T00:00:00"/>
    <n v="2018"/>
    <s v="Cahyono Hidayanto"/>
    <s v="Jl. Gardujati No. 82"/>
    <s v="Surabaya"/>
    <x v="1"/>
    <s v="E1037"/>
    <s v="Puti Nadine Prakasa"/>
    <s v="Puti Nadine Prakasa"/>
    <s v="Not Specified"/>
    <s v="TechSavi Internet Navigator Keyboard"/>
    <x v="1"/>
    <s v="Small Box"/>
    <s v="Regular Air"/>
    <n v="43431"/>
    <n v="97650"/>
    <n v="464700"/>
    <n v="367050"/>
    <n v="8"/>
    <n v="2936400"/>
    <n v="0.06"/>
    <n v="176184"/>
    <n v="2760216"/>
    <n v="15000"/>
    <n v="2775216"/>
  </r>
  <r>
    <s v="6025-1"/>
    <d v="2018-11-26T00:00:00"/>
    <n v="2018"/>
    <s v="Jais Wahyudin"/>
    <s v="Gg. Otto Iskandardinata No. 6"/>
    <s v="Jakarta"/>
    <x v="1"/>
    <s v="E1029"/>
    <s v="Laras Nuraini"/>
    <s v="Laras Nuraini"/>
    <s v="Medium"/>
    <s v="Steady Major Accent Highlighters"/>
    <x v="0"/>
    <s v="Wrap Bag"/>
    <s v="Regular Air"/>
    <n v="43432"/>
    <n v="56250"/>
    <n v="106200"/>
    <n v="49950"/>
    <n v="48"/>
    <n v="2397600"/>
    <n v="0.03"/>
    <n v="71928"/>
    <n v="2325672"/>
    <n v="5000"/>
    <n v="2330672"/>
  </r>
  <r>
    <s v="6027-1"/>
    <d v="2018-11-27T00:00:00"/>
    <n v="2018"/>
    <s v="Chandra Firmansyah"/>
    <s v="Jalan Kutai No. 503"/>
    <s v="Surabaya"/>
    <x v="2"/>
    <s v="E1039"/>
    <s v="Nabila Prakasa"/>
    <s v="Nabila Prakasa"/>
    <s v="High"/>
    <s v="Binder Posts"/>
    <x v="0"/>
    <s v="Small Box"/>
    <s v="Express Air"/>
    <n v="43433"/>
    <n v="52500"/>
    <n v="86100"/>
    <n v="33600"/>
    <n v="32"/>
    <n v="1075200"/>
    <n v="0.08"/>
    <n v="86016"/>
    <n v="989184"/>
    <n v="30000"/>
    <n v="1019184"/>
  </r>
  <r>
    <s v="6029-1"/>
    <d v="2018-12-03T00:00:00"/>
    <n v="2018"/>
    <s v="Bagus Setiawan"/>
    <s v="Jl. Monginsidi No. 1"/>
    <s v="Surabaya"/>
    <x v="0"/>
    <s v="E1031"/>
    <s v="Bagiya Sihombing"/>
    <s v="Bagiya Sihombing"/>
    <s v="Not Specified"/>
    <s v="Self-Adhesive Ring Binder Labels"/>
    <x v="0"/>
    <s v="Small Box"/>
    <s v="Regular Air"/>
    <n v="43439"/>
    <n v="32700.000000000004"/>
    <n v="52800"/>
    <n v="20099.999999999996"/>
    <n v="38"/>
    <n v="763799.99999999988"/>
    <n v="0.09"/>
    <n v="68741.999999999985"/>
    <n v="695057.99999999988"/>
    <n v="15000"/>
    <n v="710057.99999999988"/>
  </r>
  <r>
    <s v="6030-1"/>
    <d v="2018-12-04T00:00:00"/>
    <n v="2018"/>
    <s v="Ajimin Suartini"/>
    <s v="Gg. Surapati No. 471"/>
    <s v="Surabaya"/>
    <x v="0"/>
    <s v="E1038"/>
    <s v="Clara Prasetyo"/>
    <s v="Clara Prasetyo"/>
    <s v="Low"/>
    <s v="TechSavi Access Keyboard"/>
    <x v="1"/>
    <s v="Small Box"/>
    <s v="Regular Air"/>
    <n v="43443"/>
    <n v="151050"/>
    <n v="239700"/>
    <n v="88650"/>
    <n v="6"/>
    <n v="531900"/>
    <n v="0.1"/>
    <n v="53190"/>
    <n v="478710"/>
    <n v="15000"/>
    <n v="493710"/>
  </r>
  <r>
    <s v="6032-1"/>
    <d v="2018-12-05T00:00:00"/>
    <n v="2018"/>
    <s v="Azalea Anggriawan"/>
    <s v="Gang Raya Setiabudhi No. 870"/>
    <s v="Jakarta"/>
    <x v="3"/>
    <s v="E1028"/>
    <s v="Gaduh Pratama"/>
    <s v="Gaduh Pratama"/>
    <s v="Low"/>
    <s v="Alto Six-Outlet Power Strip, 4 Cord Length"/>
    <x v="0"/>
    <s v="Small Box"/>
    <s v="Express Air"/>
    <n v="43446"/>
    <n v="52950"/>
    <n v="129299.99999999999"/>
    <n v="76349.999999999985"/>
    <n v="8"/>
    <n v="610799.99999999988"/>
    <n v="0"/>
    <n v="0"/>
    <n v="610799.99999999988"/>
    <n v="30000"/>
    <n v="640799.99999999988"/>
  </r>
  <r>
    <s v="6034-1"/>
    <d v="2018-12-06T00:00:00"/>
    <n v="2018"/>
    <s v="Prasetya Wahyuni"/>
    <s v="Jl. Ciwastra No. 543"/>
    <s v="Jakarta"/>
    <x v="3"/>
    <s v="E1029"/>
    <s v="Laras Nuraini"/>
    <s v="Laras Nuraini"/>
    <s v="High"/>
    <s v="24 Capacity Maxi Data Binder Racks, Pearl"/>
    <x v="0"/>
    <s v="Small Box"/>
    <s v="Express Air"/>
    <n v="43441"/>
    <n v="1263300"/>
    <n v="3158250"/>
    <n v="1894950"/>
    <n v="2"/>
    <n v="3789900"/>
    <n v="0.05"/>
    <n v="189495"/>
    <n v="3600405"/>
    <n v="30000"/>
    <n v="3630405"/>
  </r>
  <r>
    <s v="6036-1"/>
    <d v="2018-12-06T00:00:00"/>
    <n v="2018"/>
    <s v="Opung Padmasari"/>
    <s v="Gang Pacuan Kuda No. 04"/>
    <s v="Surabaya"/>
    <x v="1"/>
    <s v="E1037"/>
    <s v="Puti Nadine Prakasa"/>
    <s v="Puti Nadine Prakasa"/>
    <s v="Low"/>
    <s v="Creator Anti Dust Chalk, 12/Pack"/>
    <x v="0"/>
    <s v="Wrap Bag"/>
    <s v="Regular Air"/>
    <n v="43444"/>
    <n v="16350.000000000002"/>
    <n v="27300"/>
    <n v="10949.999999999998"/>
    <n v="42"/>
    <n v="459899.99999999994"/>
    <n v="0.08"/>
    <n v="36791.999999999993"/>
    <n v="423107.99999999994"/>
    <n v="5000"/>
    <n v="428107.99999999994"/>
  </r>
  <r>
    <s v="6037-1"/>
    <d v="2018-12-06T00:00:00"/>
    <n v="2018"/>
    <s v="Ilsa Hassanah"/>
    <s v="Gg. Cihampelas No. 423"/>
    <s v="Surabaya"/>
    <x v="3"/>
    <s v="E1030"/>
    <s v="Cinthia Gunawan"/>
    <s v="Cinthia Gunawan"/>
    <s v="Critical"/>
    <s v="Steady 52201 APSCO Electric Pencil Sharpener"/>
    <x v="0"/>
    <s v="Small Pack"/>
    <s v="Regular Air"/>
    <n v="43442"/>
    <n v="252000"/>
    <n v="614550"/>
    <n v="362550"/>
    <n v="28"/>
    <n v="10151400"/>
    <n v="0.04"/>
    <n v="406056"/>
    <n v="9745344"/>
    <n v="10000"/>
    <n v="9755344"/>
  </r>
  <r>
    <s v="6038-1"/>
    <d v="2018-12-08T00:00:00"/>
    <n v="2018"/>
    <s v="Bakidin Anggraini"/>
    <s v="Jl. Rumah Sakit No. 738"/>
    <s v="Jakarta"/>
    <x v="1"/>
    <s v="E1028"/>
    <s v="Gaduh Pratama"/>
    <s v="Gaduh Pratama"/>
    <s v="Medium"/>
    <s v="Airmail Envelopes"/>
    <x v="0"/>
    <s v="Small Box"/>
    <s v="Regular Air"/>
    <n v="43444"/>
    <n v="780600"/>
    <n v="1258950"/>
    <n v="478350"/>
    <n v="3"/>
    <n v="1435050"/>
    <n v="0"/>
    <n v="0"/>
    <n v="1435050"/>
    <n v="15000"/>
    <n v="1450050"/>
  </r>
  <r>
    <s v="6039-1"/>
    <d v="2018-12-08T00:00:00"/>
    <n v="2018"/>
    <s v="Ami Utami"/>
    <s v="Jl. S. Parman No. 91"/>
    <s v="Surabaya"/>
    <x v="1"/>
    <s v="E1034"/>
    <s v="Ophelia Mustofa"/>
    <s v="Ophelia Mustofa"/>
    <s v="Not Specified"/>
    <s v="Artisan 487 Labels"/>
    <x v="0"/>
    <s v="Small Box"/>
    <s v="Regular Air"/>
    <n v="43443"/>
    <n v="34350"/>
    <n v="55350"/>
    <n v="21000"/>
    <n v="39"/>
    <n v="819000"/>
    <n v="0.03"/>
    <n v="24570"/>
    <n v="794430"/>
    <n v="15000"/>
    <n v="809430"/>
  </r>
  <r>
    <s v="6042-1"/>
    <d v="2018-12-10T00:00:00"/>
    <n v="2018"/>
    <s v="Kairav Winarno"/>
    <s v="Gg. Suniaraja No. 21"/>
    <s v="Surabaya"/>
    <x v="3"/>
    <s v="E1031"/>
    <s v="Bagiya Sihombing"/>
    <s v="Bagiya Sihombing"/>
    <s v="Critical"/>
    <s v="Artisan 481 Labels"/>
    <x v="0"/>
    <s v="Small Box"/>
    <s v="Regular Air"/>
    <n v="43446"/>
    <n v="29100"/>
    <n v="46200"/>
    <n v="17100"/>
    <n v="6"/>
    <n v="102600"/>
    <n v="0.02"/>
    <n v="2052"/>
    <n v="100548"/>
    <n v="15000"/>
    <n v="115548"/>
  </r>
  <r>
    <s v="6044-1"/>
    <d v="2018-12-12T00:00:00"/>
    <n v="2018"/>
    <s v="Opan Permata"/>
    <s v="Jalan Kapten Muslihat No. 4"/>
    <s v="Surabaya"/>
    <x v="1"/>
    <s v="E1030"/>
    <s v="Cinthia Gunawan"/>
    <s v="Cinthia Gunawan"/>
    <s v="Medium"/>
    <s v="600 Series Flip"/>
    <x v="1"/>
    <s v="Small Box"/>
    <s v="Regular Air"/>
    <n v="43448"/>
    <n v="619200"/>
    <n v="1439850"/>
    <n v="820650"/>
    <n v="26"/>
    <n v="21336900"/>
    <n v="0.02"/>
    <n v="426738"/>
    <n v="20910162"/>
    <n v="15000"/>
    <n v="20925162"/>
  </r>
  <r>
    <s v="6046-1"/>
    <d v="2018-12-13T00:00:00"/>
    <n v="2018"/>
    <s v="Ophelia Natsir"/>
    <s v="Jalan Sukajadi No. 09"/>
    <s v="Bandung"/>
    <x v="2"/>
    <s v="E1039"/>
    <s v="Nabila Prakasa"/>
    <s v="Nabila Prakasa"/>
    <s v="Low"/>
    <s v="3Max Organizer Strips"/>
    <x v="0"/>
    <s v="Small Box"/>
    <s v="Regular Air"/>
    <n v="43447"/>
    <n v="51000"/>
    <n v="81000"/>
    <n v="30000"/>
    <n v="14"/>
    <n v="420000"/>
    <n v="0.02"/>
    <n v="8400"/>
    <n v="411600"/>
    <n v="15000"/>
    <n v="426600"/>
  </r>
  <r>
    <s v="6048-1"/>
    <d v="2018-12-13T00:00:00"/>
    <n v="2018"/>
    <s v="Rusman Adriansyah"/>
    <s v="Jalan Astana Anyar No. 41"/>
    <s v="Jakarta"/>
    <x v="0"/>
    <s v="E1028"/>
    <s v="Gaduh Pratama"/>
    <s v="Gaduh Pratama"/>
    <s v="Critical"/>
    <s v="Beekin 6 Outlet Metallic Surge Strip"/>
    <x v="0"/>
    <s v="Small Box"/>
    <s v="Regular Air"/>
    <n v="43448"/>
    <n v="66900"/>
    <n v="163350"/>
    <n v="96450"/>
    <n v="50"/>
    <n v="4822500"/>
    <n v="0.09"/>
    <n v="434025"/>
    <n v="4388475"/>
    <n v="15000"/>
    <n v="4403475"/>
  </r>
  <r>
    <s v="6050-1"/>
    <d v="2018-12-15T00:00:00"/>
    <n v="2018"/>
    <s v="Cawuk Pradipta"/>
    <s v="Gang Jakarta No. 938"/>
    <s v="Surabaya"/>
    <x v="0"/>
    <s v="E1036"/>
    <s v="Kenari Rajasa"/>
    <s v="Kenari Rajasa"/>
    <s v="Medium"/>
    <s v="TechSavi Cordless Elite Duo"/>
    <x v="1"/>
    <s v="Small Box"/>
    <s v="Regular Air"/>
    <n v="43452"/>
    <n v="908850"/>
    <n v="1514700"/>
    <n v="605850"/>
    <n v="9"/>
    <n v="5452650"/>
    <n v="0.1"/>
    <n v="545265"/>
    <n v="4907385"/>
    <n v="15000"/>
    <n v="4922385"/>
  </r>
  <r>
    <s v="6052-1"/>
    <d v="2018-12-15T00:00:00"/>
    <n v="2018"/>
    <s v="Anom Januar"/>
    <s v="Gg. Cihampelas No. 423"/>
    <s v="Surabaya"/>
    <x v="1"/>
    <s v="E1030"/>
    <s v="Cinthia Gunawan"/>
    <s v="Cinthia Gunawan"/>
    <s v="Medium"/>
    <s v="UGen Ultra Professional Cordless Optical Suite"/>
    <x v="1"/>
    <s v="Small Box"/>
    <s v="Regular Air"/>
    <n v="43451"/>
    <n v="2347500"/>
    <n v="4514550"/>
    <n v="2167050"/>
    <n v="20"/>
    <n v="43341000"/>
    <n v="0.05"/>
    <n v="2167050"/>
    <n v="41173950"/>
    <n v="15000"/>
    <n v="41188950"/>
  </r>
  <r>
    <s v="6054-1"/>
    <d v="2018-12-16T00:00:00"/>
    <n v="2018"/>
    <s v="Yance Anggraini"/>
    <s v="Jl. Erlangga No. 7"/>
    <s v="Surabaya"/>
    <x v="1"/>
    <s v="E1033"/>
    <s v="Paiman Firgantoro"/>
    <s v="Paiman Firgantoro"/>
    <s v="Low"/>
    <s v="Beekin 6 Outlet Metallic Surge Strip"/>
    <x v="0"/>
    <s v="Small Box"/>
    <s v="Regular Air"/>
    <n v="43454"/>
    <n v="66900"/>
    <n v="163350"/>
    <n v="96450"/>
    <n v="3"/>
    <n v="289350"/>
    <n v="0.08"/>
    <n v="23148"/>
    <n v="266202"/>
    <n v="15000"/>
    <n v="281202"/>
  </r>
  <r>
    <s v="6056-1"/>
    <d v="2018-12-17T00:00:00"/>
    <n v="2018"/>
    <s v="Nardi Simanjuntak"/>
    <s v="Jalan R.E Martadinata No. 6"/>
    <s v="Jakarta"/>
    <x v="2"/>
    <s v="E1029"/>
    <s v="Laras Nuraini"/>
    <s v="Laras Nuraini"/>
    <s v="Medium"/>
    <s v="Cando S750 Color Inkjet Printer"/>
    <x v="1"/>
    <s v="Jumbo Drum"/>
    <s v="Delivery Truck"/>
    <n v="43453"/>
    <n v="1125000"/>
    <n v="1814550"/>
    <n v="689550"/>
    <n v="46"/>
    <n v="31719300"/>
    <n v="7.0000000000000007E-2"/>
    <n v="2220351"/>
    <n v="29498949"/>
    <n v="500000"/>
    <n v="29998949"/>
  </r>
  <r>
    <s v="6057-1"/>
    <d v="2018-12-19T00:00:00"/>
    <n v="2018"/>
    <s v="Respati Puspita"/>
    <s v="Gang Pelajar Pejuang No. 95"/>
    <s v="Bandung"/>
    <x v="1"/>
    <s v="E1033"/>
    <s v="Paiman Firgantoro"/>
    <s v="Paiman Firgantoro"/>
    <s v="Critical"/>
    <s v="TechSavi Cordless Elite Duo"/>
    <x v="1"/>
    <s v="Small Box"/>
    <s v="Regular Air"/>
    <n v="43454"/>
    <n v="908850"/>
    <n v="1514700"/>
    <n v="605850"/>
    <n v="44"/>
    <n v="26657400"/>
    <n v="0.09"/>
    <n v="2399166"/>
    <n v="24258234"/>
    <n v="15000"/>
    <n v="24273234"/>
  </r>
  <r>
    <s v="6058-1"/>
    <d v="2018-12-20T00:00:00"/>
    <n v="2018"/>
    <s v="Emas Megantara"/>
    <s v="Jalan Sukabumi No. 509"/>
    <s v="Surabaya"/>
    <x v="3"/>
    <s v="E1030"/>
    <s v="Cinthia Gunawan"/>
    <s v="Cinthia Gunawan"/>
    <s v="High"/>
    <s v="Smiths SlimLine Pencil Sharpener"/>
    <x v="0"/>
    <s v="Small Pack"/>
    <s v="Regular Air"/>
    <n v="43456"/>
    <n v="71850"/>
    <n v="179550"/>
    <n v="107700"/>
    <n v="48"/>
    <n v="5169600"/>
    <n v="0.02"/>
    <n v="103392"/>
    <n v="5066208"/>
    <n v="10000"/>
    <n v="5076208"/>
  </r>
  <r>
    <s v="6059-1"/>
    <d v="2018-12-21T00:00:00"/>
    <n v="2018"/>
    <s v="Kamila Sinaga"/>
    <s v="Gang H.J Maemunah No. 6"/>
    <s v="Surabaya"/>
    <x v="1"/>
    <s v="E1039"/>
    <s v="Nabila Prakasa"/>
    <s v="Nabila Prakasa"/>
    <s v="High"/>
    <s v="Alto Memo Cubes"/>
    <x v="0"/>
    <s v="Wrap Bag"/>
    <s v="Regular Air"/>
    <n v="43457"/>
    <n v="49800"/>
    <n v="77700"/>
    <n v="27900"/>
    <n v="20"/>
    <n v="558000"/>
    <n v="0.06"/>
    <n v="33480"/>
    <n v="524520"/>
    <n v="5000"/>
    <n v="529520"/>
  </r>
  <r>
    <s v="6061-1"/>
    <d v="2018-12-21T00:00:00"/>
    <n v="2018"/>
    <s v="Cindy Maryati"/>
    <s v="Gg. Jakarta No. 646"/>
    <s v="Jakarta"/>
    <x v="3"/>
    <s v="E1029"/>
    <s v="Laras Nuraini"/>
    <s v="Laras Nuraini"/>
    <s v="High"/>
    <s v="Bagged Rubber Bands"/>
    <x v="0"/>
    <s v="Wrap Bag"/>
    <s v="Regular Air"/>
    <n v="43457"/>
    <n v="3600"/>
    <n v="18900"/>
    <n v="15300"/>
    <n v="31"/>
    <n v="474300"/>
    <n v="0.06"/>
    <n v="28458"/>
    <n v="445842"/>
    <n v="5000"/>
    <n v="450842"/>
  </r>
  <r>
    <s v="6063-1"/>
    <d v="2018-12-23T00:00:00"/>
    <n v="2018"/>
    <s v="Cawisadi Wijaya"/>
    <s v="Gang Ahmad Yani No. 6"/>
    <s v="Surabaya"/>
    <x v="1"/>
    <s v="E1038"/>
    <s v="Clara Prasetyo"/>
    <s v="Clara Prasetyo"/>
    <s v="Critical"/>
    <s v="Colored Envelopes"/>
    <x v="0"/>
    <s v="Small Box"/>
    <s v="Express Air"/>
    <n v="43458"/>
    <n v="33750"/>
    <n v="55350"/>
    <n v="21600"/>
    <n v="23"/>
    <n v="496800"/>
    <n v="0.02"/>
    <n v="9936"/>
    <n v="486864"/>
    <n v="30000"/>
    <n v="516864"/>
  </r>
  <r>
    <s v="6065-1"/>
    <d v="2018-12-24T00:00:00"/>
    <n v="2018"/>
    <s v="Kamidin Yolanda"/>
    <s v="Jalan Pasteur No. 217"/>
    <s v="Surabaya"/>
    <x v="2"/>
    <s v="E1031"/>
    <s v="Bagiya Sihombing"/>
    <s v="Bagiya Sihombing"/>
    <s v="Not Specified"/>
    <s v="Pizazz Colored Pencils"/>
    <x v="0"/>
    <s v="Wrap Bag"/>
    <s v="Express Air"/>
    <n v="43458"/>
    <n v="26400"/>
    <n v="44100"/>
    <n v="17700"/>
    <n v="47"/>
    <n v="831900"/>
    <n v="0.04"/>
    <n v="33276"/>
    <n v="798624"/>
    <n v="10000"/>
    <n v="808624"/>
  </r>
  <r>
    <s v="6066-1"/>
    <d v="2018-12-25T00:00:00"/>
    <n v="2018"/>
    <s v="Ayu Ardianto"/>
    <s v="Gg. Siliwangi No. 26"/>
    <s v="Jakarta"/>
    <x v="3"/>
    <s v="E1029"/>
    <s v="Laras Nuraini"/>
    <s v="Laras Nuraini"/>
    <s v="Not Specified"/>
    <s v="Assorted Color Push Pins"/>
    <x v="0"/>
    <s v="Wrap Bag"/>
    <s v="Regular Air"/>
    <n v="43460"/>
    <n v="13050"/>
    <n v="27150"/>
    <n v="14100"/>
    <n v="6"/>
    <n v="84600"/>
    <n v="7.0000000000000007E-2"/>
    <n v="5922.0000000000009"/>
    <n v="78678"/>
    <n v="5000"/>
    <n v="83678"/>
  </r>
  <r>
    <s v="6067-1"/>
    <d v="2018-12-28T00:00:00"/>
    <n v="2018"/>
    <s v="Mahmud Tampubolon"/>
    <s v="Jl. S. Parman No. 38"/>
    <s v="Surabaya"/>
    <x v="1"/>
    <s v="E1033"/>
    <s v="Paiman Firgantoro"/>
    <s v="Paiman Firgantoro"/>
    <s v="Critical"/>
    <s v="Binder Clips by OIC"/>
    <x v="0"/>
    <s v="Wrap Bag"/>
    <s v="Regular Air"/>
    <n v="43464"/>
    <n v="13950"/>
    <n v="22200"/>
    <n v="8250"/>
    <n v="1"/>
    <n v="8250"/>
    <n v="0.01"/>
    <n v="82.5"/>
    <n v="8167.5"/>
    <n v="5000"/>
    <n v="13167.5"/>
  </r>
  <r>
    <s v="6068-1"/>
    <d v="2018-12-29T00:00:00"/>
    <n v="2018"/>
    <s v="Praba Widodo"/>
    <s v="Gang Jakarta No. 938"/>
    <s v="Surabaya"/>
    <x v="1"/>
    <s v="E1036"/>
    <s v="Kenari Rajasa"/>
    <s v="Kenari Rajasa"/>
    <s v="Low"/>
    <s v="Apex Office Executive Series Stainless Steel Trimmers"/>
    <x v="0"/>
    <s v="Small Pack"/>
    <s v="Express Air"/>
    <n v="43468"/>
    <n v="52650"/>
    <n v="128550"/>
    <n v="75900"/>
    <n v="49"/>
    <n v="3719100"/>
    <n v="0.01"/>
    <n v="37191"/>
    <n v="3681909"/>
    <n v="20000"/>
    <n v="3701909"/>
  </r>
  <r>
    <s v="6070-1"/>
    <d v="2018-12-30T00:00:00"/>
    <n v="2018"/>
    <s v="Emas Megantara"/>
    <s v="Jalan Sukabumi No. 509"/>
    <s v="Surabaya"/>
    <x v="3"/>
    <s v="E1030"/>
    <s v="Cinthia Gunawan"/>
    <s v="Cinthia Gunawan"/>
    <s v="Not Specified"/>
    <s v="Smiths Gold Paper Clips"/>
    <x v="0"/>
    <s v="Wrap Bag"/>
    <s v="Regular Air"/>
    <n v="43464"/>
    <n v="27300"/>
    <n v="44700"/>
    <n v="17400"/>
    <n v="3"/>
    <n v="52200"/>
    <n v="0.04"/>
    <n v="2088"/>
    <n v="50112"/>
    <n v="5000"/>
    <n v="55112"/>
  </r>
  <r>
    <s v="6071-1"/>
    <d v="2019-01-07T00:00:00"/>
    <n v="2019"/>
    <s v="Ellis Wahyudin"/>
    <s v="Gg. Monginsidi No. 3"/>
    <s v="Jakarta"/>
    <x v="0"/>
    <s v="E1029"/>
    <s v="Laras Nuraini"/>
    <s v="Laras Nuraini"/>
    <s v="Not Specified"/>
    <s v="Artisan Legal 4-Ring Binder"/>
    <x v="0"/>
    <s v="Small Box"/>
    <s v="Regular Air"/>
    <n v="43473"/>
    <n v="204600"/>
    <n v="314700"/>
    <n v="110100"/>
    <n v="10"/>
    <n v="1101000"/>
    <n v="0.06"/>
    <n v="66060"/>
    <n v="1034940"/>
    <n v="15000"/>
    <n v="1049940"/>
  </r>
  <r>
    <s v="6072-1"/>
    <d v="2019-01-07T00:00:00"/>
    <n v="2019"/>
    <s v="Wirda Novitasari"/>
    <s v="Gang Monginsidi No. 138"/>
    <s v="Jakarta"/>
    <x v="1"/>
    <s v="E1029"/>
    <s v="Laras Nuraini"/>
    <s v="Laras Nuraini"/>
    <s v="Critical"/>
    <s v="Self-Adhesive Ring Binder Labels"/>
    <x v="0"/>
    <s v="Small Box"/>
    <s v="Regular Air"/>
    <n v="43474"/>
    <n v="32700.000000000004"/>
    <n v="52800"/>
    <n v="20099.999999999996"/>
    <n v="13"/>
    <n v="261299.99999999994"/>
    <n v="0.08"/>
    <n v="20903.999999999996"/>
    <n v="240395.99999999994"/>
    <n v="15000"/>
    <n v="255395.99999999994"/>
  </r>
  <r>
    <s v="6074-1"/>
    <d v="2019-01-08T00:00:00"/>
    <n v="2019"/>
    <s v="Luhung Sudiati"/>
    <s v="Gang Asia Afrika No. 96"/>
    <s v="Surabaya"/>
    <x v="1"/>
    <s v="E1036"/>
    <s v="Kenari Rajasa"/>
    <s v="Kenari Rajasa"/>
    <s v="High"/>
    <s v="3Max Organizer Strips"/>
    <x v="0"/>
    <s v="Small Box"/>
    <s v="Regular Air"/>
    <n v="43475"/>
    <n v="51000"/>
    <n v="81000"/>
    <n v="30000"/>
    <n v="10"/>
    <n v="300000"/>
    <n v="0.04"/>
    <n v="12000"/>
    <n v="288000"/>
    <n v="15000"/>
    <n v="303000"/>
  </r>
  <r>
    <s v="6076-1"/>
    <d v="2019-01-09T00:00:00"/>
    <n v="2019"/>
    <s v="Daruna Irawan"/>
    <s v="Gang Gedebage Selatan No. 1"/>
    <s v="Surabaya"/>
    <x v="3"/>
    <s v="E1036"/>
    <s v="Kenari Rajasa"/>
    <s v="Kenari Rajasa"/>
    <s v="Not Specified"/>
    <s v="Xit Blank Computer Paper"/>
    <x v="0"/>
    <s v="Small Box"/>
    <s v="Regular Air"/>
    <n v="43476"/>
    <n v="185850"/>
    <n v="299700"/>
    <n v="113850"/>
    <n v="20"/>
    <n v="2277000"/>
    <n v="0.05"/>
    <n v="113850"/>
    <n v="2163150"/>
    <n v="15000"/>
    <n v="2178150"/>
  </r>
  <r>
    <s v="6077-1"/>
    <d v="2019-01-09T00:00:00"/>
    <n v="2019"/>
    <s v="Ilyas Najmudin"/>
    <s v="Gg. Otto Iskandardinata No. 6"/>
    <s v="Jakarta"/>
    <x v="1"/>
    <s v="E1028"/>
    <s v="Gaduh Pratama"/>
    <s v="Gaduh Pratama"/>
    <s v="Low"/>
    <s v="Xit Blank Computer Paper"/>
    <x v="0"/>
    <s v="Small Box"/>
    <s v="Regular Air"/>
    <n v="43474"/>
    <n v="185850"/>
    <n v="299700"/>
    <n v="113850"/>
    <n v="34"/>
    <n v="3870900"/>
    <n v="0.06"/>
    <n v="232254"/>
    <n v="3638646"/>
    <n v="15000"/>
    <n v="3653646"/>
  </r>
  <r>
    <s v="6079-1"/>
    <d v="2019-01-10T00:00:00"/>
    <n v="2019"/>
    <s v="Karen Kuswandari"/>
    <s v="Jalan Jend. A. Yani No. 48"/>
    <s v="Surabaya"/>
    <x v="0"/>
    <s v="E1036"/>
    <s v="Kenari Rajasa"/>
    <s v="Kenari Rajasa"/>
    <s v="Not Specified"/>
    <s v="Steady Major Accent Highlighters"/>
    <x v="0"/>
    <s v="Wrap Bag"/>
    <s v="Regular Air"/>
    <n v="43477"/>
    <n v="56250"/>
    <n v="106200"/>
    <n v="49950"/>
    <n v="37"/>
    <n v="1848150"/>
    <n v="0.08"/>
    <n v="147852"/>
    <n v="1700298"/>
    <n v="5000"/>
    <n v="1705298"/>
  </r>
  <r>
    <s v="6081-1"/>
    <d v="2019-01-11T00:00:00"/>
    <n v="2019"/>
    <s v="Jati Laksmiwati"/>
    <s v="Gg. Monginsidi No. 3"/>
    <s v="Jakarta"/>
    <x v="3"/>
    <s v="E1029"/>
    <s v="Laras Nuraini"/>
    <s v="Laras Nuraini"/>
    <s v="Medium"/>
    <s v="Binder Posts"/>
    <x v="0"/>
    <s v="Small Box"/>
    <s v="Express Air"/>
    <n v="43477"/>
    <n v="52500"/>
    <n v="86100"/>
    <n v="33600"/>
    <n v="26"/>
    <n v="873600"/>
    <n v="0.03"/>
    <n v="26208"/>
    <n v="847392"/>
    <n v="30000"/>
    <n v="877392"/>
  </r>
  <r>
    <s v="6083-1"/>
    <d v="2019-01-13T00:00:00"/>
    <n v="2019"/>
    <s v="Dimas Marbun"/>
    <s v="Gg. Suniaraja No. 21"/>
    <s v="Surabaya"/>
    <x v="1"/>
    <s v="E1031"/>
    <s v="Bagiya Sihombing"/>
    <s v="Bagiya Sihombing"/>
    <s v="Low"/>
    <s v="Artisan Hi-Liter Comfort Grip Fluorescent Highlighter, Yellow Ink"/>
    <x v="0"/>
    <s v="Wrap Bag"/>
    <s v="Regular Air"/>
    <n v="43487"/>
    <n v="15750"/>
    <n v="29250"/>
    <n v="13500"/>
    <n v="4"/>
    <n v="54000"/>
    <n v="0.09"/>
    <n v="4860"/>
    <n v="49140"/>
    <n v="5000"/>
    <n v="54140"/>
  </r>
  <r>
    <s v="6085-1"/>
    <d v="2019-01-21T00:00:00"/>
    <n v="2019"/>
    <s v="Rahman Prastuti"/>
    <s v="Gang Jakarta No. 938"/>
    <s v="Surabaya"/>
    <x v="2"/>
    <s v="E1036"/>
    <s v="Kenari Rajasa"/>
    <s v="Kenari Rajasa"/>
    <s v="High"/>
    <s v="Emerson Stylus 1520 Color Inkjet Printer"/>
    <x v="1"/>
    <s v="Jumbo Drum"/>
    <s v="Delivery Truck"/>
    <n v="43488"/>
    <n v="4734150"/>
    <n v="7514550"/>
    <n v="2780400"/>
    <n v="25"/>
    <n v="69510000"/>
    <n v="0.02"/>
    <n v="1390200"/>
    <n v="68119800"/>
    <n v="500000"/>
    <n v="68619800"/>
  </r>
  <r>
    <s v="6086-1"/>
    <d v="2019-01-24T00:00:00"/>
    <n v="2019"/>
    <s v="Endah Budiyanto"/>
    <s v="Gg. Jayawijaya No. 34"/>
    <s v="Surabaya"/>
    <x v="1"/>
    <s v="E1039"/>
    <s v="Nabila Prakasa"/>
    <s v="Nabila Prakasa"/>
    <s v="High"/>
    <s v="Smiths General Use 3-Ring Binders"/>
    <x v="0"/>
    <s v="Small Box"/>
    <s v="Regular Air"/>
    <n v="43491"/>
    <n v="17700"/>
    <n v="28200"/>
    <n v="10500"/>
    <n v="29"/>
    <n v="304500"/>
    <n v="0.1"/>
    <n v="30450"/>
    <n v="274050"/>
    <n v="15000"/>
    <n v="289050"/>
  </r>
  <r>
    <s v="6088-1"/>
    <d v="2019-01-25T00:00:00"/>
    <n v="2019"/>
    <s v="Rahmi Prakasa"/>
    <s v="Jalan Sadang Serang No. 54"/>
    <s v="Surabaya"/>
    <x v="3"/>
    <s v="E1041"/>
    <s v="Sari Winarno"/>
    <s v="Sari Winarno"/>
    <s v="Low"/>
    <s v="Cando PC940 Copier"/>
    <x v="1"/>
    <s v="Jumbo Drum"/>
    <s v="Delivery Truck"/>
    <n v="43492"/>
    <n v="4184850"/>
    <n v="6749850"/>
    <n v="2565000"/>
    <n v="47"/>
    <n v="120555000"/>
    <n v="0.02"/>
    <n v="2411100"/>
    <n v="118143900"/>
    <n v="500000"/>
    <n v="118643900"/>
  </r>
  <r>
    <s v="6090-1"/>
    <d v="2019-01-27T00:00:00"/>
    <n v="2019"/>
    <s v="Icha Mandala"/>
    <s v="Jl. Rumah Sakit No. 65"/>
    <s v="Jakarta"/>
    <x v="3"/>
    <s v="E1029"/>
    <s v="Laras Nuraini"/>
    <s v="Laras Nuraini"/>
    <s v="Critical"/>
    <s v="3Max Organizer Strips"/>
    <x v="0"/>
    <s v="Small Box"/>
    <s v="Regular Air"/>
    <n v="43493"/>
    <n v="51000"/>
    <n v="81000"/>
    <n v="30000"/>
    <n v="8"/>
    <n v="240000"/>
    <n v="0"/>
    <n v="0"/>
    <n v="240000"/>
    <n v="15000"/>
    <n v="255000"/>
  </r>
  <r>
    <s v="6094-1"/>
    <d v="2019-02-01T00:00:00"/>
    <n v="2019"/>
    <s v="Ina Nasyidah"/>
    <s v="Jalan Pasteur No. 217"/>
    <s v="Surabaya"/>
    <x v="0"/>
    <s v="E1031"/>
    <s v="Bagiya Sihombing"/>
    <s v="Bagiya Sihombing"/>
    <s v="Low"/>
    <s v="Artisan Reinforcements for Hole-Punch Pages"/>
    <x v="0"/>
    <s v="Small Box"/>
    <s v="Regular Air"/>
    <n v="43501"/>
    <n v="17850"/>
    <n v="29700"/>
    <n v="11850"/>
    <n v="4"/>
    <n v="47400"/>
    <n v="0.08"/>
    <n v="3792"/>
    <n v="43608"/>
    <n v="15000"/>
    <n v="58608"/>
  </r>
  <r>
    <s v="6095-1"/>
    <d v="2019-02-02T00:00:00"/>
    <n v="2019"/>
    <s v="Candrakanta Aryani"/>
    <s v="Gg. Pacuan Kuda No. 49"/>
    <s v="Surabaya"/>
    <x v="0"/>
    <s v="E1037"/>
    <s v="Puti Nadine Prakasa"/>
    <s v="Puti Nadine Prakasa"/>
    <s v="Medium"/>
    <s v="OIC Bulk Pack Metal Binder Clips"/>
    <x v="0"/>
    <s v="Wrap Bag"/>
    <s v="Express Air"/>
    <n v="43500"/>
    <n v="31950"/>
    <n v="52350"/>
    <n v="20400"/>
    <n v="3"/>
    <n v="61200"/>
    <n v="0.01"/>
    <n v="612"/>
    <n v="60588"/>
    <n v="10000"/>
    <n v="70588"/>
  </r>
  <r>
    <s v="6096-1"/>
    <d v="2019-02-02T00:00:00"/>
    <n v="2019"/>
    <s v="Keisha Hutasoit"/>
    <s v="Gang Jend. A. Yani No. 7"/>
    <s v="Surabaya"/>
    <x v="1"/>
    <s v="E1030"/>
    <s v="Cinthia Gunawan"/>
    <s v="Cinthia Gunawan"/>
    <s v="High"/>
    <s v="Smiths General Use 3-Ring Binders"/>
    <x v="0"/>
    <s v="Small Box"/>
    <s v="Regular Air"/>
    <n v="43500"/>
    <n v="17700"/>
    <n v="28200"/>
    <n v="10500"/>
    <n v="6"/>
    <n v="63000"/>
    <n v="7.0000000000000007E-2"/>
    <n v="4410"/>
    <n v="58590"/>
    <n v="15000"/>
    <n v="73590"/>
  </r>
  <r>
    <s v="6098-1"/>
    <d v="2019-02-05T00:00:00"/>
    <n v="2019"/>
    <s v="Carub Hardiansyah"/>
    <s v="Gang H.J Maemunah No. 6"/>
    <s v="Jakarta"/>
    <x v="2"/>
    <s v="E1028"/>
    <s v="Gaduh Pratama"/>
    <s v="Gaduh Pratama"/>
    <s v="Critical"/>
    <s v="Angle-D Binders with Locking Rings, Label Holders"/>
    <x v="0"/>
    <s v="Small Box"/>
    <s v="Regular Air"/>
    <n v="43503"/>
    <n v="67950"/>
    <n v="109500"/>
    <n v="41550"/>
    <n v="34"/>
    <n v="1412700"/>
    <n v="0.03"/>
    <n v="42381"/>
    <n v="1370319"/>
    <n v="15000"/>
    <n v="1385319"/>
  </r>
  <r>
    <s v="6099-1"/>
    <d v="2019-02-05T00:00:00"/>
    <n v="2019"/>
    <s v="Laras Hartati"/>
    <s v="Jalan Jayawijaya No. 5"/>
    <s v="Surabaya"/>
    <x v="3"/>
    <s v="E1033"/>
    <s v="Paiman Firgantoro"/>
    <s v="Paiman Firgantoro"/>
    <s v="High"/>
    <s v="Colored Envelopes"/>
    <x v="0"/>
    <s v="Small Box"/>
    <s v="Regular Air"/>
    <n v="43503"/>
    <n v="33750"/>
    <n v="55350"/>
    <n v="21600"/>
    <n v="47"/>
    <n v="1015200"/>
    <n v="0"/>
    <n v="0"/>
    <n v="1015200"/>
    <n v="15000"/>
    <n v="1030200"/>
  </r>
  <r>
    <s v="6100-1"/>
    <d v="2019-02-09T00:00:00"/>
    <n v="2019"/>
    <s v="Narji Wastuti"/>
    <s v="Gg. Joyoboyo No. 026"/>
    <s v="Jakarta"/>
    <x v="1"/>
    <s v="E1028"/>
    <s v="Gaduh Pratama"/>
    <s v="Gaduh Pratama"/>
    <s v="Not Specified"/>
    <s v="HFX 6S Scientific Calculator"/>
    <x v="1"/>
    <s v="Medium Box"/>
    <s v="Regular Air"/>
    <n v="43507"/>
    <n v="118800"/>
    <n v="194850"/>
    <n v="76050"/>
    <n v="46"/>
    <n v="3498300"/>
    <n v="0.01"/>
    <n v="34983"/>
    <n v="3463317"/>
    <n v="20000"/>
    <n v="3483317"/>
  </r>
  <r>
    <s v="6102-1"/>
    <d v="2019-02-12T00:00:00"/>
    <n v="2019"/>
    <s v="Dadi Laksita"/>
    <s v="Jl. HOS. Cokroaminoto No. 1"/>
    <s v="Surabaya"/>
    <x v="0"/>
    <s v="E1039"/>
    <s v="Nabila Prakasa"/>
    <s v="Nabila Prakasa"/>
    <s v="High"/>
    <s v="Deluxe Rollaway Locking File with Drawer"/>
    <x v="0"/>
    <s v="Small Box"/>
    <s v="Regular Air"/>
    <n v="43508"/>
    <n v="2682450"/>
    <n v="6238200"/>
    <n v="3555750"/>
    <n v="21"/>
    <n v="74670750"/>
    <n v="0.09"/>
    <n v="6720367.5"/>
    <n v="67950382.5"/>
    <n v="15000"/>
    <n v="67965382.5"/>
  </r>
  <r>
    <s v="6103-1"/>
    <d v="2019-02-12T00:00:00"/>
    <n v="2019"/>
    <s v="Jindra Safitri"/>
    <s v="Jl. Kutisari Selatan No. 078"/>
    <s v="Surabaya"/>
    <x v="1"/>
    <s v="E1038"/>
    <s v="Clara Prasetyo"/>
    <s v="Clara Prasetyo"/>
    <s v="High"/>
    <s v="UGen Ultra Professional Cordless Optical Suite"/>
    <x v="1"/>
    <s v="Small Box"/>
    <s v="Regular Air"/>
    <n v="43509"/>
    <n v="2347500"/>
    <n v="4514550"/>
    <n v="2167050"/>
    <n v="23"/>
    <n v="49842150"/>
    <n v="0.06"/>
    <n v="2990529"/>
    <n v="46851621"/>
    <n v="15000"/>
    <n v="46866621"/>
  </r>
  <r>
    <s v="6104-1"/>
    <d v="2019-02-13T00:00:00"/>
    <n v="2019"/>
    <s v="Endah Budiyanto"/>
    <s v="Gg. Jayawijaya No. 34"/>
    <s v="Surabaya"/>
    <x v="3"/>
    <s v="E1039"/>
    <s v="Nabila Prakasa"/>
    <s v="Nabila Prakasa"/>
    <s v="Low"/>
    <s v="DrawIt Pizazz Watercolor Pencils, 10-Color Set with Brush"/>
    <x v="0"/>
    <s v="Wrap Bag"/>
    <s v="Regular Air"/>
    <n v="43511"/>
    <n v="35850"/>
    <n v="63900"/>
    <n v="28050"/>
    <n v="47"/>
    <n v="1318350"/>
    <n v="7.0000000000000007E-2"/>
    <n v="92284.500000000015"/>
    <n v="1226065.5"/>
    <n v="5000"/>
    <n v="1231065.5"/>
  </r>
  <r>
    <s v="6104-2"/>
    <d v="2019-02-13T00:00:00"/>
    <n v="2019"/>
    <s v="Endah Budiyanto"/>
    <s v="Gg. Jayawijaya No. 34"/>
    <s v="Surabaya"/>
    <x v="3"/>
    <s v="E1039"/>
    <s v="Nabila Prakasa"/>
    <s v="Nabila Prakasa"/>
    <s v="Low"/>
    <s v="Steady Colorific Colored Pencils, 12/Box"/>
    <x v="0"/>
    <s v="Wrap Bag"/>
    <s v="Regular Air"/>
    <n v="43514"/>
    <n v="19500"/>
    <n v="43200"/>
    <n v="23700"/>
    <n v="17"/>
    <n v="402900"/>
    <n v="0.09"/>
    <n v="36261"/>
    <n v="366639"/>
    <n v="5000"/>
    <n v="371639"/>
  </r>
  <r>
    <s v="6108-1"/>
    <d v="2019-02-18T00:00:00"/>
    <n v="2019"/>
    <s v="Ayu Wastuti"/>
    <s v="Gg. M.H Thamrin No. 784"/>
    <s v="Jakarta"/>
    <x v="1"/>
    <s v="E1029"/>
    <s v="Laras Nuraini"/>
    <s v="Laras Nuraini"/>
    <s v="High"/>
    <s v="TechSavi Cordless Access Keyboard"/>
    <x v="1"/>
    <s v="Small Box"/>
    <s v="Express Air"/>
    <n v="43514"/>
    <n v="220500"/>
    <n v="449850"/>
    <n v="229350"/>
    <n v="20"/>
    <n v="4587000"/>
    <n v="0.04"/>
    <n v="183480"/>
    <n v="4403520"/>
    <n v="30000"/>
    <n v="4433520"/>
  </r>
  <r>
    <s v="6109-1"/>
    <d v="2019-02-18T00:00:00"/>
    <n v="2019"/>
    <s v="Jumadi Suartini"/>
    <s v="Gang Yos Sudarso No. 13"/>
    <s v="Surabaya"/>
    <x v="3"/>
    <s v="E1039"/>
    <s v="Nabila Prakasa"/>
    <s v="Nabila Prakasa"/>
    <s v="Low"/>
    <s v="TypeRight Side-Opening Peel &amp; Seel Expanding Envelopes"/>
    <x v="0"/>
    <s v="Small Box"/>
    <s v="Regular Air"/>
    <n v="43521"/>
    <n v="814350"/>
    <n v="1357200"/>
    <n v="542850"/>
    <n v="49"/>
    <n v="26599650"/>
    <n v="0.05"/>
    <n v="1329982.5"/>
    <n v="25269667.5"/>
    <n v="15000"/>
    <n v="25284667.5"/>
  </r>
  <r>
    <s v="6110-1"/>
    <d v="2019-02-19T00:00:00"/>
    <n v="2019"/>
    <s v="Amelia Kuswoyo"/>
    <s v="Gg. Jakarta No. 646"/>
    <s v="Jakarta"/>
    <x v="1"/>
    <s v="E1029"/>
    <s v="Laras Nuraini"/>
    <s v="Laras Nuraini"/>
    <s v="Critical"/>
    <s v="Steady Liquid Accent Highlighters"/>
    <x v="0"/>
    <s v="Wrap Bag"/>
    <s v="Regular Air"/>
    <n v="43516"/>
    <n v="52050"/>
    <n v="100200"/>
    <n v="48150"/>
    <n v="12"/>
    <n v="577800"/>
    <n v="0.06"/>
    <n v="34668"/>
    <n v="543132"/>
    <n v="5000"/>
    <n v="548132"/>
  </r>
  <r>
    <s v="6112-1"/>
    <d v="2019-02-22T00:00:00"/>
    <n v="2019"/>
    <s v="Pangeran Rahimah"/>
    <s v="Gang Cikapayang No. 055"/>
    <s v="Surabaya"/>
    <x v="1"/>
    <s v="E1040"/>
    <s v="Sutan Tirtayasa Wasita"/>
    <s v="Sutan Tirtayasa Wasita"/>
    <s v="Low"/>
    <s v="Binder Clips by OIC"/>
    <x v="0"/>
    <s v="Wrap Bag"/>
    <s v="Regular Air"/>
    <n v="43522"/>
    <n v="13950"/>
    <n v="22200"/>
    <n v="8250"/>
    <n v="19"/>
    <n v="156750"/>
    <n v="0"/>
    <n v="0"/>
    <n v="156750"/>
    <n v="5000"/>
    <n v="161750"/>
  </r>
  <r>
    <s v="6113-1"/>
    <d v="2019-02-22T00:00:00"/>
    <n v="2019"/>
    <s v="Satya Nurdiyanti"/>
    <s v="Jalan S. Parman No. 88"/>
    <s v="Bandung"/>
    <x v="1"/>
    <s v="E1036"/>
    <s v="Kenari Rajasa"/>
    <s v="Kenari Rajasa"/>
    <s v="Medium"/>
    <s v="Smiths File Caddy"/>
    <x v="0"/>
    <s v="Small Box"/>
    <s v="Regular Air"/>
    <n v="43518"/>
    <n v="60450.000000000007"/>
    <n v="140700"/>
    <n v="80250"/>
    <n v="24"/>
    <n v="1926000"/>
    <n v="0.05"/>
    <n v="96300"/>
    <n v="1829700"/>
    <n v="15000"/>
    <n v="1844700"/>
  </r>
  <r>
    <s v="6114-1"/>
    <d v="2019-02-23T00:00:00"/>
    <n v="2019"/>
    <s v="Ida Waluyo"/>
    <s v="Gang Ciwastra No. 43"/>
    <s v="Surabaya"/>
    <x v="0"/>
    <s v="E1040"/>
    <s v="Sutan Tirtayasa Wasita"/>
    <s v="Sutan Tirtayasa Wasita"/>
    <s v="High"/>
    <s v="Artisan 479 Labels"/>
    <x v="0"/>
    <s v="Small Box"/>
    <s v="Regular Air"/>
    <n v="43521"/>
    <n v="23850"/>
    <n v="39150"/>
    <n v="15300"/>
    <n v="40"/>
    <n v="612000"/>
    <n v="0.03"/>
    <n v="18360"/>
    <n v="593640"/>
    <n v="15000"/>
    <n v="608640"/>
  </r>
  <r>
    <s v="6116-1"/>
    <d v="2019-02-24T00:00:00"/>
    <n v="2019"/>
    <s v="Jati Laksmiwati"/>
    <s v="Gg. Monginsidi No. 3"/>
    <s v="Jakarta"/>
    <x v="3"/>
    <s v="E1029"/>
    <s v="Laras Nuraini"/>
    <s v="Laras Nuraini"/>
    <s v="Not Specified"/>
    <s v="Apex Box Cutter Scissors"/>
    <x v="0"/>
    <s v="Small Pack"/>
    <s v="Regular Air"/>
    <n v="43522"/>
    <n v="62850.000000000007"/>
    <n v="153450"/>
    <n v="90600"/>
    <n v="46"/>
    <n v="4167600"/>
    <n v="0.08"/>
    <n v="333408"/>
    <n v="3834192"/>
    <n v="10000"/>
    <n v="3844192"/>
  </r>
  <r>
    <s v="6118-1"/>
    <d v="2019-02-27T00:00:00"/>
    <n v="2019"/>
    <s v="Ibrani Yuniar"/>
    <s v="Jl. Kiaracondong No. 48"/>
    <s v="Jakarta"/>
    <x v="1"/>
    <s v="E1028"/>
    <s v="Gaduh Pratama"/>
    <s v="Gaduh Pratama"/>
    <s v="Low"/>
    <s v="Smiths Bulk Pack Metal Binder Clips"/>
    <x v="0"/>
    <s v="Wrap Bag"/>
    <s v="Regular Air"/>
    <n v="43532"/>
    <n v="59250"/>
    <n v="91200"/>
    <n v="31950"/>
    <n v="41"/>
    <n v="1309950"/>
    <n v="0.03"/>
    <n v="39298.5"/>
    <n v="1270651.5"/>
    <n v="5000"/>
    <n v="1275651.5"/>
  </r>
  <r>
    <s v="6119-1"/>
    <d v="2019-02-28T00:00:00"/>
    <n v="2019"/>
    <s v="Kasiran Firgantoro"/>
    <s v="Jalan Gardujati No. 513"/>
    <s v="Surabaya"/>
    <x v="2"/>
    <s v="E1036"/>
    <s v="Kenari Rajasa"/>
    <s v="Kenari Rajasa"/>
    <s v="Critical"/>
    <s v="Smiths Pen Style Liquid Stix; Assorted (yellow, pink, green, blue, orange), 5/Pack"/>
    <x v="0"/>
    <s v="Wrap Bag"/>
    <s v="Regular Air"/>
    <n v="43525"/>
    <n v="58200"/>
    <n v="97050"/>
    <n v="38850"/>
    <n v="22"/>
    <n v="854700"/>
    <n v="0.04"/>
    <n v="34188"/>
    <n v="820512"/>
    <n v="5000"/>
    <n v="825512"/>
  </r>
  <r>
    <s v="6121-1"/>
    <d v="2019-03-01T00:00:00"/>
    <n v="2019"/>
    <s v="Betania Thamrin"/>
    <s v="Gang Gedebage Selatan No. 92"/>
    <s v="Surabaya"/>
    <x v="3"/>
    <s v="E1032"/>
    <s v="Violet Mentari"/>
    <s v="Violet Mentari"/>
    <s v="Critical"/>
    <s v="Apex Box Cutter Scissors"/>
    <x v="0"/>
    <s v="Small Pack"/>
    <s v="Regular Air"/>
    <n v="43527"/>
    <n v="62850.000000000007"/>
    <n v="153450"/>
    <n v="90600"/>
    <n v="16"/>
    <n v="1449600"/>
    <n v="0.02"/>
    <n v="28992"/>
    <n v="1420608"/>
    <n v="10000"/>
    <n v="1430608"/>
  </r>
  <r>
    <s v="6123-1"/>
    <d v="2019-03-01T00:00:00"/>
    <n v="2019"/>
    <s v="Laras Hartati"/>
    <s v="Jalan Jayawijaya No. 5"/>
    <s v="Surabaya"/>
    <x v="3"/>
    <s v="E1033"/>
    <s v="Paiman Firgantoro"/>
    <s v="Paiman Firgantoro"/>
    <s v="Low"/>
    <s v="Beekin 6 Outlet Metallic Surge Strip"/>
    <x v="0"/>
    <s v="Small Box"/>
    <s v="Regular Air"/>
    <n v="43532"/>
    <n v="66900"/>
    <n v="163350"/>
    <n v="96450"/>
    <n v="10"/>
    <n v="964500"/>
    <n v="0.1"/>
    <n v="96450"/>
    <n v="868050"/>
    <n v="15000"/>
    <n v="883050"/>
  </r>
  <r>
    <s v="6124-1"/>
    <d v="2019-03-04T00:00:00"/>
    <n v="2019"/>
    <s v="Arta Lestari"/>
    <s v="Jl. S. Parman No. 91"/>
    <s v="Surabaya"/>
    <x v="0"/>
    <s v="E1034"/>
    <s v="Ophelia Mustofa"/>
    <s v="Ophelia Mustofa"/>
    <s v="High"/>
    <s v="Artisan 481 Labels"/>
    <x v="0"/>
    <s v="Small Box"/>
    <s v="Regular Air"/>
    <n v="43530"/>
    <n v="29100"/>
    <n v="46200"/>
    <n v="17100"/>
    <n v="11"/>
    <n v="188100"/>
    <n v="0.09"/>
    <n v="16929"/>
    <n v="171171"/>
    <n v="15000"/>
    <n v="186171"/>
  </r>
  <r>
    <s v="6125-1"/>
    <d v="2019-03-06T00:00:00"/>
    <n v="2019"/>
    <s v="Julia Situmorang"/>
    <s v="Gang Asia Afrika No. 96"/>
    <s v="Surabaya"/>
    <x v="1"/>
    <s v="E1036"/>
    <s v="Kenari Rajasa"/>
    <s v="Kenari Rajasa"/>
    <s v="Medium"/>
    <s v="Pizazz Drawing Pencil Set"/>
    <x v="0"/>
    <s v="Wrap Bag"/>
    <s v="Regular Air"/>
    <n v="43531"/>
    <n v="22950"/>
    <n v="41700"/>
    <n v="18750"/>
    <n v="21"/>
    <n v="393750"/>
    <n v="0.06"/>
    <n v="23625"/>
    <n v="370125"/>
    <n v="5000"/>
    <n v="375125"/>
  </r>
  <r>
    <s v="6127-1"/>
    <d v="2019-03-08T00:00:00"/>
    <n v="2019"/>
    <s v="Rafid Rahayu"/>
    <s v="Jalan Astana Anyar No. 41"/>
    <s v="Jakarta"/>
    <x v="3"/>
    <s v="E1028"/>
    <s v="Gaduh Pratama"/>
    <s v="Gaduh Pratama"/>
    <s v="Low"/>
    <s v="Adesso Programmable 142-Key Keyboard"/>
    <x v="1"/>
    <s v="Small Box"/>
    <s v="Regular Air"/>
    <n v="43532"/>
    <n v="594600"/>
    <n v="2287200"/>
    <n v="1692600"/>
    <n v="17"/>
    <n v="28774200"/>
    <n v="0.04"/>
    <n v="1150968"/>
    <n v="27623232"/>
    <n v="15000"/>
    <n v="27638232"/>
  </r>
  <r>
    <s v="6128-1"/>
    <d v="2019-03-12T00:00:00"/>
    <n v="2019"/>
    <s v="Karna Sinaga"/>
    <s v="Jalan Indragiri No. 077"/>
    <s v="Surabaya"/>
    <x v="3"/>
    <s v="E1030"/>
    <s v="Cinthia Gunawan"/>
    <s v="Cinthia Gunawan"/>
    <s v="Critical"/>
    <s v="Smiths Pen Style Liquid Stix; Assorted (yellow, pink, green, blue, orange), 5/Pack"/>
    <x v="0"/>
    <s v="Wrap Bag"/>
    <s v="Regular Air"/>
    <n v="43538"/>
    <n v="58200"/>
    <n v="97050"/>
    <n v="38850"/>
    <n v="16"/>
    <n v="621600"/>
    <n v="0.01"/>
    <n v="6216"/>
    <n v="615384"/>
    <n v="5000"/>
    <n v="620384"/>
  </r>
  <r>
    <s v="6130-1"/>
    <d v="2019-03-14T00:00:00"/>
    <n v="2019"/>
    <s v="Warsita Maryadi"/>
    <s v="Jl. BKR No. 46"/>
    <s v="Jakarta"/>
    <x v="1"/>
    <s v="E1028"/>
    <s v="Gaduh Pratama"/>
    <s v="Gaduh Pratama"/>
    <s v="High"/>
    <s v="Artisan Arch Ring Binders"/>
    <x v="0"/>
    <s v="Small Box"/>
    <s v="Regular Air"/>
    <n v="43539"/>
    <n v="540300"/>
    <n v="871500"/>
    <n v="331200"/>
    <n v="27"/>
    <n v="8942400"/>
    <n v="7.0000000000000007E-2"/>
    <n v="625968.00000000012"/>
    <n v="8316432"/>
    <n v="15000"/>
    <n v="8331432"/>
  </r>
  <r>
    <s v="6132-1"/>
    <d v="2019-03-14T00:00:00"/>
    <n v="2019"/>
    <s v="Kemba Sihotang"/>
    <s v="Jl. Dipenogoro No. 447"/>
    <s v="Surabaya"/>
    <x v="1"/>
    <s v="E1039"/>
    <s v="Nabila Prakasa"/>
    <s v="Nabila Prakasa"/>
    <s v="Not Specified"/>
    <s v="DrawIt Colored Pencils"/>
    <x v="0"/>
    <s v="Wrap Bag"/>
    <s v="Regular Air"/>
    <n v="43539"/>
    <n v="65550"/>
    <n v="136650"/>
    <n v="71100"/>
    <n v="30"/>
    <n v="2133000"/>
    <n v="0.03"/>
    <n v="63990"/>
    <n v="2069010"/>
    <n v="5000"/>
    <n v="2074010"/>
  </r>
  <r>
    <s v="6134-1"/>
    <d v="2019-03-18T00:00:00"/>
    <n v="2019"/>
    <s v="Eka Sitorus"/>
    <s v="Jalan Rumah Sakit No. 287"/>
    <s v="Surabaya"/>
    <x v="3"/>
    <s v="E1032"/>
    <s v="Violet Mentari"/>
    <s v="Violet Mentari"/>
    <s v="High"/>
    <s v="Artisan 474 Labels"/>
    <x v="0"/>
    <s v="Small Box"/>
    <s v="Regular Air"/>
    <n v="43543"/>
    <n v="27600"/>
    <n v="43200"/>
    <n v="15600"/>
    <n v="28"/>
    <n v="436800"/>
    <n v="0.1"/>
    <n v="43680"/>
    <n v="393120"/>
    <n v="15000"/>
    <n v="408120"/>
  </r>
  <r>
    <s v="6135-1"/>
    <d v="2019-03-20T00:00:00"/>
    <n v="2019"/>
    <s v="Cakrajiya Sihombing"/>
    <s v="Gang Otto Iskandardinata No. 167"/>
    <s v="Surabaya"/>
    <x v="1"/>
    <s v="E1037"/>
    <s v="Puti Nadine Prakasa"/>
    <s v="Puti Nadine Prakasa"/>
    <s v="Low"/>
    <s v="Pizazz Drawing Pencil Set"/>
    <x v="0"/>
    <s v="Wrap Bag"/>
    <s v="Regular Air"/>
    <n v="43546"/>
    <n v="17550"/>
    <n v="41700"/>
    <n v="24150"/>
    <n v="39"/>
    <n v="941850"/>
    <n v="0.05"/>
    <n v="47092.5"/>
    <n v="894757.5"/>
    <n v="5000"/>
    <n v="899757.5"/>
  </r>
  <r>
    <s v="6136-1"/>
    <d v="2019-03-20T00:00:00"/>
    <n v="2019"/>
    <s v="Novi Hardiansyah"/>
    <s v="Gg. Suniaraja No. 21"/>
    <s v="Surabaya"/>
    <x v="1"/>
    <s v="E1031"/>
    <s v="Bagiya Sihombing"/>
    <s v="Bagiya Sihombing"/>
    <s v="Not Specified"/>
    <s v="Smiths General Use 3-Ring Binders"/>
    <x v="0"/>
    <s v="Small Box"/>
    <s v="Regular Air"/>
    <n v="43545"/>
    <n v="17700"/>
    <n v="28200"/>
    <n v="10500"/>
    <n v="20"/>
    <n v="210000"/>
    <n v="7.0000000000000007E-2"/>
    <n v="14700.000000000002"/>
    <n v="195300"/>
    <n v="15000"/>
    <n v="210300"/>
  </r>
  <r>
    <s v="6138-1"/>
    <d v="2019-03-22T00:00:00"/>
    <n v="2019"/>
    <s v="Karta Purnawati"/>
    <s v="Jl. Sukabumi No. 44"/>
    <s v="Bandung"/>
    <x v="1"/>
    <s v="E1036"/>
    <s v="Kenari Rajasa"/>
    <s v="Kenari Rajasa"/>
    <s v="Low"/>
    <s v="Smiths Metal Binder Clips"/>
    <x v="0"/>
    <s v="Wrap Bag"/>
    <s v="Regular Air"/>
    <n v="43550"/>
    <n v="24000"/>
    <n v="39300"/>
    <n v="15300"/>
    <n v="26"/>
    <n v="397800"/>
    <n v="0.08"/>
    <n v="31824"/>
    <n v="365976"/>
    <n v="5000"/>
    <n v="370976"/>
  </r>
  <r>
    <s v="6140-1"/>
    <d v="2019-03-23T00:00:00"/>
    <n v="2019"/>
    <s v="Kenes Nababan"/>
    <s v="Gg. M.H Thamrin No. 784"/>
    <s v="Jakarta"/>
    <x v="1"/>
    <s v="E1029"/>
    <s v="Laras Nuraini"/>
    <s v="Laras Nuraini"/>
    <s v="High"/>
    <s v="12 Colored Short Pencils"/>
    <x v="0"/>
    <s v="Wrap Bag"/>
    <s v="Regular Air"/>
    <n v="43547"/>
    <n v="16350.000000000002"/>
    <n v="39000"/>
    <n v="22650"/>
    <n v="14"/>
    <n v="317100"/>
    <n v="0.08"/>
    <n v="25368"/>
    <n v="291732"/>
    <n v="5000"/>
    <n v="296732"/>
  </r>
  <r>
    <s v="6141-1"/>
    <d v="2019-03-23T00:00:00"/>
    <n v="2019"/>
    <s v="Ayu Wastuti"/>
    <s v="Gg. M.H Thamrin No. 784"/>
    <s v="Jakarta"/>
    <x v="0"/>
    <s v="E1029"/>
    <s v="Laras Nuraini"/>
    <s v="Laras Nuraini"/>
    <s v="Medium"/>
    <s v="Alliance Rubber Bands"/>
    <x v="0"/>
    <s v="Wrap Bag"/>
    <s v="Express Air"/>
    <n v="43548"/>
    <n v="4800"/>
    <n v="25200"/>
    <n v="20400"/>
    <n v="6"/>
    <n v="122400"/>
    <n v="0.05"/>
    <n v="6120"/>
    <n v="116280"/>
    <n v="10000"/>
    <n v="126280"/>
  </r>
  <r>
    <s v="6143-1"/>
    <d v="2019-03-30T00:00:00"/>
    <n v="2019"/>
    <s v="Zulfa Puspasari"/>
    <s v="Gang Astana Anyar No. 0"/>
    <s v="Bandung"/>
    <x v="0"/>
    <s v="E1036"/>
    <s v="Kenari Rajasa"/>
    <s v="Kenari Rajasa"/>
    <s v="Critical"/>
    <s v="Beekin 105-Key Black Keyboard"/>
    <x v="1"/>
    <s v="Small Box"/>
    <s v="Express Air"/>
    <n v="43556"/>
    <n v="95850"/>
    <n v="299700"/>
    <n v="203850"/>
    <n v="18"/>
    <n v="3669300"/>
    <n v="0.04"/>
    <n v="146772"/>
    <n v="3522528"/>
    <n v="30000"/>
    <n v="3552528"/>
  </r>
  <r>
    <s v="6143-2"/>
    <d v="2019-03-30T00:00:00"/>
    <n v="2019"/>
    <s v="Zulfa Puspasari"/>
    <s v="Gang Astana Anyar No. 0"/>
    <s v="Bandung"/>
    <x v="0"/>
    <s v="E1036"/>
    <s v="Kenari Rajasa"/>
    <s v="Kenari Rajasa"/>
    <s v="Critical"/>
    <s v="Multi-Use Personal File Cart and Caster Set, Three Stacking Bins"/>
    <x v="0"/>
    <s v="Small Box"/>
    <s v="Regular Air"/>
    <n v="43556"/>
    <n v="224250"/>
    <n v="521399.99999999994"/>
    <n v="297149.99999999994"/>
    <n v="46"/>
    <n v="13668899.999999998"/>
    <n v="0.09"/>
    <n v="1230200.9999999998"/>
    <n v="12438698.999999998"/>
    <n v="15000"/>
    <n v="12453698.999999998"/>
  </r>
  <r>
    <s v="6144-1"/>
    <d v="2019-03-30T00:00:00"/>
    <n v="2019"/>
    <s v="Tiara Megantara"/>
    <s v="Jalan Ciwastra No. 383"/>
    <s v="Surabaya"/>
    <x v="2"/>
    <s v="E1032"/>
    <s v="Violet Mentari"/>
    <s v="Violet Mentari"/>
    <s v="Medium"/>
    <s v="Multimedia Mailers"/>
    <x v="0"/>
    <s v="Small Box"/>
    <s v="Regular Air"/>
    <n v="43555"/>
    <n v="1490850"/>
    <n v="2443950"/>
    <n v="953100"/>
    <n v="41"/>
    <n v="39077100"/>
    <n v="0.01"/>
    <n v="390771"/>
    <n v="38686329"/>
    <n v="15000"/>
    <n v="38701329"/>
  </r>
  <r>
    <s v="6146-1"/>
    <d v="2019-04-02T00:00:00"/>
    <n v="2019"/>
    <s v="Nilam Suwarno"/>
    <s v="Gg. Joyoboyo No. 026"/>
    <s v="Jakarta"/>
    <x v="0"/>
    <s v="E1028"/>
    <s v="Gaduh Pratama"/>
    <s v="Gaduh Pratama"/>
    <s v="Not Specified"/>
    <s v="Alto Memo Cubes"/>
    <x v="0"/>
    <s v="Wrap Bag"/>
    <s v="Regular Air"/>
    <n v="43559"/>
    <n v="49800"/>
    <n v="77700"/>
    <n v="27900"/>
    <n v="25"/>
    <n v="697500"/>
    <n v="0.1"/>
    <n v="69750"/>
    <n v="627750"/>
    <n v="5000"/>
    <n v="632750"/>
  </r>
  <r>
    <s v="6148-1"/>
    <d v="2019-04-02T00:00:00"/>
    <n v="2019"/>
    <s v="Yulia Mahendra"/>
    <s v="Gg. HOS. Cokroaminoto No. 72"/>
    <s v="Surabaya"/>
    <x v="1"/>
    <s v="E1034"/>
    <s v="Ophelia Mustofa"/>
    <s v="Ophelia Mustofa"/>
    <s v="Critical"/>
    <s v="Beekin 6 Outlet Metallic Surge Strip"/>
    <x v="0"/>
    <s v="Small Box"/>
    <s v="Regular Air"/>
    <n v="43559"/>
    <n v="66900"/>
    <n v="163350"/>
    <n v="96450"/>
    <n v="30"/>
    <n v="2893500"/>
    <n v="0.08"/>
    <n v="231480"/>
    <n v="2662020"/>
    <n v="15000"/>
    <n v="2677020"/>
  </r>
  <r>
    <s v="6150-1"/>
    <d v="2019-04-05T00:00:00"/>
    <n v="2019"/>
    <s v="Hendri Fujiati"/>
    <s v="Jl. Raya Ujungberung No. 86"/>
    <s v="Bandung"/>
    <x v="0"/>
    <s v="E1041"/>
    <s v="Sari Winarno"/>
    <s v="Sari Winarno"/>
    <s v="Not Specified"/>
    <s v="600 Series Non-Flip"/>
    <x v="1"/>
    <s v="Small Box"/>
    <s v="Regular Air"/>
    <n v="43562"/>
    <n v="296700"/>
    <n v="689850"/>
    <n v="393150"/>
    <n v="11"/>
    <n v="4324650"/>
    <n v="7.0000000000000007E-2"/>
    <n v="302725.5"/>
    <n v="4021924.5"/>
    <n v="15000"/>
    <n v="4036924.5"/>
  </r>
  <r>
    <s v="6151-1"/>
    <d v="2019-04-07T00:00:00"/>
    <n v="2019"/>
    <s v="Raditya Mayasari"/>
    <s v="Jalan Ciwastra No. 383"/>
    <s v="Surabaya"/>
    <x v="1"/>
    <s v="E1032"/>
    <s v="Violet Mentari"/>
    <s v="Violet Mentari"/>
    <s v="Critical"/>
    <s v="Smiths General Use 3-Ring Binders"/>
    <x v="0"/>
    <s v="Small Box"/>
    <s v="Regular Air"/>
    <n v="43564"/>
    <n v="17700"/>
    <n v="28200"/>
    <n v="10500"/>
    <n v="39"/>
    <n v="409500"/>
    <n v="7.0000000000000007E-2"/>
    <n v="28665.000000000004"/>
    <n v="380835"/>
    <n v="15000"/>
    <n v="395835"/>
  </r>
  <r>
    <s v="6152-1"/>
    <d v="2019-04-08T00:00:00"/>
    <n v="2019"/>
    <s v="Gada Gunawan"/>
    <s v="Gang Sadang Serang No. 74"/>
    <s v="Surabaya"/>
    <x v="1"/>
    <s v="E1030"/>
    <s v="Cinthia Gunawan"/>
    <s v="Cinthia Gunawan"/>
    <s v="Low"/>
    <s v="HFX LaserJet 3310 Copier"/>
    <x v="1"/>
    <s v="Large Box"/>
    <s v="Regular Air"/>
    <n v="43570"/>
    <n v="5669850"/>
    <n v="8999850"/>
    <n v="3330000"/>
    <n v="17"/>
    <n v="56610000"/>
    <n v="0.08"/>
    <n v="4528800"/>
    <n v="52081200"/>
    <n v="50000"/>
    <n v="52131200"/>
  </r>
  <r>
    <s v="6154-1"/>
    <d v="2019-04-08T00:00:00"/>
    <n v="2019"/>
    <s v="Hari Situmorang"/>
    <s v="Jalan Gardujati No. 513"/>
    <s v="Surabaya"/>
    <x v="1"/>
    <s v="E1036"/>
    <s v="Kenari Rajasa"/>
    <s v="Kenari Rajasa"/>
    <s v="High"/>
    <s v="Pizazz Dustless Chalk Sticks"/>
    <x v="0"/>
    <s v="Wrap Bag"/>
    <s v="Regular Air"/>
    <n v="43564"/>
    <n v="16350.000000000002"/>
    <n v="25200"/>
    <n v="8849.9999999999982"/>
    <n v="24"/>
    <n v="212399.99999999994"/>
    <n v="0.05"/>
    <n v="10619.999999999998"/>
    <n v="201779.99999999994"/>
    <n v="5000"/>
    <n v="206779.99999999994"/>
  </r>
  <r>
    <s v="6155-1"/>
    <d v="2019-04-11T00:00:00"/>
    <n v="2019"/>
    <s v="Tedi Hartati"/>
    <s v="Gang Raya Setiabudhi No. 870"/>
    <s v="Jakarta"/>
    <x v="0"/>
    <s v="E1028"/>
    <s v="Gaduh Pratama"/>
    <s v="Gaduh Pratama"/>
    <s v="High"/>
    <s v="1726 Digital Answering Machine"/>
    <x v="1"/>
    <s v="Medium Box"/>
    <s v="Regular Air"/>
    <n v="43567"/>
    <n v="132300"/>
    <n v="314850"/>
    <n v="182550"/>
    <n v="30"/>
    <n v="5476500"/>
    <n v="0.03"/>
    <n v="164295"/>
    <n v="5312205"/>
    <n v="20000"/>
    <n v="5332205"/>
  </r>
  <r>
    <s v="6157-1"/>
    <d v="2019-04-11T00:00:00"/>
    <n v="2019"/>
    <s v="Eman Widodo"/>
    <s v="Jl. Sadang Serang No. 015"/>
    <s v="Surabaya"/>
    <x v="3"/>
    <s v="E1036"/>
    <s v="Kenari Rajasa"/>
    <s v="Kenari Rajasa"/>
    <s v="Critical"/>
    <s v="Smiths General Use 3-Ring Binders"/>
    <x v="0"/>
    <s v="Small Box"/>
    <s v="Regular Air"/>
    <n v="43568"/>
    <n v="17700"/>
    <n v="28200"/>
    <n v="10500"/>
    <n v="1"/>
    <n v="10500"/>
    <n v="0.09"/>
    <n v="945"/>
    <n v="9555"/>
    <n v="15000"/>
    <n v="24555"/>
  </r>
  <r>
    <s v="6158-1"/>
    <d v="2019-04-11T00:00:00"/>
    <n v="2019"/>
    <s v="Ophelia Natsir"/>
    <s v="Jalan Sukajadi No. 09"/>
    <s v="Bandung"/>
    <x v="1"/>
    <s v="E1039"/>
    <s v="Nabila Prakasa"/>
    <s v="Nabila Prakasa"/>
    <s v="Low"/>
    <s v="Steady 52201 APSCO Electric Pencil Sharpener"/>
    <x v="0"/>
    <s v="Small Pack"/>
    <s v="Express Air"/>
    <n v="43573"/>
    <n v="252000"/>
    <n v="614550"/>
    <n v="362550"/>
    <n v="49"/>
    <n v="17764950"/>
    <n v="0.1"/>
    <n v="1776495"/>
    <n v="15988455"/>
    <n v="20000"/>
    <n v="16008455"/>
  </r>
  <r>
    <s v="6159-1"/>
    <d v="2019-04-14T00:00:00"/>
    <n v="2019"/>
    <s v="Edi Waskita"/>
    <s v="Jalan Asia Afrika No. 3"/>
    <s v="Bandung"/>
    <x v="0"/>
    <s v="E1033"/>
    <s v="Paiman Firgantoro"/>
    <s v="Paiman Firgantoro"/>
    <s v="High"/>
    <s v="Angle-D Binders with Locking Rings, Label Holders"/>
    <x v="0"/>
    <s v="Small Box"/>
    <s v="Regular Air"/>
    <n v="43570"/>
    <n v="67950"/>
    <n v="109500"/>
    <n v="41550"/>
    <n v="38"/>
    <n v="1578900"/>
    <n v="0.05"/>
    <n v="78945"/>
    <n v="1499955"/>
    <n v="15000"/>
    <n v="1514955"/>
  </r>
  <r>
    <s v="6159-2"/>
    <d v="2019-04-14T00:00:00"/>
    <n v="2019"/>
    <s v="Edi Waskita"/>
    <s v="Jalan Asia Afrika No. 3"/>
    <s v="Bandung"/>
    <x v="0"/>
    <s v="E1033"/>
    <s v="Paiman Firgantoro"/>
    <s v="Paiman Firgantoro"/>
    <s v="Medium"/>
    <s v="Artisan 487 Labels"/>
    <x v="0"/>
    <s v="Small Box"/>
    <s v="Regular Air"/>
    <n v="43570"/>
    <n v="34350"/>
    <n v="55350"/>
    <n v="21000"/>
    <n v="41"/>
    <n v="861000"/>
    <n v="0.01"/>
    <n v="8610"/>
    <n v="852390"/>
    <n v="15000"/>
    <n v="867390"/>
  </r>
  <r>
    <s v="6159-2"/>
    <d v="2019-04-14T00:00:00"/>
    <n v="2019"/>
    <s v="Edi Waskita"/>
    <s v="Jalan Asia Afrika No. 3"/>
    <s v="Bandung"/>
    <x v="0"/>
    <s v="E1033"/>
    <s v="Paiman Firgantoro"/>
    <s v="Paiman Firgantoro"/>
    <s v="High"/>
    <s v="DrawIt Colored Pencils"/>
    <x v="0"/>
    <s v="Wrap Bag"/>
    <s v="Express Air"/>
    <n v="43570"/>
    <n v="65550"/>
    <n v="136650"/>
    <n v="71100"/>
    <n v="21"/>
    <n v="1493100"/>
    <n v="0.03"/>
    <n v="44793"/>
    <n v="1448307"/>
    <n v="10000"/>
    <n v="1458307"/>
  </r>
  <r>
    <s v="6165-1"/>
    <d v="2019-04-16T00:00:00"/>
    <n v="2019"/>
    <s v="Eja Mulyani"/>
    <s v="Gg. Jakarta No. 86"/>
    <s v="Surabaya"/>
    <x v="1"/>
    <s v="E1040"/>
    <s v="Sutan Tirtayasa Wasita"/>
    <s v="Sutan Tirtayasa Wasita"/>
    <s v="Not Specified"/>
    <s v="TechSavi Cordless Access Keyboard"/>
    <x v="1"/>
    <s v="Small Box"/>
    <s v="Regular Air"/>
    <n v="43572"/>
    <n v="220500"/>
    <n v="449850"/>
    <n v="229350"/>
    <n v="14"/>
    <n v="3210900"/>
    <n v="0.04"/>
    <n v="128436"/>
    <n v="3082464"/>
    <n v="15000"/>
    <n v="3097464"/>
  </r>
  <r>
    <s v="6166-1"/>
    <d v="2019-04-23T00:00:00"/>
    <n v="2019"/>
    <s v="Yulia Mahendra"/>
    <s v="Gg. HOS. Cokroaminoto No. 72"/>
    <s v="Surabaya"/>
    <x v="0"/>
    <s v="E1034"/>
    <s v="Ophelia Mustofa"/>
    <s v="Ophelia Mustofa"/>
    <s v="High"/>
    <s v="Steady Liquid Accent Highlighters"/>
    <x v="0"/>
    <s v="Wrap Bag"/>
    <s v="Regular Air"/>
    <n v="43580"/>
    <n v="52050"/>
    <n v="100200"/>
    <n v="48150"/>
    <n v="10"/>
    <n v="481500"/>
    <n v="0.08"/>
    <n v="38520"/>
    <n v="442980"/>
    <n v="5000"/>
    <n v="447980"/>
  </r>
  <r>
    <s v="6167-1"/>
    <d v="2019-04-26T00:00:00"/>
    <n v="2019"/>
    <s v="Opung Saptono"/>
    <s v="Jl. Medokan Ayu No. 7"/>
    <s v="Surabaya"/>
    <x v="0"/>
    <s v="E1038"/>
    <s v="Clara Prasetyo"/>
    <s v="Clara Prasetyo"/>
    <s v="High"/>
    <s v="Artisan Legal 4-Ring Binder"/>
    <x v="0"/>
    <s v="Small Box"/>
    <s v="Regular Air"/>
    <n v="43583"/>
    <n v="204600"/>
    <n v="314700"/>
    <n v="110100"/>
    <n v="34"/>
    <n v="3743400"/>
    <n v="7.0000000000000007E-2"/>
    <n v="262038.00000000003"/>
    <n v="3481362"/>
    <n v="15000"/>
    <n v="3496362"/>
  </r>
  <r>
    <s v="6168-1"/>
    <d v="2019-05-01T00:00:00"/>
    <n v="2019"/>
    <s v="Balamantri Mandasari"/>
    <s v="Gang Sadang Serang No. 74"/>
    <s v="Surabaya"/>
    <x v="0"/>
    <s v="E1035"/>
    <s v="Darmanto Laksita"/>
    <s v="Darmanto Laksita"/>
    <s v="High"/>
    <s v="Laser Neon Mac Format Diskettes, 10/Pack"/>
    <x v="1"/>
    <s v="Small Pack"/>
    <s v="Regular Air"/>
    <n v="43587"/>
    <n v="28050"/>
    <n v="121799.99999999999"/>
    <n v="93749.999999999985"/>
    <n v="47"/>
    <n v="4406249.9999999991"/>
    <n v="7.0000000000000007E-2"/>
    <n v="308437.49999999994"/>
    <n v="4097812.4999999991"/>
    <n v="10000"/>
    <n v="4107812.4999999991"/>
  </r>
  <r>
    <s v="6169-1"/>
    <d v="2019-05-01T00:00:00"/>
    <n v="2019"/>
    <s v="Kamidin Yolanda"/>
    <s v="Jalan Pasteur No. 217"/>
    <s v="Surabaya"/>
    <x v="2"/>
    <s v="E1031"/>
    <s v="Bagiya Sihombing"/>
    <s v="Bagiya Sihombing"/>
    <s v="Medium"/>
    <s v="Laser Neon Mac Format Diskettes, 10/Pack"/>
    <x v="1"/>
    <s v="Small Pack"/>
    <s v="Regular Air"/>
    <n v="43586"/>
    <n v="28050"/>
    <n v="121799.99999999999"/>
    <n v="93749.999999999985"/>
    <n v="36"/>
    <n v="3374999.9999999995"/>
    <n v="0.1"/>
    <n v="337500"/>
    <n v="3037499.9999999995"/>
    <n v="10000"/>
    <n v="3047499.9999999995"/>
  </r>
  <r>
    <s v="6170-1"/>
    <d v="2019-05-01T00:00:00"/>
    <n v="2019"/>
    <s v="Karen Kuswandari"/>
    <s v="Jalan Jend. A. Yani No. 48"/>
    <s v="Surabaya"/>
    <x v="0"/>
    <s v="E1036"/>
    <s v="Kenari Rajasa"/>
    <s v="Kenari Rajasa"/>
    <s v="Medium"/>
    <s v="Smiths SlimLine Pencil Sharpener"/>
    <x v="0"/>
    <s v="Small Pack"/>
    <s v="Regular Air"/>
    <n v="43588"/>
    <n v="71850"/>
    <n v="179550"/>
    <n v="107700"/>
    <n v="28"/>
    <n v="3015600"/>
    <n v="0.03"/>
    <n v="90468"/>
    <n v="2925132"/>
    <n v="10000"/>
    <n v="2935132"/>
  </r>
  <r>
    <s v="6172-1"/>
    <d v="2019-05-02T00:00:00"/>
    <n v="2019"/>
    <s v="Danuja Prayoga"/>
    <s v="Gg. Pacuan Kuda No. 49"/>
    <s v="Surabaya"/>
    <x v="0"/>
    <s v="E1037"/>
    <s v="Puti Nadine Prakasa"/>
    <s v="Puti Nadine Prakasa"/>
    <s v="Not Specified"/>
    <s v="TechSavi Access Keyboard"/>
    <x v="1"/>
    <s v="Small Box"/>
    <s v="Regular Air"/>
    <n v="43589"/>
    <n v="124650.00000000001"/>
    <n v="239700"/>
    <n v="115049.99999999999"/>
    <n v="4"/>
    <n v="460199.99999999994"/>
    <n v="0.09"/>
    <n v="41417.999999999993"/>
    <n v="418781.99999999994"/>
    <n v="15000"/>
    <n v="433781.99999999994"/>
  </r>
  <r>
    <s v="6174-1"/>
    <d v="2019-05-03T00:00:00"/>
    <n v="2019"/>
    <s v="Diah Sudiati"/>
    <s v="Jalan Ciwastra No. 383"/>
    <s v="Surabaya"/>
    <x v="1"/>
    <s v="E1032"/>
    <s v="Violet Mentari"/>
    <s v="Violet Mentari"/>
    <s v="High"/>
    <s v="Beekin 6 Outlet Metallic Surge Strip"/>
    <x v="0"/>
    <s v="Small Box"/>
    <s v="Regular Air"/>
    <n v="43588"/>
    <n v="66900"/>
    <n v="163350"/>
    <n v="96450"/>
    <n v="25"/>
    <n v="2411250"/>
    <n v="0.03"/>
    <n v="72337.5"/>
    <n v="2338912.5"/>
    <n v="15000"/>
    <n v="2353912.5"/>
  </r>
  <r>
    <s v="6175-1"/>
    <d v="2019-05-03T00:00:00"/>
    <n v="2019"/>
    <s v="Lasmanto Yuliarti"/>
    <s v="Jl. S. Parman No. 91"/>
    <s v="Surabaya"/>
    <x v="2"/>
    <s v="E1034"/>
    <s v="Ophelia Mustofa"/>
    <s v="Ophelia Mustofa"/>
    <s v="Critical"/>
    <s v="Office Shears by Apex"/>
    <x v="0"/>
    <s v="Small Pack"/>
    <s v="Regular Air"/>
    <n v="43588"/>
    <n v="14100"/>
    <n v="31200"/>
    <n v="17100"/>
    <n v="33"/>
    <n v="564300"/>
    <n v="0.05"/>
    <n v="28215"/>
    <n v="536085"/>
    <n v="10000"/>
    <n v="546085"/>
  </r>
  <r>
    <s v="6176-1"/>
    <d v="2019-05-03T00:00:00"/>
    <n v="2019"/>
    <s v="Putu Hardiansyah"/>
    <s v="Jalan Dipatiukur No. 56"/>
    <s v="Surabaya"/>
    <x v="1"/>
    <s v="E1036"/>
    <s v="Kenari Rajasa"/>
    <s v="Kenari Rajasa"/>
    <s v="Critical"/>
    <s v="UGen Ultra Professional Cordless Optical Suite"/>
    <x v="1"/>
    <s v="Small Box"/>
    <s v="Regular Air"/>
    <n v="43588"/>
    <n v="2347500"/>
    <n v="4514550"/>
    <n v="2167050"/>
    <n v="43"/>
    <n v="93183150"/>
    <n v="0.08"/>
    <n v="7454652"/>
    <n v="85728498"/>
    <n v="15000"/>
    <n v="85743498"/>
  </r>
  <r>
    <s v="6177-1"/>
    <d v="2019-05-08T00:00:00"/>
    <n v="2019"/>
    <s v="Hilda Halim"/>
    <s v="Gang Cikapayang No. 055"/>
    <s v="Surabaya"/>
    <x v="0"/>
    <s v="E1040"/>
    <s v="Sutan Tirtayasa Wasita"/>
    <s v="Sutan Tirtayasa Wasita"/>
    <s v="Critical"/>
    <s v="Apex Straight Scissors"/>
    <x v="0"/>
    <s v="Small Pack"/>
    <s v="Regular Air"/>
    <n v="43594"/>
    <n v="77850"/>
    <n v="194700"/>
    <n v="116850"/>
    <n v="50"/>
    <n v="5842500"/>
    <n v="0.08"/>
    <n v="467400"/>
    <n v="5375100"/>
    <n v="10000"/>
    <n v="5385100"/>
  </r>
  <r>
    <s v="6179-1"/>
    <d v="2019-05-10T00:00:00"/>
    <n v="2019"/>
    <s v="Luhung Padmasari"/>
    <s v="Jl. Pelajar Pejuang No. 25"/>
    <s v="Bandung"/>
    <x v="1"/>
    <s v="E1036"/>
    <s v="Kenari Rajasa"/>
    <s v="Kenari Rajasa"/>
    <s v="High"/>
    <s v="Message Book, One Form per Page"/>
    <x v="0"/>
    <s v="Wrap Bag"/>
    <s v="Express Air"/>
    <n v="43597"/>
    <n v="36150"/>
    <n v="55650"/>
    <n v="19500"/>
    <n v="16"/>
    <n v="312000"/>
    <n v="0.1"/>
    <n v="31200"/>
    <n v="280800"/>
    <n v="10000"/>
    <n v="290800"/>
  </r>
  <r>
    <s v="6181-1"/>
    <d v="2019-05-12T00:00:00"/>
    <n v="2019"/>
    <s v="Keisha Budiyanto"/>
    <s v="Jalan Raya Ujungberung No. 5"/>
    <s v="Surabaya"/>
    <x v="0"/>
    <s v="E1037"/>
    <s v="Puti Nadine Prakasa"/>
    <s v="Puti Nadine Prakasa"/>
    <s v="Medium"/>
    <s v="Adesso Programmable 142-Key Keyboard"/>
    <x v="1"/>
    <s v="Small Box"/>
    <s v="Regular Air"/>
    <n v="43598"/>
    <n v="594600"/>
    <n v="2287200"/>
    <n v="1692600"/>
    <n v="27"/>
    <n v="45700200"/>
    <n v="0.1"/>
    <n v="4570020"/>
    <n v="41130180"/>
    <n v="15000"/>
    <n v="41145180"/>
  </r>
  <r>
    <s v="6183-1"/>
    <d v="2019-05-12T00:00:00"/>
    <n v="2019"/>
    <s v="Harja Safitri"/>
    <s v="Gang Jakarta No. 158"/>
    <s v="Bandung"/>
    <x v="0"/>
    <s v="E1039"/>
    <s v="Nabila Prakasa"/>
    <s v="Nabila Prakasa"/>
    <s v="Critical"/>
    <s v="Unpadded Memo Slips"/>
    <x v="0"/>
    <s v="Wrap Bag"/>
    <s v="Regular Air"/>
    <n v="43599"/>
    <n v="38850"/>
    <n v="59700"/>
    <n v="20850"/>
    <n v="41"/>
    <n v="854850"/>
    <n v="0.1"/>
    <n v="85485"/>
    <n v="769365"/>
    <n v="5000"/>
    <n v="774365"/>
  </r>
  <r>
    <s v="6184-1"/>
    <d v="2019-05-13T00:00:00"/>
    <n v="2019"/>
    <s v="Ajimin Suartini"/>
    <s v="Gg. Surapati No. 471"/>
    <s v="Surabaya"/>
    <x v="0"/>
    <s v="E1038"/>
    <s v="Clara Prasetyo"/>
    <s v="Clara Prasetyo"/>
    <s v="Not Specified"/>
    <s v="Pizazz Drawing Pencil Set"/>
    <x v="0"/>
    <s v="Wrap Bag"/>
    <s v="Regular Air"/>
    <n v="43600"/>
    <n v="22950"/>
    <n v="41700"/>
    <n v="18750"/>
    <n v="38"/>
    <n v="712500"/>
    <n v="0"/>
    <n v="0"/>
    <n v="712500"/>
    <n v="5000"/>
    <n v="717500"/>
  </r>
  <r>
    <s v="6185-1"/>
    <d v="2019-05-16T00:00:00"/>
    <n v="2019"/>
    <s v="Melinda Hutapea"/>
    <s v="Jalan Gedebage Selatan No. 048"/>
    <s v="Jakarta"/>
    <x v="2"/>
    <s v="E1029"/>
    <s v="Laras Nuraini"/>
    <s v="Laras Nuraini"/>
    <s v="High"/>
    <s v="Artisan Reinforcements for Hole-Punch Pages"/>
    <x v="0"/>
    <s v="Small Box"/>
    <s v="Regular Air"/>
    <n v="43602"/>
    <n v="17850"/>
    <n v="29700"/>
    <n v="11850"/>
    <n v="12"/>
    <n v="142200"/>
    <n v="7.0000000000000007E-2"/>
    <n v="9954.0000000000018"/>
    <n v="132246"/>
    <n v="15000"/>
    <n v="147246"/>
  </r>
  <r>
    <s v="6186-1"/>
    <d v="2019-05-17T00:00:00"/>
    <n v="2019"/>
    <s v="Harjasa Irawan"/>
    <s v="Gg. Cihampelas No. 423"/>
    <s v="Surabaya"/>
    <x v="1"/>
    <s v="E1030"/>
    <s v="Cinthia Gunawan"/>
    <s v="Cinthia Gunawan"/>
    <s v="Critical"/>
    <s v="Cando PC940 Copier"/>
    <x v="1"/>
    <s v="Jumbo Drum"/>
    <s v="Delivery Truck"/>
    <n v="43603"/>
    <n v="4184850"/>
    <n v="6749850"/>
    <n v="2565000"/>
    <n v="16"/>
    <n v="41040000"/>
    <n v="0.09"/>
    <n v="3693600"/>
    <n v="37346400"/>
    <n v="500000"/>
    <n v="37846400"/>
  </r>
  <r>
    <s v="6187-1"/>
    <d v="2019-05-18T00:00:00"/>
    <n v="2019"/>
    <s v="Baktianto Halim"/>
    <s v="Jl. Antapani Lama No. 705"/>
    <s v="Jakarta"/>
    <x v="3"/>
    <s v="E1028"/>
    <s v="Gaduh Pratama"/>
    <s v="Gaduh Pratama"/>
    <s v="Low"/>
    <s v="Smiths Bulk Pack Metal Binder Clips"/>
    <x v="0"/>
    <s v="Wrap Bag"/>
    <s v="Regular Air"/>
    <n v="43605"/>
    <n v="59250"/>
    <n v="91200"/>
    <n v="31950"/>
    <n v="42"/>
    <n v="1341900"/>
    <n v="0.09"/>
    <n v="120771"/>
    <n v="1221129"/>
    <n v="5000"/>
    <n v="1226129"/>
  </r>
  <r>
    <s v="6189-1"/>
    <d v="2019-05-19T00:00:00"/>
    <n v="2019"/>
    <s v="Bambang Rajata"/>
    <s v="Gang K.H. Wahid Hasyim No. 1"/>
    <s v="Bandung"/>
    <x v="3"/>
    <s v="E1032"/>
    <s v="Violet Mentari"/>
    <s v="Violet Mentari"/>
    <s v="Not Specified"/>
    <s v="Steady 52201 APSCO Electric Pencil Sharpener"/>
    <x v="0"/>
    <s v="Small Pack"/>
    <s v="Express Air"/>
    <n v="43605"/>
    <n v="252000"/>
    <n v="614550"/>
    <n v="362550"/>
    <n v="49"/>
    <n v="17764950"/>
    <n v="0.04"/>
    <n v="710598"/>
    <n v="17054352"/>
    <n v="20000"/>
    <n v="17074352"/>
  </r>
  <r>
    <s v="6190-1"/>
    <d v="2019-05-23T00:00:00"/>
    <n v="2019"/>
    <s v="Darmaji Rajasa"/>
    <s v="Jl. Rumah Sakit No. 738"/>
    <s v="Jakarta"/>
    <x v="0"/>
    <s v="E1028"/>
    <s v="Gaduh Pratama"/>
    <s v="Gaduh Pratama"/>
    <s v="Medium"/>
    <s v="DrawIt Colored Pencils, 48-Color Set"/>
    <x v="0"/>
    <s v="Wrap Bag"/>
    <s v="Regular Air"/>
    <n v="43609"/>
    <n v="323400"/>
    <n v="548250"/>
    <n v="224850"/>
    <n v="6"/>
    <n v="1349100"/>
    <n v="0.01"/>
    <n v="13491"/>
    <n v="1335609"/>
    <n v="5000"/>
    <n v="1340609"/>
  </r>
  <r>
    <s v="6191-1"/>
    <d v="2019-05-24T00:00:00"/>
    <n v="2019"/>
    <s v="Saadat Hutapea"/>
    <s v="Jalan PHH. Mustofa No. 625"/>
    <s v="Surabaya"/>
    <x v="1"/>
    <s v="E1034"/>
    <s v="Ophelia Mustofa"/>
    <s v="Ophelia Mustofa"/>
    <s v="Low"/>
    <s v="Unpadded Memo Slips"/>
    <x v="0"/>
    <s v="Wrap Bag"/>
    <s v="Regular Air"/>
    <n v="43614"/>
    <n v="38850"/>
    <n v="59700"/>
    <n v="20850"/>
    <n v="50"/>
    <n v="1042500"/>
    <n v="0.08"/>
    <n v="83400"/>
    <n v="959100"/>
    <n v="5000"/>
    <n v="964100"/>
  </r>
  <r>
    <s v="6193-1"/>
    <d v="2019-05-25T00:00:00"/>
    <n v="2019"/>
    <s v="Saadat Hutapea"/>
    <s v="Jalan PHH. Mustofa No. 625"/>
    <s v="Surabaya"/>
    <x v="1"/>
    <s v="E1034"/>
    <s v="Ophelia Mustofa"/>
    <s v="Ophelia Mustofa"/>
    <s v="Medium"/>
    <s v="PastelOcean Color Pencil Set"/>
    <x v="0"/>
    <s v="Wrap Bag"/>
    <s v="Regular Air"/>
    <n v="43611"/>
    <n v="166650"/>
    <n v="297600"/>
    <n v="130950"/>
    <n v="10"/>
    <n v="1309500"/>
    <n v="0.05"/>
    <n v="65475"/>
    <n v="1244025"/>
    <n v="5000"/>
    <n v="1249025"/>
  </r>
  <r>
    <s v="6194-1"/>
    <d v="2019-05-26T00:00:00"/>
    <n v="2019"/>
    <s v="Keisha Prayoga"/>
    <s v="Gang Rawamangun No. 02"/>
    <s v="Surabaya"/>
    <x v="2"/>
    <s v="E1038"/>
    <s v="Clara Prasetyo"/>
    <s v="Clara Prasetyo"/>
    <s v="Medium"/>
    <s v="600 Series Flip"/>
    <x v="1"/>
    <s v="Small Box"/>
    <s v="Regular Air"/>
    <n v="43613"/>
    <n v="619200"/>
    <n v="1439850"/>
    <n v="820650"/>
    <n v="14"/>
    <n v="11489100"/>
    <n v="0.04"/>
    <n v="459564"/>
    <n v="11029536"/>
    <n v="15000"/>
    <n v="11044536"/>
  </r>
  <r>
    <s v="6196-1"/>
    <d v="2019-05-26T00:00:00"/>
    <n v="2019"/>
    <s v="Ina Nasyidah"/>
    <s v="Jalan Pasteur No. 217"/>
    <s v="Surabaya"/>
    <x v="0"/>
    <s v="E1031"/>
    <s v="Bagiya Sihombing"/>
    <s v="Bagiya Sihombing"/>
    <s v="Low"/>
    <s v="Multimedia Mailers"/>
    <x v="0"/>
    <s v="Small Box"/>
    <s v="Regular Air"/>
    <n v="43620"/>
    <n v="1490850"/>
    <n v="2443950"/>
    <n v="953100"/>
    <n v="22"/>
    <n v="20968200"/>
    <n v="7.0000000000000007E-2"/>
    <n v="1467774.0000000002"/>
    <n v="19500426"/>
    <n v="15000"/>
    <n v="19515426"/>
  </r>
  <r>
    <s v="6197-1"/>
    <d v="2019-05-27T00:00:00"/>
    <n v="2019"/>
    <s v="Prasetya Wahyuni"/>
    <s v="Jl. Ciwastra No. 543"/>
    <s v="Jakarta"/>
    <x v="3"/>
    <s v="E1029"/>
    <s v="Laras Nuraini"/>
    <s v="Laras Nuraini"/>
    <s v="Critical"/>
    <s v="Lumi Crayons"/>
    <x v="0"/>
    <s v="Wrap Bag"/>
    <s v="Regular Air"/>
    <n v="43613"/>
    <n v="78300"/>
    <n v="147750"/>
    <n v="69450"/>
    <n v="48"/>
    <n v="3333600"/>
    <n v="0.09"/>
    <n v="300024"/>
    <n v="3033576"/>
    <n v="5000"/>
    <n v="3038576"/>
  </r>
  <r>
    <s v="6197-2"/>
    <d v="2019-05-27T00:00:00"/>
    <n v="2019"/>
    <s v="Prasetya Wahyuni"/>
    <s v="Jl. Ciwastra No. 543"/>
    <s v="Jakarta"/>
    <x v="3"/>
    <s v="E1029"/>
    <s v="Laras Nuraini"/>
    <s v="Laras Nuraini"/>
    <s v="Critical"/>
    <s v="Pizazz Colored Pencils"/>
    <x v="0"/>
    <s v="Wrap Bag"/>
    <s v="Regular Air"/>
    <n v="43613"/>
    <n v="26400"/>
    <n v="44100"/>
    <n v="17700"/>
    <n v="18"/>
    <n v="318600"/>
    <n v="0.01"/>
    <n v="3186"/>
    <n v="315414"/>
    <n v="5000"/>
    <n v="320414"/>
  </r>
  <r>
    <s v="6201-1"/>
    <d v="2019-05-28T00:00:00"/>
    <n v="2019"/>
    <s v="Saka Wijaya"/>
    <s v="Jl. Jend. Sudirman No. 0"/>
    <s v="Surabaya"/>
    <x v="2"/>
    <s v="E1030"/>
    <s v="Cinthia Gunawan"/>
    <s v="Cinthia Gunawan"/>
    <s v="High"/>
    <s v="Aluminum Document Frame"/>
    <x v="2"/>
    <s v="Small Pack"/>
    <s v="Regular Air"/>
    <n v="43614"/>
    <n v="82500"/>
    <n v="183300"/>
    <n v="100800"/>
    <n v="10"/>
    <n v="1008000"/>
    <n v="0.1"/>
    <n v="100800"/>
    <n v="907200"/>
    <n v="10000"/>
    <n v="917200"/>
  </r>
  <r>
    <s v="6203-1"/>
    <d v="2019-05-28T00:00:00"/>
    <n v="2019"/>
    <s v="Tri Siregar"/>
    <s v="Gang Merdeka No. 298"/>
    <s v="Surabaya"/>
    <x v="1"/>
    <s v="E1031"/>
    <s v="Bagiya Sihombing"/>
    <s v="Bagiya Sihombing"/>
    <s v="High"/>
    <s v="Apex Box Cutter Scissors"/>
    <x v="0"/>
    <s v="Small Pack"/>
    <s v="Express Air"/>
    <n v="43616"/>
    <n v="62850.000000000007"/>
    <n v="153450"/>
    <n v="90600"/>
    <n v="19"/>
    <n v="1721400"/>
    <n v="0.08"/>
    <n v="137712"/>
    <n v="1583688"/>
    <n v="20000"/>
    <n v="1603688"/>
  </r>
  <r>
    <s v="6204-1"/>
    <d v="2019-05-28T00:00:00"/>
    <n v="2019"/>
    <s v="Kamidin Saptono"/>
    <s v="Gang Monginsidi No. 138"/>
    <s v="Jakarta"/>
    <x v="2"/>
    <s v="E1029"/>
    <s v="Laras Nuraini"/>
    <s v="Laras Nuraini"/>
    <s v="High"/>
    <s v="Wirebound Voice Message Log Book"/>
    <x v="0"/>
    <s v="Wrap Bag"/>
    <s v="Regular Air"/>
    <n v="43616"/>
    <n v="43500"/>
    <n v="71400"/>
    <n v="27900"/>
    <n v="33"/>
    <n v="920700"/>
    <n v="0.06"/>
    <n v="55242"/>
    <n v="865458"/>
    <n v="5000"/>
    <n v="870458"/>
  </r>
  <r>
    <s v="6206-1"/>
    <d v="2019-05-31T00:00:00"/>
    <n v="2019"/>
    <s v="Imam Pertiwi"/>
    <s v="Gang Yos Sudarso No. 13"/>
    <s v="Surabaya"/>
    <x v="3"/>
    <s v="E1039"/>
    <s v="Nabila Prakasa"/>
    <s v="Nabila Prakasa"/>
    <s v="Not Specified"/>
    <s v="Angle-D Binders with Locking Rings, Label Holders"/>
    <x v="0"/>
    <s v="Small Box"/>
    <s v="Regular Air"/>
    <n v="43617"/>
    <n v="67950"/>
    <n v="109500"/>
    <n v="41550"/>
    <n v="36"/>
    <n v="1495800"/>
    <n v="0.1"/>
    <n v="149580"/>
    <n v="1346220"/>
    <n v="15000"/>
    <n v="1361220"/>
  </r>
  <r>
    <s v="6208-1"/>
    <d v="2019-05-31T00:00:00"/>
    <n v="2019"/>
    <s v="Agnes Yulianti"/>
    <s v="Jalan Cikapayang No. 311"/>
    <s v="Surabaya"/>
    <x v="1"/>
    <s v="E1031"/>
    <s v="Bagiya Sihombing"/>
    <s v="Bagiya Sihombing"/>
    <s v="Low"/>
    <s v="Unpadded Memo Slips"/>
    <x v="0"/>
    <s v="Wrap Bag"/>
    <s v="Regular Air"/>
    <n v="43621"/>
    <n v="38850"/>
    <n v="59700"/>
    <n v="20850"/>
    <n v="11"/>
    <n v="229350"/>
    <n v="0.01"/>
    <n v="2293.5"/>
    <n v="227056.5"/>
    <n v="5000"/>
    <n v="232056.5"/>
  </r>
  <r>
    <s v="6209-1"/>
    <d v="2019-06-01T00:00:00"/>
    <n v="2019"/>
    <s v="Ajiman Mandasari"/>
    <s v="Jl. Rumah Sakit No. 738"/>
    <s v="Jakarta"/>
    <x v="0"/>
    <s v="E1028"/>
    <s v="Gaduh Pratama"/>
    <s v="Gaduh Pratama"/>
    <s v="Not Specified"/>
    <s v="Smiths Metal Binder Clips"/>
    <x v="0"/>
    <s v="Wrap Bag"/>
    <s v="Regular Air"/>
    <n v="43618"/>
    <n v="24000"/>
    <n v="39300"/>
    <n v="15300"/>
    <n v="48"/>
    <n v="734400"/>
    <n v="0.1"/>
    <n v="73440"/>
    <n v="660960"/>
    <n v="5000"/>
    <n v="665960"/>
  </r>
  <r>
    <s v="6211-1"/>
    <d v="2019-06-04T00:00:00"/>
    <n v="2019"/>
    <s v="Danang Uyainah"/>
    <s v="Jl. Yos Sudarso No. 78"/>
    <s v="Jakarta"/>
    <x v="1"/>
    <s v="E1028"/>
    <s v="Gaduh Pratama"/>
    <s v="Gaduh Pratama"/>
    <s v="Critical"/>
    <s v="TechSavi Cordless Access Keyboard"/>
    <x v="1"/>
    <s v="Small Box"/>
    <s v="Regular Air"/>
    <n v="43622"/>
    <n v="220500"/>
    <n v="449850"/>
    <n v="229350"/>
    <n v="11"/>
    <n v="2522850"/>
    <n v="0.08"/>
    <n v="201828"/>
    <n v="2321022"/>
    <n v="15000"/>
    <n v="2336022"/>
  </r>
  <r>
    <s v="6213-1"/>
    <d v="2019-06-06T00:00:00"/>
    <n v="2019"/>
    <s v="Imam Iswahyudi"/>
    <s v="Gg. Suniaraja No. 21"/>
    <s v="Surabaya"/>
    <x v="3"/>
    <s v="E1031"/>
    <s v="Bagiya Sihombing"/>
    <s v="Bagiya Sihombing"/>
    <s v="Not Specified"/>
    <s v="Cando PC940 Copier"/>
    <x v="1"/>
    <s v="Jumbo Drum"/>
    <s v="Delivery Truck"/>
    <n v="43623"/>
    <n v="4184850"/>
    <n v="6749850"/>
    <n v="2565000"/>
    <n v="38"/>
    <n v="97470000"/>
    <n v="0.01"/>
    <n v="974700"/>
    <n v="96495300"/>
    <n v="500000"/>
    <n v="96995300"/>
  </r>
  <r>
    <s v="6214-1"/>
    <d v="2019-06-07T00:00:00"/>
    <n v="2019"/>
    <s v="Jane Gunawan"/>
    <s v="Gg. Dipenogoro No. 947"/>
    <s v="Surabaya"/>
    <x v="3"/>
    <s v="E1034"/>
    <s v="Ophelia Mustofa"/>
    <s v="Ophelia Mustofa"/>
    <s v="Medium"/>
    <s v="Smiths Colored Bar Computer Paper"/>
    <x v="0"/>
    <s v="Small Box"/>
    <s v="Regular Air"/>
    <n v="43624"/>
    <n v="329550"/>
    <n v="531600"/>
    <n v="202050"/>
    <n v="48"/>
    <n v="9698400"/>
    <n v="0.08"/>
    <n v="775872"/>
    <n v="8922528"/>
    <n v="15000"/>
    <n v="8937528"/>
  </r>
  <r>
    <s v="6215-1"/>
    <d v="2019-06-10T00:00:00"/>
    <n v="2019"/>
    <s v="Arta Rahmawati"/>
    <s v="Jalan Lembong No. 9"/>
    <s v="Surabaya"/>
    <x v="2"/>
    <s v="E1032"/>
    <s v="Violet Mentari"/>
    <s v="Violet Mentari"/>
    <s v="Low"/>
    <s v="Artisan Hi-Liter Smear-Safe Highlighters"/>
    <x v="0"/>
    <s v="Wrap Bag"/>
    <s v="Regular Air"/>
    <n v="43633"/>
    <n v="44700"/>
    <n v="87600"/>
    <n v="42900"/>
    <n v="19"/>
    <n v="815100"/>
    <n v="0.01"/>
    <n v="8151"/>
    <n v="806949"/>
    <n v="5000"/>
    <n v="811949"/>
  </r>
  <r>
    <s v="6217-1"/>
    <d v="2019-06-13T00:00:00"/>
    <n v="2019"/>
    <s v="Dwi Suartini"/>
    <s v="Gg. Tubagus Ismail No. 864"/>
    <s v="Bandung"/>
    <x v="3"/>
    <s v="E1032"/>
    <s v="Violet Mentari"/>
    <s v="Violet Mentari"/>
    <s v="Medium"/>
    <s v="TypeRight Side-Opening Peel &amp; Seel Expanding Envelopes"/>
    <x v="0"/>
    <s v="Small Box"/>
    <s v="Regular Air"/>
    <n v="43629"/>
    <n v="814350"/>
    <n v="1357200"/>
    <n v="542850"/>
    <n v="16"/>
    <n v="8685600"/>
    <n v="0"/>
    <n v="0"/>
    <n v="8685600"/>
    <n v="15000"/>
    <n v="8700600"/>
  </r>
  <r>
    <s v="6219-1"/>
    <d v="2019-06-18T00:00:00"/>
    <n v="2019"/>
    <s v="Kawaca Andriani"/>
    <s v="Gang Otto Iskandardinata No. 167"/>
    <s v="Surabaya"/>
    <x v="0"/>
    <s v="E1037"/>
    <s v="Puti Nadine Prakasa"/>
    <s v="Puti Nadine Prakasa"/>
    <s v="Low"/>
    <s v="Steady Pocket Accent Highlighters"/>
    <x v="0"/>
    <s v="Wrap Bag"/>
    <s v="Regular Air"/>
    <n v="43638"/>
    <n v="13950"/>
    <n v="24000"/>
    <n v="10050"/>
    <n v="43"/>
    <n v="432150"/>
    <n v="0.01"/>
    <n v="4321.5"/>
    <n v="427828.5"/>
    <n v="5000"/>
    <n v="432828.5"/>
  </r>
  <r>
    <s v="6220-1"/>
    <d v="2019-06-19T00:00:00"/>
    <n v="2019"/>
    <s v="Citra Riyanti"/>
    <s v="Jalan Jend. A. Yani No. 48"/>
    <s v="Surabaya"/>
    <x v="3"/>
    <s v="E1036"/>
    <s v="Kenari Rajasa"/>
    <s v="Kenari Rajasa"/>
    <s v="Low"/>
    <s v="600 Series Flip"/>
    <x v="1"/>
    <s v="Small Box"/>
    <s v="Regular Air"/>
    <n v="43640"/>
    <n v="619200"/>
    <n v="1439850"/>
    <n v="820650"/>
    <n v="40"/>
    <n v="32826000"/>
    <n v="0.05"/>
    <n v="1641300"/>
    <n v="31184700"/>
    <n v="15000"/>
    <n v="31199700"/>
  </r>
  <r>
    <s v="6221-1"/>
    <d v="2019-06-19T00:00:00"/>
    <n v="2019"/>
    <s v="Akarsana Winarno"/>
    <s v="Jl. Laswi No. 04"/>
    <s v="Surabaya"/>
    <x v="1"/>
    <s v="E1040"/>
    <s v="Sutan Tirtayasa Wasita"/>
    <s v="Sutan Tirtayasa Wasita"/>
    <s v="Not Specified"/>
    <s v="Artisan Hole Reinforcements"/>
    <x v="0"/>
    <s v="Small Box"/>
    <s v="Express Air"/>
    <n v="43636"/>
    <n v="59850"/>
    <n v="93450"/>
    <n v="33600"/>
    <n v="33"/>
    <n v="1108800"/>
    <n v="0.08"/>
    <n v="88704"/>
    <n v="1020096"/>
    <n v="30000"/>
    <n v="1050096"/>
  </r>
  <r>
    <s v="6222-1"/>
    <d v="2019-06-20T00:00:00"/>
    <n v="2019"/>
    <s v="Rina Simanjuntak"/>
    <s v="Gg. Suniaraja No. 21"/>
    <s v="Surabaya"/>
    <x v="0"/>
    <s v="E1031"/>
    <s v="Bagiya Sihombing"/>
    <s v="Bagiya Sihombing"/>
    <s v="Medium"/>
    <s v="Steady 52201 APSCO Electric Pencil Sharpener"/>
    <x v="0"/>
    <s v="Small Pack"/>
    <s v="Regular Air"/>
    <n v="43637"/>
    <n v="252000"/>
    <n v="614550"/>
    <n v="362550"/>
    <n v="14"/>
    <n v="5075700"/>
    <n v="0"/>
    <n v="0"/>
    <n v="5075700"/>
    <n v="10000"/>
    <n v="5085700"/>
  </r>
  <r>
    <s v="6223-1"/>
    <d v="2019-06-22T00:00:00"/>
    <n v="2019"/>
    <s v="Dadap Riyanti"/>
    <s v="Jl. BKR No. 46"/>
    <s v="Jakarta"/>
    <x v="1"/>
    <s v="E1028"/>
    <s v="Gaduh Pratama"/>
    <s v="Gaduh Pratama"/>
    <s v="Medium"/>
    <s v="Beekin 105-Key Black Keyboard"/>
    <x v="1"/>
    <s v="Small Box"/>
    <s v="Regular Air"/>
    <n v="43639"/>
    <n v="95850"/>
    <n v="299700"/>
    <n v="203850"/>
    <n v="39"/>
    <n v="7950150"/>
    <n v="0.05"/>
    <n v="397507.5"/>
    <n v="7552642.5"/>
    <n v="15000"/>
    <n v="7567642.5"/>
  </r>
  <r>
    <s v="6224-1"/>
    <d v="2019-06-24T00:00:00"/>
    <n v="2019"/>
    <s v="Kiandra Salahudin"/>
    <s v="Jalan Raya Ujungberung No. 5"/>
    <s v="Surabaya"/>
    <x v="3"/>
    <s v="E1037"/>
    <s v="Puti Nadine Prakasa"/>
    <s v="Puti Nadine Prakasa"/>
    <s v="Medium"/>
    <s v="Multi-Use Personal File Cart and Caster Set, Three Stacking Bins"/>
    <x v="0"/>
    <s v="Small Box"/>
    <s v="Regular Air"/>
    <n v="43642"/>
    <n v="224250"/>
    <n v="521399.99999999994"/>
    <n v="297149.99999999994"/>
    <n v="27"/>
    <n v="8023049.9999999981"/>
    <n v="0.1"/>
    <n v="802304.99999999988"/>
    <n v="7220744.9999999981"/>
    <n v="15000"/>
    <n v="7235744.9999999981"/>
  </r>
  <r>
    <s v="6225-1"/>
    <d v="2019-06-25T00:00:00"/>
    <n v="2019"/>
    <s v="Jatmiko Megantara"/>
    <s v="Jl. W.R. Supratman No. 473"/>
    <s v="Surabaya"/>
    <x v="0"/>
    <s v="E1036"/>
    <s v="Kenari Rajasa"/>
    <s v="Kenari Rajasa"/>
    <s v="Medium"/>
    <s v="Smiths Pushpins"/>
    <x v="0"/>
    <s v="Wrap Bag"/>
    <s v="Regular Air"/>
    <n v="43641"/>
    <n v="14100"/>
    <n v="28200"/>
    <n v="14100"/>
    <n v="36"/>
    <n v="507600"/>
    <n v="0.04"/>
    <n v="20304"/>
    <n v="487296"/>
    <n v="5000"/>
    <n v="492296"/>
  </r>
  <r>
    <s v="6226-1"/>
    <d v="2019-06-25T00:00:00"/>
    <n v="2019"/>
    <s v="Purwanto Pratama"/>
    <s v="Gang R.E Martadinata No. 16"/>
    <s v="Surabaya"/>
    <x v="1"/>
    <s v="E1032"/>
    <s v="Violet Mentari"/>
    <s v="Violet Mentari"/>
    <s v="Low"/>
    <s v="Steady Pocket Accent Highlighters"/>
    <x v="0"/>
    <s v="Wrap Bag"/>
    <s v="Regular Air"/>
    <n v="43646"/>
    <n v="13950"/>
    <n v="24000"/>
    <n v="10050"/>
    <n v="40"/>
    <n v="402000"/>
    <n v="0.01"/>
    <n v="4020"/>
    <n v="397980"/>
    <n v="5000"/>
    <n v="402980"/>
  </r>
  <r>
    <s v="6227-1"/>
    <d v="2019-06-27T00:00:00"/>
    <n v="2019"/>
    <s v="Vicky Mardhiyah"/>
    <s v="Jalan Lembong No. 9"/>
    <s v="Surabaya"/>
    <x v="0"/>
    <s v="E1032"/>
    <s v="Violet Mentari"/>
    <s v="Violet Mentari"/>
    <s v="Low"/>
    <s v="Xit Blank Computer Paper"/>
    <x v="0"/>
    <s v="Small Box"/>
    <s v="Regular Air"/>
    <n v="43647"/>
    <n v="185850"/>
    <n v="299700"/>
    <n v="113850"/>
    <n v="47"/>
    <n v="5350950"/>
    <n v="0"/>
    <n v="0"/>
    <n v="5350950"/>
    <n v="15000"/>
    <n v="5365950"/>
  </r>
  <r>
    <s v="6228-1"/>
    <d v="2019-06-30T00:00:00"/>
    <n v="2019"/>
    <s v="Upik Siregar"/>
    <s v="Gang Medokan Ayu No. 764"/>
    <s v="Surabaya"/>
    <x v="1"/>
    <s v="E1038"/>
    <s v="Clara Prasetyo"/>
    <s v="Clara Prasetyo"/>
    <s v="Critical"/>
    <s v="Bagged Rubber Bands"/>
    <x v="0"/>
    <s v="Wrap Bag"/>
    <s v="Regular Air"/>
    <n v="43649"/>
    <n v="3600"/>
    <n v="18900"/>
    <n v="15300"/>
    <n v="47"/>
    <n v="719100"/>
    <n v="7.0000000000000007E-2"/>
    <n v="50337.000000000007"/>
    <n v="668763"/>
    <n v="5000"/>
    <n v="673763"/>
  </r>
  <r>
    <s v="6228-1"/>
    <d v="2019-06-30T00:00:00"/>
    <n v="2019"/>
    <s v="Ajimat Hutapea"/>
    <s v="Jl. Dipenogoro No. 422"/>
    <s v="Surabaya"/>
    <x v="2"/>
    <s v="E1032"/>
    <s v="Violet Mentari"/>
    <s v="Violet Mentari"/>
    <s v="Critical"/>
    <s v="DrawIt Colored Pencils, 48-Color Set"/>
    <x v="0"/>
    <s v="Wrap Bag"/>
    <s v="Regular Air"/>
    <n v="43648"/>
    <n v="323400"/>
    <n v="548250"/>
    <n v="224850"/>
    <n v="2"/>
    <n v="449700"/>
    <n v="0.03"/>
    <n v="13491"/>
    <n v="436209"/>
    <n v="5000"/>
    <n v="441209"/>
  </r>
  <r>
    <s v="6230-1"/>
    <d v="2019-06-30T00:00:00"/>
    <n v="2019"/>
    <s v="Abyasa Salahudin"/>
    <s v="Jl. K.H. Wahid Hasyim No. 4"/>
    <s v="Jakarta"/>
    <x v="3"/>
    <s v="E1028"/>
    <s v="Gaduh Pratama"/>
    <s v="Gaduh Pratama"/>
    <s v="Medium"/>
    <s v="Laser Neon Mac Format Diskettes, 10/Pack"/>
    <x v="1"/>
    <s v="Small Pack"/>
    <s v="Express Air"/>
    <n v="43647"/>
    <n v="28050"/>
    <n v="121799.99999999999"/>
    <n v="93749.999999999985"/>
    <n v="37"/>
    <n v="3468749.9999999995"/>
    <n v="0.01"/>
    <n v="34687.499999999993"/>
    <n v="3434062.4999999995"/>
    <n v="20000"/>
    <n v="3454062.4999999995"/>
  </r>
  <r>
    <s v="6231-1"/>
    <d v="2019-07-01T00:00:00"/>
    <n v="2019"/>
    <s v="Akarsana Winarno"/>
    <s v="Jl. Laswi No. 04"/>
    <s v="Surabaya"/>
    <x v="1"/>
    <s v="E1040"/>
    <s v="Sutan Tirtayasa Wasita"/>
    <s v="Sutan Tirtayasa Wasita"/>
    <s v="Low"/>
    <s v="Artisan File Folder Labels"/>
    <x v="0"/>
    <s v="Small Box"/>
    <s v="Regular Air"/>
    <n v="43652"/>
    <n v="27600"/>
    <n v="43200"/>
    <n v="15600"/>
    <n v="18"/>
    <n v="280800"/>
    <n v="0.02"/>
    <n v="5616"/>
    <n v="275184"/>
    <n v="15000"/>
    <n v="290184"/>
  </r>
  <r>
    <s v="6232-1"/>
    <d v="2019-07-01T00:00:00"/>
    <n v="2019"/>
    <s v="Bakidin Nugroho"/>
    <s v="Jl. Rumah Sakit No. 738"/>
    <s v="Jakarta"/>
    <x v="0"/>
    <s v="E1028"/>
    <s v="Gaduh Pratama"/>
    <s v="Gaduh Pratama"/>
    <s v="High"/>
    <s v="Steady Major Accent Highlighters"/>
    <x v="0"/>
    <s v="Wrap Bag"/>
    <s v="Regular Air"/>
    <n v="43647"/>
    <n v="56250"/>
    <n v="106200"/>
    <n v="49950"/>
    <n v="16"/>
    <n v="799200"/>
    <n v="0.02"/>
    <n v="15984"/>
    <n v="783216"/>
    <n v="5000"/>
    <n v="788216"/>
  </r>
  <r>
    <s v="6234-1"/>
    <d v="2019-07-03T00:00:00"/>
    <n v="2019"/>
    <s v="Prima Andriani"/>
    <s v="Jalan Kapten Muslihat No. 4"/>
    <s v="Surabaya"/>
    <x v="1"/>
    <s v="E1030"/>
    <s v="Cinthia Gunawan"/>
    <s v="Cinthia Gunawan"/>
    <s v="Not Specified"/>
    <s v="Wirebound Voice Message Log Book"/>
    <x v="0"/>
    <s v="Wrap Bag"/>
    <s v="Regular Air"/>
    <n v="43651"/>
    <n v="43500"/>
    <n v="71400"/>
    <n v="27900"/>
    <n v="23"/>
    <n v="641700"/>
    <n v="0.05"/>
    <n v="32085"/>
    <n v="609615"/>
    <n v="5000"/>
    <n v="614615"/>
  </r>
  <r>
    <s v="6235-1"/>
    <d v="2019-07-04T00:00:00"/>
    <n v="2019"/>
    <s v="Purwanto Irawan"/>
    <s v="Jl. Ciwastra No. 543"/>
    <s v="Jakarta"/>
    <x v="1"/>
    <s v="E1029"/>
    <s v="Laras Nuraini"/>
    <s v="Laras Nuraini"/>
    <s v="Medium"/>
    <s v="1726 Digital Answering Machine"/>
    <x v="1"/>
    <s v="Medium Box"/>
    <s v="Regular Air"/>
    <n v="43651"/>
    <n v="132300"/>
    <n v="314850"/>
    <n v="182550"/>
    <n v="2"/>
    <n v="365100"/>
    <n v="7.0000000000000007E-2"/>
    <n v="25557.000000000004"/>
    <n v="339543"/>
    <n v="20000"/>
    <n v="359543"/>
  </r>
  <r>
    <s v="6237-1"/>
    <d v="2019-07-08T00:00:00"/>
    <n v="2019"/>
    <s v="Sakura Sihombing"/>
    <s v="Jl. K.H. Wahid Hasyim No. 4"/>
    <s v="Jakarta"/>
    <x v="1"/>
    <s v="E1029"/>
    <s v="Laras Nuraini"/>
    <s v="Laras Nuraini"/>
    <s v="Not Specified"/>
    <s v="Smiths Bulldog Clip"/>
    <x v="0"/>
    <s v="Wrap Bag"/>
    <s v="Regular Air"/>
    <n v="43654"/>
    <n v="34650"/>
    <n v="56700"/>
    <n v="22050"/>
    <n v="28"/>
    <n v="617400"/>
    <n v="0"/>
    <n v="0"/>
    <n v="617400"/>
    <n v="5000"/>
    <n v="622400"/>
  </r>
  <r>
    <s v="6238-1"/>
    <d v="2019-07-09T00:00:00"/>
    <n v="2019"/>
    <s v="Opan Prasetyo"/>
    <s v="Jl. Pasir Koja No. 059"/>
    <s v="Surabaya"/>
    <x v="1"/>
    <s v="E1032"/>
    <s v="Violet Mentari"/>
    <s v="Violet Mentari"/>
    <s v="Low"/>
    <s v="Apex Preferred Stainless Steel Scissors"/>
    <x v="0"/>
    <s v="Small Pack"/>
    <s v="Regular Air"/>
    <n v="43657"/>
    <n v="37500"/>
    <n v="85200"/>
    <n v="47700"/>
    <n v="45"/>
    <n v="2146500"/>
    <n v="0.01"/>
    <n v="21465"/>
    <n v="2125035"/>
    <n v="10000"/>
    <n v="2135035"/>
  </r>
  <r>
    <s v="6240-1"/>
    <d v="2019-07-09T00:00:00"/>
    <n v="2019"/>
    <s v="Bambang Rajata"/>
    <s v="Gang K.H. Wahid Hasyim No. 1"/>
    <s v="Bandung"/>
    <x v="3"/>
    <s v="E1032"/>
    <s v="Violet Mentari"/>
    <s v="Violet Mentari"/>
    <s v="Critical"/>
    <s v="Artisan 479 Labels"/>
    <x v="0"/>
    <s v="Small Box"/>
    <s v="Regular Air"/>
    <n v="43657"/>
    <n v="23850"/>
    <n v="39150"/>
    <n v="15300"/>
    <n v="8"/>
    <n v="122400"/>
    <n v="0.02"/>
    <n v="2448"/>
    <n v="119952"/>
    <n v="15000"/>
    <n v="134952"/>
  </r>
  <r>
    <s v="6242-1"/>
    <d v="2019-07-10T00:00:00"/>
    <n v="2019"/>
    <s v="Elma Samosir"/>
    <s v="Gang Raya Setiabudhi No. 870"/>
    <s v="Jakarta"/>
    <x v="2"/>
    <s v="E1029"/>
    <s v="Laras Nuraini"/>
    <s v="Laras Nuraini"/>
    <s v="High"/>
    <s v="Cando PC940 Copier"/>
    <x v="1"/>
    <s v="Large Box"/>
    <s v="Regular Air"/>
    <n v="43657"/>
    <n v="3240000"/>
    <n v="6749850"/>
    <n v="3509850"/>
    <n v="49"/>
    <n v="171982650"/>
    <n v="0.06"/>
    <n v="10318959"/>
    <n v="161663691"/>
    <n v="50000"/>
    <n v="161713691"/>
  </r>
  <r>
    <s v="6243-1"/>
    <d v="2019-07-10T00:00:00"/>
    <n v="2019"/>
    <s v="Lukman Nurdiyanti"/>
    <s v="Jalan Moch. Toha No. 9"/>
    <s v="Surabaya"/>
    <x v="0"/>
    <s v="E1033"/>
    <s v="Paiman Firgantoro"/>
    <s v="Paiman Firgantoro"/>
    <s v="Low"/>
    <s v="Cando S750 Color Inkjet Printer"/>
    <x v="1"/>
    <s v="Jumbo Drum"/>
    <s v="Delivery Truck"/>
    <n v="43663"/>
    <n v="1125000"/>
    <n v="1814550"/>
    <n v="689550"/>
    <n v="42"/>
    <n v="28961100"/>
    <n v="0"/>
    <n v="0"/>
    <n v="28961100"/>
    <n v="500000"/>
    <n v="29461100"/>
  </r>
  <r>
    <s v="6244-1"/>
    <d v="2019-07-12T00:00:00"/>
    <n v="2019"/>
    <s v="Keisha Hutasoit"/>
    <s v="Gang Jend. A. Yani No. 7"/>
    <s v="Surabaya"/>
    <x v="1"/>
    <s v="E1030"/>
    <s v="Cinthia Gunawan"/>
    <s v="Cinthia Gunawan"/>
    <s v="Critical"/>
    <s v="Apex Straight Scissors"/>
    <x v="0"/>
    <s v="Small Pack"/>
    <s v="Regular Air"/>
    <n v="43659"/>
    <n v="77850"/>
    <n v="194700"/>
    <n v="116850"/>
    <n v="45"/>
    <n v="5258250"/>
    <n v="0.05"/>
    <n v="262912.5"/>
    <n v="4995337.5"/>
    <n v="10000"/>
    <n v="5005337.5"/>
  </r>
  <r>
    <s v="6246-1"/>
    <d v="2019-07-12T00:00:00"/>
    <n v="2019"/>
    <s v="Pangestu Sihombing"/>
    <s v="Jl. BKR No. 46"/>
    <s v="Jakarta"/>
    <x v="1"/>
    <s v="E1028"/>
    <s v="Gaduh Pratama"/>
    <s v="Gaduh Pratama"/>
    <s v="Low"/>
    <s v="Artisan 481 Labels"/>
    <x v="0"/>
    <s v="Small Box"/>
    <s v="Regular Air"/>
    <n v="43660"/>
    <n v="29100"/>
    <n v="46200"/>
    <n v="17100"/>
    <n v="42"/>
    <n v="718200"/>
    <n v="0.09"/>
    <n v="64638"/>
    <n v="653562"/>
    <n v="15000"/>
    <n v="668562"/>
  </r>
  <r>
    <s v="6248-1"/>
    <d v="2019-07-13T00:00:00"/>
    <n v="2019"/>
    <s v="Raharja Saputra"/>
    <s v="Jalan Jend. A. Yani No. 48"/>
    <s v="Surabaya"/>
    <x v="1"/>
    <s v="E1036"/>
    <s v="Kenari Rajasa"/>
    <s v="Kenari Rajasa"/>
    <s v="Not Specified"/>
    <s v="Office Shears by Apex"/>
    <x v="0"/>
    <s v="Small Pack"/>
    <s v="Regular Air"/>
    <n v="43660"/>
    <n v="14100"/>
    <n v="31200"/>
    <n v="17100"/>
    <n v="2"/>
    <n v="34200"/>
    <n v="0.01"/>
    <n v="342"/>
    <n v="33858"/>
    <n v="10000"/>
    <n v="43858"/>
  </r>
  <r>
    <s v="6250-1"/>
    <d v="2019-07-16T00:00:00"/>
    <n v="2019"/>
    <s v="Genta Iswahyudi"/>
    <s v="Gang R.E Martadinata No. 969"/>
    <s v="Surabaya"/>
    <x v="1"/>
    <s v="E1036"/>
    <s v="Kenari Rajasa"/>
    <s v="Kenari Rajasa"/>
    <s v="Low"/>
    <s v="Artisan Flip-Chart Easel Binder, Black"/>
    <x v="0"/>
    <s v="Small Box"/>
    <s v="Regular Air"/>
    <n v="43670"/>
    <n v="208200"/>
    <n v="335700"/>
    <n v="127500"/>
    <n v="16"/>
    <n v="2040000"/>
    <n v="0.09"/>
    <n v="183600"/>
    <n v="1856400"/>
    <n v="15000"/>
    <n v="1871400"/>
  </r>
  <r>
    <s v="6252-1"/>
    <d v="2019-07-17T00:00:00"/>
    <n v="2019"/>
    <s v="Labuh Permata"/>
    <s v="Jalan Jend. A. Yani No. 48"/>
    <s v="Surabaya"/>
    <x v="3"/>
    <s v="E1036"/>
    <s v="Kenari Rajasa"/>
    <s v="Kenari Rajasa"/>
    <s v="Low"/>
    <s v="Bagged Rubber Bands"/>
    <x v="0"/>
    <s v="Wrap Bag"/>
    <s v="Express Air"/>
    <n v="43663"/>
    <n v="3600"/>
    <n v="18900"/>
    <n v="15300"/>
    <n v="40"/>
    <n v="612000"/>
    <n v="0.04"/>
    <n v="24480"/>
    <n v="587520"/>
    <n v="10000"/>
    <n v="597520"/>
  </r>
  <r>
    <s v="6254-1"/>
    <d v="2019-07-19T00:00:00"/>
    <n v="2019"/>
    <s v="Siti Maulana"/>
    <s v="Jalan Ciwastra No. 383"/>
    <s v="Surabaya"/>
    <x v="2"/>
    <s v="E1032"/>
    <s v="Violet Mentari"/>
    <s v="Violet Mentari"/>
    <s v="Low"/>
    <s v="Apex Forged Steel Scissors with Black Enamel Handles"/>
    <x v="0"/>
    <s v="Small Pack"/>
    <s v="Regular Air"/>
    <n v="43671"/>
    <n v="61499.999999999993"/>
    <n v="139650"/>
    <n v="78150"/>
    <n v="35"/>
    <n v="2735250"/>
    <n v="0.05"/>
    <n v="136762.5"/>
    <n v="2598487.5"/>
    <n v="10000"/>
    <n v="2608487.5"/>
  </r>
  <r>
    <s v="6256-1"/>
    <d v="2019-07-20T00:00:00"/>
    <n v="2019"/>
    <s v="Mahfud Laksita"/>
    <s v="Jl. Raya Ujungberung No. 121"/>
    <s v="Bandung"/>
    <x v="0"/>
    <s v="E1032"/>
    <s v="Violet Mentari"/>
    <s v="Violet Mentari"/>
    <s v="Not Specified"/>
    <s v="Pizazz Drawing Pencil Set"/>
    <x v="0"/>
    <s v="Wrap Bag"/>
    <s v="Regular Air"/>
    <n v="43668"/>
    <n v="22950"/>
    <n v="41700"/>
    <n v="18750"/>
    <n v="10"/>
    <n v="187500"/>
    <n v="0.01"/>
    <n v="1875"/>
    <n v="185625"/>
    <n v="5000"/>
    <n v="190625"/>
  </r>
  <r>
    <s v="6257-1"/>
    <d v="2019-07-24T00:00:00"/>
    <n v="2019"/>
    <s v="Purwa Nasyidah"/>
    <s v="Jalan Raya Ujungberung No. 5"/>
    <s v="Surabaya"/>
    <x v="3"/>
    <s v="E1037"/>
    <s v="Puti Nadine Prakasa"/>
    <s v="Puti Nadine Prakasa"/>
    <s v="Critical"/>
    <s v="Beekin 105-Key Black Keyboard"/>
    <x v="1"/>
    <s v="Small Box"/>
    <s v="Regular Air"/>
    <n v="43672"/>
    <n v="95850"/>
    <n v="299700"/>
    <n v="203850"/>
    <n v="35"/>
    <n v="7134750"/>
    <n v="0.1"/>
    <n v="713475"/>
    <n v="6421275"/>
    <n v="15000"/>
    <n v="6436275"/>
  </r>
  <r>
    <s v="6258-1"/>
    <d v="2019-07-25T00:00:00"/>
    <n v="2019"/>
    <s v="Ani Maryadi"/>
    <s v="Gang Soekarno Hatta No. 2"/>
    <s v="Surabaya"/>
    <x v="1"/>
    <s v="E1038"/>
    <s v="Clara Prasetyo"/>
    <s v="Clara Prasetyo"/>
    <s v="Not Specified"/>
    <s v="Artisan Hole Reinforcements"/>
    <x v="0"/>
    <s v="Small Box"/>
    <s v="Regular Air"/>
    <n v="43673"/>
    <n v="59850"/>
    <n v="93450"/>
    <n v="33600"/>
    <n v="21"/>
    <n v="705600"/>
    <n v="0.05"/>
    <n v="35280"/>
    <n v="670320"/>
    <n v="15000"/>
    <n v="685320"/>
  </r>
  <r>
    <s v="6260-1"/>
    <d v="2019-07-25T00:00:00"/>
    <n v="2019"/>
    <s v="Karsa Kuswoyo"/>
    <s v="Gang Jayawijaya No. 91"/>
    <s v="Jakarta"/>
    <x v="1"/>
    <s v="E1029"/>
    <s v="Laras Nuraini"/>
    <s v="Laras Nuraini"/>
    <s v="Critical"/>
    <s v="Colored Push Pins"/>
    <x v="0"/>
    <s v="Wrap Bag"/>
    <s v="Regular Air"/>
    <n v="43671"/>
    <n v="13800"/>
    <n v="27150"/>
    <n v="13350"/>
    <n v="22"/>
    <n v="293700"/>
    <n v="0.09"/>
    <n v="26433"/>
    <n v="267267"/>
    <n v="5000"/>
    <n v="272267"/>
  </r>
  <r>
    <s v="6261-1"/>
    <d v="2019-07-25T00:00:00"/>
    <n v="2019"/>
    <s v="Hasna Prasetya"/>
    <s v="Jalan Pasteur No. 217"/>
    <s v="Surabaya"/>
    <x v="0"/>
    <s v="E1031"/>
    <s v="Bagiya Sihombing"/>
    <s v="Bagiya Sihombing"/>
    <s v="High"/>
    <s v="DrawIt Pizazz Watercolor Pencils, 10-Color Set with Brush"/>
    <x v="0"/>
    <s v="Wrap Bag"/>
    <s v="Express Air"/>
    <n v="43672"/>
    <n v="35850"/>
    <n v="63900"/>
    <n v="28050"/>
    <n v="34"/>
    <n v="953700"/>
    <n v="0.03"/>
    <n v="28611"/>
    <n v="925089"/>
    <n v="10000"/>
    <n v="935089"/>
  </r>
  <r>
    <s v="6263-1"/>
    <d v="2019-07-27T00:00:00"/>
    <n v="2019"/>
    <s v="Jumadi Sitompul"/>
    <s v="Gg. M.H Thamrin No. 784"/>
    <s v="Jakarta"/>
    <x v="1"/>
    <s v="E1029"/>
    <s v="Laras Nuraini"/>
    <s v="Laras Nuraini"/>
    <s v="Critical"/>
    <s v="Cando PC940 Copier"/>
    <x v="1"/>
    <s v="Jumbo Drum"/>
    <s v="Delivery Truck"/>
    <n v="43675"/>
    <n v="4184850"/>
    <n v="6749850"/>
    <n v="2565000"/>
    <n v="43"/>
    <n v="110295000"/>
    <n v="0.06"/>
    <n v="6617700"/>
    <n v="103677300"/>
    <n v="500000"/>
    <n v="104177300"/>
  </r>
  <r>
    <s v="6264-1"/>
    <d v="2019-07-31T00:00:00"/>
    <n v="2019"/>
    <s v="Bajragin Saputra"/>
    <s v="Jalan Ciwastra No. 383"/>
    <s v="Surabaya"/>
    <x v="2"/>
    <s v="E1032"/>
    <s v="Violet Mentari"/>
    <s v="Violet Mentari"/>
    <s v="Low"/>
    <s v="Artisan Hi-Liter Comfort Grip Fluorescent Highlighter, Yellow Ink"/>
    <x v="0"/>
    <s v="Wrap Bag"/>
    <s v="Regular Air"/>
    <n v="43679"/>
    <n v="15750"/>
    <n v="29250"/>
    <n v="13500"/>
    <n v="23"/>
    <n v="310500"/>
    <n v="0.09"/>
    <n v="27945"/>
    <n v="282555"/>
    <n v="5000"/>
    <n v="287555"/>
  </r>
  <r>
    <s v="6266-1"/>
    <d v="2019-08-01T00:00:00"/>
    <n v="2019"/>
    <s v="Empluk Uyainah"/>
    <s v="Gang Pacuan Kuda No. 04"/>
    <s v="Surabaya"/>
    <x v="1"/>
    <s v="E1037"/>
    <s v="Puti Nadine Prakasa"/>
    <s v="Puti Nadine Prakasa"/>
    <s v="Medium"/>
    <s v="3Max Polarizing Task Lamp with Clamp Arm, Light Gray"/>
    <x v="2"/>
    <s v="Large Box"/>
    <s v="Regular Air"/>
    <n v="43679"/>
    <n v="842400"/>
    <n v="2054699.9999999998"/>
    <n v="1212299.9999999998"/>
    <n v="14"/>
    <n v="16972199.999999996"/>
    <n v="0"/>
    <n v="0"/>
    <n v="16972199.999999996"/>
    <n v="50000"/>
    <n v="17022199.999999996"/>
  </r>
  <r>
    <s v="6266-2"/>
    <d v="2019-08-01T00:00:00"/>
    <n v="2019"/>
    <s v="Empluk Uyainah"/>
    <s v="Gang Pacuan Kuda No. 04"/>
    <s v="Surabaya"/>
    <x v="1"/>
    <s v="E1037"/>
    <s v="Puti Nadine Prakasa"/>
    <s v="Puti Nadine Prakasa"/>
    <s v="Medium"/>
    <s v="Binder Clips by OIC"/>
    <x v="0"/>
    <s v="Wrap Bag"/>
    <s v="Regular Air"/>
    <n v="43680"/>
    <n v="13950"/>
    <n v="22200"/>
    <n v="8250"/>
    <n v="3"/>
    <n v="24750"/>
    <n v="0.1"/>
    <n v="2475"/>
    <n v="22275"/>
    <n v="5000"/>
    <n v="27275"/>
  </r>
  <r>
    <s v="6269-1"/>
    <d v="2019-08-06T00:00:00"/>
    <n v="2019"/>
    <s v="Latika Siregar"/>
    <s v="Jalan S. Parman No. 88"/>
    <s v="Bandung"/>
    <x v="1"/>
    <s v="E1036"/>
    <s v="Kenari Rajasa"/>
    <s v="Kenari Rajasa"/>
    <s v="Not Specified"/>
    <s v="Bagged Rubber Bands"/>
    <x v="0"/>
    <s v="Wrap Bag"/>
    <s v="Regular Air"/>
    <n v="43684"/>
    <n v="3600"/>
    <n v="18900"/>
    <n v="15300"/>
    <n v="11"/>
    <n v="168300"/>
    <n v="0"/>
    <n v="0"/>
    <n v="168300"/>
    <n v="5000"/>
    <n v="173300"/>
  </r>
  <r>
    <s v="6270-1"/>
    <d v="2019-08-06T00:00:00"/>
    <n v="2019"/>
    <s v="Queen Fujiati"/>
    <s v="Jalan Astana Anyar No. 41"/>
    <s v="Jakarta"/>
    <x v="0"/>
    <s v="E1028"/>
    <s v="Gaduh Pratama"/>
    <s v="Gaduh Pratama"/>
    <s v="Not Specified"/>
    <s v="DrawIt Colored Pencils, 48-Color Set"/>
    <x v="0"/>
    <s v="Wrap Bag"/>
    <s v="Regular Air"/>
    <n v="43685"/>
    <n v="323400"/>
    <n v="548250"/>
    <n v="224850"/>
    <n v="17"/>
    <n v="3822450"/>
    <n v="0.09"/>
    <n v="344020.5"/>
    <n v="3478429.5"/>
    <n v="5000"/>
    <n v="3483429.5"/>
  </r>
  <r>
    <s v="6272-1"/>
    <d v="2019-08-06T00:00:00"/>
    <n v="2019"/>
    <s v="Najwa Usamah"/>
    <s v="Gg. Joyoboyo No. 8"/>
    <s v="Jakarta"/>
    <x v="2"/>
    <s v="E1028"/>
    <s v="Gaduh Pratama"/>
    <s v="Gaduh Pratama"/>
    <s v="Not Specified"/>
    <s v="Smiths Gold Paper Clips"/>
    <x v="0"/>
    <s v="Wrap Bag"/>
    <s v="Regular Air"/>
    <n v="43684"/>
    <n v="27300"/>
    <n v="44700"/>
    <n v="17400"/>
    <n v="32"/>
    <n v="556800"/>
    <n v="0.01"/>
    <n v="5568"/>
    <n v="551232"/>
    <n v="5000"/>
    <n v="556232"/>
  </r>
  <r>
    <s v="6273-1"/>
    <d v="2019-08-07T00:00:00"/>
    <n v="2019"/>
    <s v="Gandewa Sitorus"/>
    <s v="Jalan Ciwastra No. 383"/>
    <s v="Surabaya"/>
    <x v="0"/>
    <s v="E1032"/>
    <s v="Violet Mentari"/>
    <s v="Violet Mentari"/>
    <s v="High"/>
    <s v="Self-Adhesive Ring Binder Labels"/>
    <x v="0"/>
    <s v="Small Box"/>
    <s v="Regular Air"/>
    <n v="43686"/>
    <n v="32700.000000000004"/>
    <n v="52800"/>
    <n v="20099.999999999996"/>
    <n v="32"/>
    <n v="643199.99999999988"/>
    <n v="7.0000000000000007E-2"/>
    <n v="45023.999999999993"/>
    <n v="598175.99999999988"/>
    <n v="15000"/>
    <n v="613175.99999999988"/>
  </r>
  <r>
    <s v="6274-1"/>
    <d v="2019-08-08T00:00:00"/>
    <n v="2019"/>
    <s v="Virman Prayoga"/>
    <s v="Gang Jend. A. Yani No. 7"/>
    <s v="Surabaya"/>
    <x v="0"/>
    <s v="E1030"/>
    <s v="Cinthia Gunawan"/>
    <s v="Cinthia Gunawan"/>
    <s v="Not Specified"/>
    <s v="TechSavi Access Keyboard"/>
    <x v="1"/>
    <s v="Small Box"/>
    <s v="Regular Air"/>
    <n v="43686"/>
    <n v="124650.00000000001"/>
    <n v="239700"/>
    <n v="115049.99999999999"/>
    <n v="18"/>
    <n v="2070899.9999999998"/>
    <n v="0.1"/>
    <n v="207090"/>
    <n v="1863809.9999999998"/>
    <n v="15000"/>
    <n v="1878809.9999999998"/>
  </r>
  <r>
    <s v="6275-1"/>
    <d v="2019-08-08T00:00:00"/>
    <n v="2019"/>
    <s v="Mila Sihotang"/>
    <s v="Jl. S. Parman No. 38"/>
    <s v="Surabaya"/>
    <x v="2"/>
    <s v="E1033"/>
    <s v="Paiman Firgantoro"/>
    <s v="Paiman Firgantoro"/>
    <s v="Medium"/>
    <s v="Wirebound Message Book, 4 per Page"/>
    <x v="0"/>
    <s v="Wrap Bag"/>
    <s v="Regular Air"/>
    <n v="43687"/>
    <n v="52200"/>
    <n v="81450"/>
    <n v="29250"/>
    <n v="37"/>
    <n v="1082250"/>
    <n v="0.09"/>
    <n v="97402.5"/>
    <n v="984847.5"/>
    <n v="5000"/>
    <n v="989847.5"/>
  </r>
  <r>
    <s v="6276-1"/>
    <d v="2019-08-10T00:00:00"/>
    <n v="2019"/>
    <s v="Wisnu Rahmawati"/>
    <s v="Jl. K.H. Wahid Hasyim No. 4"/>
    <s v="Jakarta"/>
    <x v="2"/>
    <s v="E1028"/>
    <s v="Gaduh Pratama"/>
    <s v="Gaduh Pratama"/>
    <s v="High"/>
    <s v="Colored Envelopes"/>
    <x v="0"/>
    <s v="Small Box"/>
    <s v="Regular Air"/>
    <n v="43688"/>
    <n v="33750"/>
    <n v="55350"/>
    <n v="21600"/>
    <n v="46"/>
    <n v="993600"/>
    <n v="0.04"/>
    <n v="39744"/>
    <n v="953856"/>
    <n v="15000"/>
    <n v="968856"/>
  </r>
  <r>
    <s v="6278-1"/>
    <d v="2019-08-14T00:00:00"/>
    <n v="2019"/>
    <s v="Ophelia Natsir"/>
    <s v="Jalan Sukajadi No. 09"/>
    <s v="Bandung"/>
    <x v="2"/>
    <s v="E1039"/>
    <s v="Nabila Prakasa"/>
    <s v="Nabila Prakasa"/>
    <s v="Not Specified"/>
    <s v="Artisan Durable Binders"/>
    <x v="0"/>
    <s v="Small Box"/>
    <s v="Regular Air"/>
    <n v="43693"/>
    <n v="27600"/>
    <n v="43200"/>
    <n v="15600"/>
    <n v="45"/>
    <n v="702000"/>
    <n v="0.02"/>
    <n v="14040"/>
    <n v="687960"/>
    <n v="15000"/>
    <n v="702960"/>
  </r>
  <r>
    <s v="6278-2"/>
    <d v="2019-08-14T00:00:00"/>
    <n v="2019"/>
    <s v="Ophelia Natsir"/>
    <s v="Jalan Sukajadi No. 09"/>
    <s v="Bandung"/>
    <x v="2"/>
    <s v="E1039"/>
    <s v="Nabila Prakasa"/>
    <s v="Nabila Prakasa"/>
    <s v="Not Specified"/>
    <s v="Beekin 6 Outlet Metallic Surge Strip"/>
    <x v="0"/>
    <s v="Small Box"/>
    <s v="Regular Air"/>
    <n v="43692"/>
    <n v="66900"/>
    <n v="163350"/>
    <n v="96450"/>
    <n v="39"/>
    <n v="3761550"/>
    <n v="0.06"/>
    <n v="225693"/>
    <n v="3535857"/>
    <n v="15000"/>
    <n v="3550857"/>
  </r>
  <r>
    <s v="6280-1"/>
    <d v="2019-08-15T00:00:00"/>
    <n v="2019"/>
    <s v="Gantar Permata"/>
    <s v="Jl. Antapani Lama No. 705"/>
    <s v="Jakarta"/>
    <x v="0"/>
    <s v="E1028"/>
    <s v="Gaduh Pratama"/>
    <s v="Gaduh Pratama"/>
    <s v="High"/>
    <s v="Aluminum Document Frame"/>
    <x v="2"/>
    <s v="Small Pack"/>
    <s v="Regular Air"/>
    <n v="43694"/>
    <n v="82500"/>
    <n v="183300"/>
    <n v="100800"/>
    <n v="46"/>
    <n v="4636800"/>
    <n v="0.06"/>
    <n v="278208"/>
    <n v="4358592"/>
    <n v="10000"/>
    <n v="4368592"/>
  </r>
  <r>
    <s v="6280-2"/>
    <d v="2019-08-15T00:00:00"/>
    <n v="2019"/>
    <s v="Gantar Permata"/>
    <s v="Jl. Antapani Lama No. 705"/>
    <s v="Jakarta"/>
    <x v="0"/>
    <s v="E1028"/>
    <s v="Gaduh Pratama"/>
    <s v="Gaduh Pratama"/>
    <s v="High"/>
    <s v="Artisan Poly Binder Pockets"/>
    <x v="0"/>
    <s v="Small Box"/>
    <s v="Regular Air"/>
    <n v="43693"/>
    <n v="33900"/>
    <n v="53700"/>
    <n v="19800"/>
    <n v="8"/>
    <n v="158400"/>
    <n v="0.09"/>
    <n v="14256"/>
    <n v="144144"/>
    <n v="15000"/>
    <n v="159144"/>
  </r>
  <r>
    <s v="6281-1"/>
    <d v="2019-08-15T00:00:00"/>
    <n v="2019"/>
    <s v="Harja Pratiwi"/>
    <s v="Gg. Jakarta No. 646"/>
    <s v="Jakarta"/>
    <x v="2"/>
    <s v="E1029"/>
    <s v="Laras Nuraini"/>
    <s v="Laras Nuraini"/>
    <s v="Not Specified"/>
    <s v="Apex Preferred Stainless Steel Scissors"/>
    <x v="0"/>
    <s v="Small Pack"/>
    <s v="Regular Air"/>
    <n v="43693"/>
    <n v="37500"/>
    <n v="85200"/>
    <n v="47700"/>
    <n v="25"/>
    <n v="1192500"/>
    <n v="0.1"/>
    <n v="119250"/>
    <n v="1073250"/>
    <n v="10000"/>
    <n v="1083250"/>
  </r>
  <r>
    <s v="6285-1"/>
    <d v="2019-08-18T00:00:00"/>
    <n v="2019"/>
    <s v="Margana Handayani"/>
    <s v="Gg. Pacuan Kuda No. 49"/>
    <s v="Surabaya"/>
    <x v="0"/>
    <s v="E1037"/>
    <s v="Puti Nadine Prakasa"/>
    <s v="Puti Nadine Prakasa"/>
    <s v="Medium"/>
    <s v="Artisan Heavy-Duty EZD  Binder With Locking Rings"/>
    <x v="0"/>
    <s v="Small Box"/>
    <s v="Regular Air"/>
    <n v="43697"/>
    <n v="52800"/>
    <n v="83700"/>
    <n v="30900"/>
    <n v="13"/>
    <n v="401700"/>
    <n v="0.06"/>
    <n v="24102"/>
    <n v="377598"/>
    <n v="15000"/>
    <n v="392598"/>
  </r>
  <r>
    <s v="6287-1"/>
    <d v="2019-08-21T00:00:00"/>
    <n v="2019"/>
    <s v="Nyana Suryatmi"/>
    <s v="Gg. Pacuan Kuda No. 49"/>
    <s v="Surabaya"/>
    <x v="1"/>
    <s v="E1037"/>
    <s v="Puti Nadine Prakasa"/>
    <s v="Puti Nadine Prakasa"/>
    <s v="Low"/>
    <s v="Fluorescent Highlighters by DrawIt"/>
    <x v="0"/>
    <s v="Wrap Bag"/>
    <s v="Regular Air"/>
    <n v="43702"/>
    <n v="29250"/>
    <n v="59700"/>
    <n v="30450"/>
    <n v="27"/>
    <n v="822150"/>
    <n v="0.06"/>
    <n v="49329"/>
    <n v="772821"/>
    <n v="5000"/>
    <n v="777821"/>
  </r>
  <r>
    <s v="6288-1"/>
    <d v="2019-08-21T00:00:00"/>
    <n v="2019"/>
    <s v="Jane Gunawan"/>
    <s v="Gg. Dipenogoro No. 947"/>
    <s v="Surabaya"/>
    <x v="1"/>
    <s v="E1034"/>
    <s v="Ophelia Mustofa"/>
    <s v="Ophelia Mustofa"/>
    <s v="Low"/>
    <s v="OIC Thumb-Tacks"/>
    <x v="0"/>
    <s v="Wrap Bag"/>
    <s v="Regular Air"/>
    <n v="43698"/>
    <n v="10650"/>
    <n v="17100"/>
    <n v="6450"/>
    <n v="20"/>
    <n v="129000"/>
    <n v="0.09"/>
    <n v="11610"/>
    <n v="117390"/>
    <n v="5000"/>
    <n v="122390"/>
  </r>
  <r>
    <s v="6290-1"/>
    <d v="2019-08-22T00:00:00"/>
    <n v="2019"/>
    <s v="Anom Januar"/>
    <s v="Gg. Cihampelas No. 423"/>
    <s v="Surabaya"/>
    <x v="1"/>
    <s v="E1030"/>
    <s v="Cinthia Gunawan"/>
    <s v="Cinthia Gunawan"/>
    <s v="High"/>
    <s v="24 Capacity Maxi Data Binder Racks, Pearl"/>
    <x v="0"/>
    <s v="Small Box"/>
    <s v="Regular Air"/>
    <n v="43701"/>
    <n v="1263300"/>
    <n v="3158250"/>
    <n v="1894950"/>
    <n v="4"/>
    <n v="7579800"/>
    <n v="0.05"/>
    <n v="378990"/>
    <n v="7200810"/>
    <n v="15000"/>
    <n v="7215810"/>
  </r>
  <r>
    <s v="6291-1"/>
    <d v="2019-08-23T00:00:00"/>
    <n v="2019"/>
    <s v="Respati Puspita"/>
    <s v="Gang Pelajar Pejuang No. 95"/>
    <s v="Bandung"/>
    <x v="1"/>
    <s v="E1033"/>
    <s v="Paiman Firgantoro"/>
    <s v="Paiman Firgantoro"/>
    <s v="Not Specified"/>
    <s v="Smiths Standard Envelopes"/>
    <x v="0"/>
    <s v="Small Box"/>
    <s v="Regular Air"/>
    <n v="43702"/>
    <n v="52800"/>
    <n v="85200"/>
    <n v="32400"/>
    <n v="34"/>
    <n v="1101600"/>
    <n v="0.06"/>
    <n v="66096"/>
    <n v="1035504"/>
    <n v="15000"/>
    <n v="1050504"/>
  </r>
  <r>
    <s v="6293-1"/>
    <d v="2019-08-25T00:00:00"/>
    <n v="2019"/>
    <s v="Wardi Nasyidah"/>
    <s v="Jalan R.E Martadinata No. 6"/>
    <s v="Jakarta"/>
    <x v="1"/>
    <s v="E1029"/>
    <s v="Laras Nuraini"/>
    <s v="Laras Nuraini"/>
    <s v="Critical"/>
    <s v="Self-Adhesive Ring Binder Labels"/>
    <x v="0"/>
    <s v="Small Box"/>
    <s v="Regular Air"/>
    <n v="43704"/>
    <n v="32700.000000000004"/>
    <n v="52800"/>
    <n v="20099.999999999996"/>
    <n v="42"/>
    <n v="844199.99999999988"/>
    <n v="0.04"/>
    <n v="33767.999999999993"/>
    <n v="810431.99999999988"/>
    <n v="15000"/>
    <n v="825431.99999999988"/>
  </r>
  <r>
    <s v="6294-1"/>
    <d v="2019-08-27T00:00:00"/>
    <n v="2019"/>
    <s v="Paris Palastri"/>
    <s v="Jalan Pasirkoja No. 329"/>
    <s v="Surabaya"/>
    <x v="1"/>
    <s v="E1040"/>
    <s v="Sutan Tirtayasa Wasita"/>
    <s v="Sutan Tirtayasa Wasita"/>
    <s v="Not Specified"/>
    <s v="Artisan 487 Labels"/>
    <x v="0"/>
    <s v="Small Box"/>
    <s v="Regular Air"/>
    <n v="43706"/>
    <n v="34350"/>
    <n v="55350"/>
    <n v="21000"/>
    <n v="47"/>
    <n v="987000"/>
    <n v="0.05"/>
    <n v="49350"/>
    <n v="937650"/>
    <n v="15000"/>
    <n v="952650"/>
  </r>
  <r>
    <s v="6295-1"/>
    <d v="2019-08-27T00:00:00"/>
    <n v="2019"/>
    <s v="Luhung Nuraini"/>
    <s v="Gang Monginsidi No. 138"/>
    <s v="Jakarta"/>
    <x v="3"/>
    <s v="E1029"/>
    <s v="Laras Nuraini"/>
    <s v="Laras Nuraini"/>
    <s v="Not Specified"/>
    <s v="Economy Binders"/>
    <x v="0"/>
    <s v="Small Box"/>
    <s v="Regular Air"/>
    <n v="43706"/>
    <n v="19950"/>
    <n v="31200"/>
    <n v="11250"/>
    <n v="43"/>
    <n v="483750"/>
    <n v="0.05"/>
    <n v="24187.5"/>
    <n v="459562.5"/>
    <n v="15000"/>
    <n v="474562.5"/>
  </r>
  <r>
    <s v="6295-1"/>
    <d v="2019-08-30T00:00:00"/>
    <n v="2019"/>
    <s v="Lega Thamrin"/>
    <s v="Jalan Sukabumi No. 509"/>
    <s v="Surabaya"/>
    <x v="3"/>
    <s v="E1030"/>
    <s v="Cinthia Gunawan"/>
    <s v="Cinthia Gunawan"/>
    <s v="High"/>
    <s v="Smiths Pen Style Liquid Stix; Assorted (yellow, pink, green, blue, orange), 5/Pack"/>
    <x v="0"/>
    <s v="Wrap Bag"/>
    <s v="Regular Air"/>
    <n v="43708"/>
    <n v="58200"/>
    <n v="97050"/>
    <n v="38850"/>
    <n v="7"/>
    <n v="271950"/>
    <n v="0.02"/>
    <n v="5439"/>
    <n v="266511"/>
    <n v="5000"/>
    <n v="271511"/>
  </r>
  <r>
    <s v="6296-1"/>
    <d v="2019-08-31T00:00:00"/>
    <n v="2019"/>
    <s v="Nabila Padmasari"/>
    <s v="Jalan Gedebage Selatan No. 048"/>
    <s v="Jakarta"/>
    <x v="1"/>
    <s v="E1029"/>
    <s v="Laras Nuraini"/>
    <s v="Laras Nuraini"/>
    <s v="Not Specified"/>
    <s v="Multi-Use Personal File Cart and Caster Set, Three Stacking Bins"/>
    <x v="0"/>
    <s v="Small Box"/>
    <s v="Regular Air"/>
    <n v="43710"/>
    <n v="224250"/>
    <n v="521399.99999999994"/>
    <n v="297149.99999999994"/>
    <n v="8"/>
    <n v="2377199.9999999995"/>
    <n v="0"/>
    <n v="0"/>
    <n v="2377199.9999999995"/>
    <n v="15000"/>
    <n v="2392199.9999999995"/>
  </r>
  <r>
    <s v="6298-1"/>
    <d v="2019-09-01T00:00:00"/>
    <n v="2019"/>
    <s v="Kasiyah Puspasari"/>
    <s v="Gang Ronggowarsito No. 27"/>
    <s v="Surabaya"/>
    <x v="0"/>
    <s v="E1035"/>
    <s v="Darmanto Laksita"/>
    <s v="Darmanto Laksita"/>
    <s v="Medium"/>
    <s v="Pizazz Colored Pencils"/>
    <x v="0"/>
    <s v="Wrap Bag"/>
    <s v="Regular Air"/>
    <n v="43710"/>
    <n v="26400"/>
    <n v="44100"/>
    <n v="17700"/>
    <n v="31"/>
    <n v="548700"/>
    <n v="0.04"/>
    <n v="21948"/>
    <n v="526752"/>
    <n v="5000"/>
    <n v="531752"/>
  </r>
  <r>
    <s v="6300-1"/>
    <d v="2019-09-03T00:00:00"/>
    <n v="2019"/>
    <s v="Cinta Rahmawati"/>
    <s v="Gang R.E Martadinata No. 969"/>
    <s v="Surabaya"/>
    <x v="1"/>
    <s v="E1036"/>
    <s v="Kenari Rajasa"/>
    <s v="Kenari Rajasa"/>
    <s v="Critical"/>
    <s v="Aluminum Document Frame"/>
    <x v="2"/>
    <s v="Small Pack"/>
    <s v="Regular Air"/>
    <n v="43712"/>
    <n v="82500"/>
    <n v="183300"/>
    <n v="100800"/>
    <n v="10"/>
    <n v="1008000"/>
    <n v="0.01"/>
    <n v="10080"/>
    <n v="997920"/>
    <n v="10000"/>
    <n v="1007920"/>
  </r>
  <r>
    <s v="6301-1"/>
    <d v="2019-09-03T00:00:00"/>
    <n v="2019"/>
    <s v="Oman Sihombing"/>
    <s v="Jl. Raya Ujungberung No. 121"/>
    <s v="Bandung"/>
    <x v="3"/>
    <s v="E1032"/>
    <s v="Violet Mentari"/>
    <s v="Violet Mentari"/>
    <s v="Critical"/>
    <s v="Ames Color-File Green Diamond Border X-ray Mailers"/>
    <x v="0"/>
    <s v="Small Box"/>
    <s v="Regular Air"/>
    <n v="43711"/>
    <n v="781050"/>
    <n v="1259700"/>
    <n v="478650"/>
    <n v="46"/>
    <n v="22017900"/>
    <n v="0.06"/>
    <n v="1321074"/>
    <n v="20696826"/>
    <n v="15000"/>
    <n v="20711826"/>
  </r>
  <r>
    <s v="6302-1"/>
    <d v="2019-09-03T00:00:00"/>
    <n v="2019"/>
    <s v="Gantar Kuswoyo"/>
    <s v="Jalan Jend. A. Yani No. 48"/>
    <s v="Surabaya"/>
    <x v="1"/>
    <s v="E1036"/>
    <s v="Kenari Rajasa"/>
    <s v="Kenari Rajasa"/>
    <s v="Critical"/>
    <s v="Multi-Use Personal File Cart and Caster Set, Three Stacking Bins"/>
    <x v="0"/>
    <s v="Small Box"/>
    <s v="Regular Air"/>
    <n v="43712"/>
    <n v="224250"/>
    <n v="521399.99999999994"/>
    <n v="297149.99999999994"/>
    <n v="47"/>
    <n v="13966049.999999998"/>
    <n v="0.09"/>
    <n v="1256944.4999999998"/>
    <n v="12709105.499999998"/>
    <n v="15000"/>
    <n v="12724105.499999998"/>
  </r>
  <r>
    <s v="6303-1"/>
    <d v="2019-09-04T00:00:00"/>
    <n v="2019"/>
    <s v="Cengkal Prastuti"/>
    <s v="Gang Setiabudhi No. 1"/>
    <s v="Bandung"/>
    <x v="1"/>
    <s v="E1036"/>
    <s v="Kenari Rajasa"/>
    <s v="Kenari Rajasa"/>
    <s v="Medium"/>
    <s v="Beekin 6 Outlet Metallic Surge Strip"/>
    <x v="0"/>
    <s v="Small Box"/>
    <s v="Regular Air"/>
    <n v="43714"/>
    <n v="66900"/>
    <n v="163350"/>
    <n v="96450"/>
    <n v="1"/>
    <n v="96450"/>
    <n v="0"/>
    <n v="0"/>
    <n v="96450"/>
    <n v="15000"/>
    <n v="111450"/>
  </r>
  <r>
    <s v="6304-1"/>
    <d v="2019-09-04T00:00:00"/>
    <n v="2019"/>
    <s v="Ina Nasyidah"/>
    <s v="Jalan Pasteur No. 217"/>
    <s v="Surabaya"/>
    <x v="0"/>
    <s v="E1031"/>
    <s v="Bagiya Sihombing"/>
    <s v="Bagiya Sihombing"/>
    <s v="Not Specified"/>
    <s v="Smiths General Use 3-Ring Binders"/>
    <x v="0"/>
    <s v="Small Box"/>
    <s v="Regular Air"/>
    <n v="43713"/>
    <n v="17700"/>
    <n v="28200"/>
    <n v="10500"/>
    <n v="22"/>
    <n v="231000"/>
    <n v="0.09"/>
    <n v="20790"/>
    <n v="210210"/>
    <n v="15000"/>
    <n v="225210"/>
  </r>
  <r>
    <s v="6306-1"/>
    <d v="2019-09-05T00:00:00"/>
    <n v="2019"/>
    <s v="Leo Sudiati"/>
    <s v="Jalan Kutai No. 503"/>
    <s v="Surabaya"/>
    <x v="3"/>
    <s v="E1039"/>
    <s v="Nabila Prakasa"/>
    <s v="Nabila Prakasa"/>
    <s v="High"/>
    <s v="DrawIt Pizazz Watercolor Pencils, 10-Color Set with Brush"/>
    <x v="0"/>
    <s v="Wrap Bag"/>
    <s v="Express Air"/>
    <n v="43714"/>
    <n v="35850"/>
    <n v="63900"/>
    <n v="28050"/>
    <n v="5"/>
    <n v="140250"/>
    <n v="0.01"/>
    <n v="1402.5"/>
    <n v="138847.5"/>
    <n v="10000"/>
    <n v="148847.5"/>
  </r>
  <r>
    <s v="6307-1"/>
    <d v="2019-09-08T00:00:00"/>
    <n v="2019"/>
    <s v="Prima Prasetyo"/>
    <s v="Gang Asia Afrika No. 72"/>
    <s v="Surabaya"/>
    <x v="3"/>
    <s v="E1037"/>
    <s v="Puti Nadine Prakasa"/>
    <s v="Puti Nadine Prakasa"/>
    <s v="Medium"/>
    <s v="Airmail Envelopes"/>
    <x v="0"/>
    <s v="Small Box"/>
    <s v="Regular Air"/>
    <n v="43717"/>
    <n v="780600"/>
    <n v="1258950"/>
    <n v="478350"/>
    <n v="5"/>
    <n v="2391750"/>
    <n v="0.04"/>
    <n v="95670"/>
    <n v="2296080"/>
    <n v="15000"/>
    <n v="2311080"/>
  </r>
  <r>
    <s v="6309-1"/>
    <d v="2019-09-09T00:00:00"/>
    <n v="2019"/>
    <s v="Rahman Yuliarti"/>
    <s v="Jl. Abdul Muis No. 3"/>
    <s v="Surabaya"/>
    <x v="1"/>
    <s v="E1037"/>
    <s v="Puti Nadine Prakasa"/>
    <s v="Puti Nadine Prakasa"/>
    <s v="Not Specified"/>
    <s v="Artisan Printable Repositionable Plastic Tabs"/>
    <x v="0"/>
    <s v="Small Box"/>
    <s v="Regular Air"/>
    <n v="43717"/>
    <n v="79950"/>
    <n v="129000"/>
    <n v="49050"/>
    <n v="1"/>
    <n v="49050"/>
    <n v="0.06"/>
    <n v="2943"/>
    <n v="46107"/>
    <n v="15000"/>
    <n v="61107"/>
  </r>
  <r>
    <s v="6311-1"/>
    <d v="2019-09-11T00:00:00"/>
    <n v="2019"/>
    <s v="Dina Sitorus"/>
    <s v="Gang Merdeka No. 298"/>
    <s v="Surabaya"/>
    <x v="2"/>
    <s v="E1031"/>
    <s v="Bagiya Sihombing"/>
    <s v="Bagiya Sihombing"/>
    <s v="Medium"/>
    <s v="Multi-Use Personal File Cart and Caster Set, Three Stacking Bins"/>
    <x v="0"/>
    <s v="Small Box"/>
    <s v="Regular Air"/>
    <n v="43720"/>
    <n v="224250"/>
    <n v="521399.99999999994"/>
    <n v="297149.99999999994"/>
    <n v="32"/>
    <n v="9508799.9999999981"/>
    <n v="0.02"/>
    <n v="190175.99999999997"/>
    <n v="9318623.9999999981"/>
    <n v="15000"/>
    <n v="9333623.9999999981"/>
  </r>
  <r>
    <s v="6313-1"/>
    <d v="2019-09-12T00:00:00"/>
    <n v="2019"/>
    <s v="Mahfud Laksita"/>
    <s v="Jl. Raya Ujungberung No. 121"/>
    <s v="Bandung"/>
    <x v="0"/>
    <s v="E1032"/>
    <s v="Violet Mentari"/>
    <s v="Violet Mentari"/>
    <s v="Medium"/>
    <s v="TechSavi Internet Navigator Keyboard"/>
    <x v="1"/>
    <s v="Small Box"/>
    <s v="Regular Air"/>
    <n v="43720"/>
    <n v="93000"/>
    <n v="464700"/>
    <n v="371700"/>
    <n v="24"/>
    <n v="8920800"/>
    <n v="0.08"/>
    <n v="713664"/>
    <n v="8207136"/>
    <n v="15000"/>
    <n v="8222136"/>
  </r>
  <r>
    <s v="6315-1"/>
    <d v="2019-09-13T00:00:00"/>
    <n v="2019"/>
    <s v="Siska Halim"/>
    <s v="Jl. HOS. Cokroaminoto No. 1"/>
    <s v="Surabaya"/>
    <x v="2"/>
    <s v="E1039"/>
    <s v="Nabila Prakasa"/>
    <s v="Nabila Prakasa"/>
    <s v="Low"/>
    <s v="Office Shears by Apex"/>
    <x v="0"/>
    <s v="Small Pack"/>
    <s v="Regular Air"/>
    <n v="43723"/>
    <n v="14100"/>
    <n v="31200"/>
    <n v="17100"/>
    <n v="49"/>
    <n v="837900"/>
    <n v="0.08"/>
    <n v="67032"/>
    <n v="770868"/>
    <n v="10000"/>
    <n v="780868"/>
  </r>
  <r>
    <s v="6316-1"/>
    <d v="2019-09-13T00:00:00"/>
    <n v="2019"/>
    <s v="Dwi Suartini"/>
    <s v="Gang H.J Maemunah No. 6"/>
    <s v="Bandung"/>
    <x v="3"/>
    <s v="E1032"/>
    <s v="Violet Mentari"/>
    <s v="Violet Mentari"/>
    <s v="High"/>
    <s v="TechSavi Cordless Access Keyboard"/>
    <x v="1"/>
    <s v="Small Box"/>
    <s v="Regular Air"/>
    <n v="43724"/>
    <n v="220500"/>
    <n v="449850"/>
    <n v="229350"/>
    <n v="1"/>
    <n v="229350"/>
    <n v="0.04"/>
    <n v="9174"/>
    <n v="220176"/>
    <n v="15000"/>
    <n v="235176"/>
  </r>
  <r>
    <s v="6317-1"/>
    <d v="2019-09-15T00:00:00"/>
    <n v="2019"/>
    <s v="Chandra Firmansyah"/>
    <s v="Jalan Kutai No. 503"/>
    <s v="Surabaya"/>
    <x v="2"/>
    <s v="E1039"/>
    <s v="Nabila Prakasa"/>
    <s v="Nabila Prakasa"/>
    <s v="Critical"/>
    <s v="Smiths Bulk Pack Metal Binder Clips"/>
    <x v="0"/>
    <s v="Wrap Bag"/>
    <s v="Regular Air"/>
    <n v="43725"/>
    <n v="59250"/>
    <n v="91200"/>
    <n v="31950"/>
    <n v="50"/>
    <n v="1597500"/>
    <n v="0.09"/>
    <n v="143775"/>
    <n v="1453725"/>
    <n v="5000"/>
    <n v="1458725"/>
  </r>
  <r>
    <s v="6319-1"/>
    <d v="2019-09-16T00:00:00"/>
    <n v="2019"/>
    <s v="Asman Dongoran"/>
    <s v="Gg. Jayawijaya No. 34"/>
    <s v="Surabaya"/>
    <x v="3"/>
    <s v="E1031"/>
    <s v="Bagiya Sihombing"/>
    <s v="Bagiya Sihombing"/>
    <s v="Critical"/>
    <s v="Artisan 481 Labels"/>
    <x v="0"/>
    <s v="Small Box"/>
    <s v="Regular Air"/>
    <n v="43725"/>
    <n v="29100"/>
    <n v="46200"/>
    <n v="17100"/>
    <n v="11"/>
    <n v="188100"/>
    <n v="0.03"/>
    <n v="5643"/>
    <n v="182457"/>
    <n v="15000"/>
    <n v="197457"/>
  </r>
  <r>
    <s v="6320-1"/>
    <d v="2019-09-16T00:00:00"/>
    <n v="2019"/>
    <s v="Radika Suartini"/>
    <s v="Jl. Moch. Toha No. 1"/>
    <s v="Surabaya"/>
    <x v="3"/>
    <s v="E1041"/>
    <s v="Sari Winarno"/>
    <s v="Sari Winarno"/>
    <s v="Not Specified"/>
    <s v="OIC Thumb-Tacks"/>
    <x v="0"/>
    <s v="Wrap Bag"/>
    <s v="Regular Air"/>
    <n v="43726"/>
    <n v="10650"/>
    <n v="17100"/>
    <n v="6450"/>
    <n v="3"/>
    <n v="19350"/>
    <n v="0.1"/>
    <n v="1935"/>
    <n v="17415"/>
    <n v="5000"/>
    <n v="22415"/>
  </r>
  <r>
    <s v="6321-1"/>
    <d v="2019-09-24T00:00:00"/>
    <n v="2019"/>
    <s v="Satya Nurdiyanti"/>
    <s v="Jalan S. Parman No. 88"/>
    <s v="Bandung"/>
    <x v="1"/>
    <s v="E1036"/>
    <s v="Kenari Rajasa"/>
    <s v="Kenari Rajasa"/>
    <s v="Critical"/>
    <s v="Steady Liquid Accent Tank-Style Highlighters"/>
    <x v="0"/>
    <s v="Wrap Bag"/>
    <s v="Regular Air"/>
    <n v="43733"/>
    <n v="19650"/>
    <n v="42600"/>
    <n v="22950"/>
    <n v="9"/>
    <n v="206550"/>
    <n v="0.08"/>
    <n v="16524"/>
    <n v="190026"/>
    <n v="5000"/>
    <n v="195026"/>
  </r>
  <r>
    <s v="6322-1"/>
    <d v="2019-09-26T00:00:00"/>
    <n v="2019"/>
    <s v="Aris Widiastuti"/>
    <s v="Jl. S. Parman No. 91"/>
    <s v="Surabaya"/>
    <x v="0"/>
    <s v="E1034"/>
    <s v="Ophelia Mustofa"/>
    <s v="Ophelia Mustofa"/>
    <s v="Critical"/>
    <s v="Adesso Programmable 142-Key Keyboard"/>
    <x v="1"/>
    <s v="Small Box"/>
    <s v="Regular Air"/>
    <n v="43736"/>
    <n v="480300.00000000006"/>
    <n v="2287200"/>
    <n v="1806900"/>
    <n v="12"/>
    <n v="21682800"/>
    <n v="0.1"/>
    <n v="2168280"/>
    <n v="19514520"/>
    <n v="15000"/>
    <n v="19529520"/>
  </r>
  <r>
    <s v="6324-1"/>
    <d v="2019-09-27T00:00:00"/>
    <n v="2019"/>
    <s v="Ayu Wastuti"/>
    <s v="Gg. M.H Thamrin No. 784"/>
    <s v="Jakarta"/>
    <x v="0"/>
    <s v="E1029"/>
    <s v="Laras Nuraini"/>
    <s v="Laras Nuraini"/>
    <s v="Low"/>
    <s v="1726 Digital Answering Machine"/>
    <x v="1"/>
    <s v="Medium Box"/>
    <s v="Regular Air"/>
    <n v="43735"/>
    <n v="132300"/>
    <n v="314850"/>
    <n v="182550"/>
    <n v="2"/>
    <n v="365100"/>
    <n v="0.01"/>
    <n v="3651"/>
    <n v="361449"/>
    <n v="20000"/>
    <n v="381449"/>
  </r>
  <r>
    <s v="6325-1"/>
    <d v="2019-09-27T00:00:00"/>
    <n v="2019"/>
    <s v="Jasmani Zulkarnain"/>
    <s v="Jl. Pasir Koja No. 059"/>
    <s v="Surabaya"/>
    <x v="0"/>
    <s v="E1032"/>
    <s v="Violet Mentari"/>
    <s v="Violet Mentari"/>
    <s v="High"/>
    <s v="Adesso Programmable 142-Key Keyboard"/>
    <x v="1"/>
    <s v="Small Box"/>
    <s v="Regular Air"/>
    <n v="43737"/>
    <n v="480300.00000000006"/>
    <n v="2287200"/>
    <n v="1806900"/>
    <n v="37"/>
    <n v="66855300"/>
    <n v="0.1"/>
    <n v="6685530"/>
    <n v="60169770"/>
    <n v="15000"/>
    <n v="60184770"/>
  </r>
  <r>
    <s v="6325-2"/>
    <d v="2019-09-27T00:00:00"/>
    <n v="2019"/>
    <s v="Jasmani Zulkarnain"/>
    <s v="Jl. Pasir Koja No. 059"/>
    <s v="Surabaya"/>
    <x v="0"/>
    <s v="E1032"/>
    <s v="Violet Mentari"/>
    <s v="Violet Mentari"/>
    <s v="High"/>
    <s v="Laser DVD-RAM discs"/>
    <x v="1"/>
    <s v="Small Pack"/>
    <s v="Regular Air"/>
    <n v="43737"/>
    <n v="302700"/>
    <n v="531150"/>
    <n v="228450"/>
    <n v="30"/>
    <n v="6853500"/>
    <n v="0.08"/>
    <n v="548280"/>
    <n v="6305220"/>
    <n v="10000"/>
    <n v="6315220"/>
  </r>
  <r>
    <s v="6327-1"/>
    <d v="2019-09-27T00:00:00"/>
    <n v="2019"/>
    <s v="Enteng Widodo"/>
    <s v="Jalan Jayawijaya No. 5"/>
    <s v="Surabaya"/>
    <x v="1"/>
    <s v="E1033"/>
    <s v="Paiman Firgantoro"/>
    <s v="Paiman Firgantoro"/>
    <s v="Critical"/>
    <s v="Multimedia Mailers"/>
    <x v="0"/>
    <s v="Small Box"/>
    <s v="Express Air"/>
    <n v="43736"/>
    <n v="1490850"/>
    <n v="2443950"/>
    <n v="953100"/>
    <n v="36"/>
    <n v="34311600"/>
    <n v="0.05"/>
    <n v="1715580"/>
    <n v="32596020"/>
    <n v="30000"/>
    <n v="32626020"/>
  </r>
  <r>
    <s v="6328-1"/>
    <d v="2019-09-27T00:00:00"/>
    <n v="2019"/>
    <s v="Ayu Wastuti"/>
    <s v="Gg. M.H Thamrin No. 784"/>
    <s v="Jakarta"/>
    <x v="0"/>
    <s v="E1029"/>
    <s v="Laras Nuraini"/>
    <s v="Laras Nuraini"/>
    <s v="Low"/>
    <s v="OIC Thumb-Tacks"/>
    <x v="0"/>
    <s v="Wrap Bag"/>
    <s v="Regular Air"/>
    <n v="43740"/>
    <n v="10650"/>
    <n v="17100"/>
    <n v="6450"/>
    <n v="31"/>
    <n v="199950"/>
    <n v="7.0000000000000007E-2"/>
    <n v="13996.500000000002"/>
    <n v="185953.5"/>
    <n v="5000"/>
    <n v="190953.5"/>
  </r>
  <r>
    <s v="6329-1"/>
    <d v="2019-09-28T00:00:00"/>
    <n v="2019"/>
    <s v="Janet Riyanti"/>
    <s v="Jalan Otto Iskandardinata No. 1"/>
    <s v="Surabaya"/>
    <x v="0"/>
    <s v="E1032"/>
    <s v="Violet Mentari"/>
    <s v="Violet Mentari"/>
    <s v="Low"/>
    <s v="Artisan Flip-Chart Easel Binder, Black"/>
    <x v="0"/>
    <s v="Small Box"/>
    <s v="Regular Air"/>
    <n v="43738"/>
    <n v="208200"/>
    <n v="335700"/>
    <n v="127500"/>
    <n v="11"/>
    <n v="1402500"/>
    <n v="0.01"/>
    <n v="14025"/>
    <n v="1388475"/>
    <n v="15000"/>
    <n v="1403475"/>
  </r>
  <r>
    <s v="6330-1"/>
    <d v="2019-09-28T00:00:00"/>
    <n v="2019"/>
    <s v="Saiful Putra"/>
    <s v="Gg. Siliwangi No. 82"/>
    <s v="Surabaya"/>
    <x v="1"/>
    <s v="E1036"/>
    <s v="Kenari Rajasa"/>
    <s v="Kenari Rajasa"/>
    <s v="Not Specified"/>
    <s v="Steady EarthWrite Recycled Pencils, Medium Soft, #2"/>
    <x v="0"/>
    <s v="Wrap Bag"/>
    <s v="Express Air"/>
    <n v="43738"/>
    <n v="13500"/>
    <n v="31500"/>
    <n v="18000"/>
    <n v="31"/>
    <n v="558000"/>
    <n v="0.08"/>
    <n v="44640"/>
    <n v="513360"/>
    <n v="10000"/>
    <n v="523360"/>
  </r>
  <r>
    <s v="6332-1"/>
    <d v="2019-10-01T00:00:00"/>
    <n v="2019"/>
    <s v="Margana Handayani"/>
    <s v="Gg. Pacuan Kuda No. 49"/>
    <s v="Surabaya"/>
    <x v="0"/>
    <s v="E1037"/>
    <s v="Puti Nadine Prakasa"/>
    <s v="Puti Nadine Prakasa"/>
    <s v="Low"/>
    <s v="UGen RF Keyboard"/>
    <x v="1"/>
    <s v="Small Box"/>
    <s v="Regular Air"/>
    <n v="43741"/>
    <n v="1223850"/>
    <n v="2399850"/>
    <n v="1176000"/>
    <n v="31"/>
    <n v="36456000"/>
    <n v="0.01"/>
    <n v="364560"/>
    <n v="36091440"/>
    <n v="15000"/>
    <n v="36106440"/>
  </r>
  <r>
    <s v="6333-1"/>
    <d v="2019-10-02T00:00:00"/>
    <n v="2019"/>
    <s v="Laila Tarihoran"/>
    <s v="Gg. Stasiun Wonokromo No. 324"/>
    <s v="Surabaya"/>
    <x v="2"/>
    <s v="E1034"/>
    <s v="Ophelia Mustofa"/>
    <s v="Ophelia Mustofa"/>
    <s v="Medium"/>
    <s v="Apex Preferred Stainless Steel Scissors"/>
    <x v="0"/>
    <s v="Small Pack"/>
    <s v="Regular Air"/>
    <n v="43741"/>
    <n v="37500"/>
    <n v="85200"/>
    <n v="47700"/>
    <n v="27"/>
    <n v="1287900"/>
    <n v="0.03"/>
    <n v="38637"/>
    <n v="1249263"/>
    <n v="10000"/>
    <n v="1259263"/>
  </r>
  <r>
    <s v="6335-1"/>
    <d v="2019-10-03T00:00:00"/>
    <n v="2019"/>
    <s v="Timbul Marpaung"/>
    <s v="Gang Ciwastra No. 43"/>
    <s v="Surabaya"/>
    <x v="2"/>
    <s v="E1040"/>
    <s v="Sutan Tirtayasa Wasita"/>
    <s v="Sutan Tirtayasa Wasita"/>
    <s v="High"/>
    <s v="DrawIt Colored Pencils, 48-Color Set"/>
    <x v="0"/>
    <s v="Wrap Bag"/>
    <s v="Regular Air"/>
    <n v="43742"/>
    <n v="323400"/>
    <n v="548250"/>
    <n v="224850"/>
    <n v="34"/>
    <n v="7644900"/>
    <n v="0.1"/>
    <n v="764490"/>
    <n v="6880410"/>
    <n v="5000"/>
    <n v="6885410"/>
  </r>
  <r>
    <s v="6336-1"/>
    <d v="2019-10-03T00:00:00"/>
    <n v="2019"/>
    <s v="Nilam Prastuti"/>
    <s v="Gang Asia Afrika No. 96"/>
    <s v="Surabaya"/>
    <x v="2"/>
    <s v="E1036"/>
    <s v="Kenari Rajasa"/>
    <s v="Kenari Rajasa"/>
    <s v="Medium"/>
    <s v="Pizazz Drawing Pencil Set"/>
    <x v="0"/>
    <s v="Wrap Bag"/>
    <s v="Express Air"/>
    <n v="43741"/>
    <n v="22950"/>
    <n v="41700"/>
    <n v="18750"/>
    <n v="47"/>
    <n v="881250"/>
    <n v="0.1"/>
    <n v="88125"/>
    <n v="793125"/>
    <n v="10000"/>
    <n v="803125"/>
  </r>
  <r>
    <s v="6336-2"/>
    <d v="2019-10-03T00:00:00"/>
    <n v="2019"/>
    <s v="Nilam Prastuti"/>
    <s v="Gang Asia Afrika No. 96"/>
    <s v="Surabaya"/>
    <x v="2"/>
    <s v="E1036"/>
    <s v="Kenari Rajasa"/>
    <s v="Kenari Rajasa"/>
    <s v="Medium"/>
    <s v="Smiths Metal Binder Clips"/>
    <x v="0"/>
    <s v="Wrap Bag"/>
    <s v="Regular Air"/>
    <n v="43744"/>
    <n v="24000"/>
    <n v="39300"/>
    <n v="15300"/>
    <n v="30"/>
    <n v="459000"/>
    <n v="0.05"/>
    <n v="22950"/>
    <n v="436050"/>
    <n v="5000"/>
    <n v="441050"/>
  </r>
  <r>
    <s v="6337-1"/>
    <d v="2019-10-08T00:00:00"/>
    <n v="2019"/>
    <s v="Latika Siregar"/>
    <s v="Jalan S. Parman No. 88"/>
    <s v="Bandung"/>
    <x v="1"/>
    <s v="E1036"/>
    <s v="Kenari Rajasa"/>
    <s v="Kenari Rajasa"/>
    <s v="Not Specified"/>
    <s v="Wirebound Voice Message Log Book"/>
    <x v="0"/>
    <s v="Wrap Bag"/>
    <s v="Regular Air"/>
    <n v="43748"/>
    <n v="43500"/>
    <n v="71400"/>
    <n v="27900"/>
    <n v="5"/>
    <n v="139500"/>
    <n v="0.09"/>
    <n v="12555"/>
    <n v="126945"/>
    <n v="5000"/>
    <n v="131945"/>
  </r>
  <r>
    <s v="6338-1"/>
    <d v="2019-10-11T00:00:00"/>
    <n v="2019"/>
    <s v="Cawuk Fujiati"/>
    <s v="Jl. S. Parman No. 38"/>
    <s v="Surabaya"/>
    <x v="1"/>
    <s v="E1033"/>
    <s v="Paiman Firgantoro"/>
    <s v="Paiman Firgantoro"/>
    <s v="Medium"/>
    <s v="Artisan Durable Binders"/>
    <x v="0"/>
    <s v="Small Box"/>
    <s v="Regular Air"/>
    <n v="43751"/>
    <n v="27600"/>
    <n v="43200"/>
    <n v="15600"/>
    <n v="25"/>
    <n v="390000"/>
    <n v="0.04"/>
    <n v="15600"/>
    <n v="374400"/>
    <n v="15000"/>
    <n v="389400"/>
  </r>
  <r>
    <s v="6339-1"/>
    <d v="2019-10-12T00:00:00"/>
    <n v="2019"/>
    <s v="Bambang Rajata"/>
    <s v="Gang K.H. Wahid Hasyim No. 1"/>
    <s v="Bandung"/>
    <x v="3"/>
    <s v="E1032"/>
    <s v="Violet Mentari"/>
    <s v="Violet Mentari"/>
    <s v="Low"/>
    <s v="Alto Memo Cubes"/>
    <x v="0"/>
    <s v="Wrap Bag"/>
    <s v="Express Air"/>
    <n v="43755"/>
    <n v="49800"/>
    <n v="77700"/>
    <n v="27900"/>
    <n v="1"/>
    <n v="27900"/>
    <n v="0.02"/>
    <n v="558"/>
    <n v="27342"/>
    <n v="10000"/>
    <n v="37342"/>
  </r>
  <r>
    <s v="6339-2"/>
    <d v="2019-10-12T00:00:00"/>
    <n v="2019"/>
    <s v="Bambang Rajata"/>
    <s v="Gang K.H. Wahid Hasyim No. 1"/>
    <s v="Bandung"/>
    <x v="3"/>
    <s v="E1032"/>
    <s v="Violet Mentari"/>
    <s v="Violet Mentari"/>
    <s v="Low"/>
    <s v="Artisan Hi-Liter Smear-Safe Highlighters"/>
    <x v="0"/>
    <s v="Wrap Bag"/>
    <s v="Regular Air"/>
    <n v="43754"/>
    <n v="44700"/>
    <n v="87600"/>
    <n v="42900"/>
    <n v="4"/>
    <n v="171600"/>
    <n v="0.09"/>
    <n v="15444"/>
    <n v="156156"/>
    <n v="5000"/>
    <n v="161156"/>
  </r>
  <r>
    <s v="6340-1"/>
    <d v="2019-10-12T00:00:00"/>
    <n v="2019"/>
    <s v="Unggul Megantara"/>
    <s v="Gang Otto Iskandardinata No. 167"/>
    <s v="Surabaya"/>
    <x v="1"/>
    <s v="E1037"/>
    <s v="Puti Nadine Prakasa"/>
    <s v="Puti Nadine Prakasa"/>
    <s v="Critical"/>
    <s v="Artisan 478 Labels"/>
    <x v="0"/>
    <s v="Small Box"/>
    <s v="Regular Air"/>
    <n v="43752"/>
    <n v="47100"/>
    <n v="73650"/>
    <n v="26550"/>
    <n v="28"/>
    <n v="743400"/>
    <n v="0.08"/>
    <n v="59472"/>
    <n v="683928"/>
    <n v="15000"/>
    <n v="698928"/>
  </r>
  <r>
    <s v="6342-1"/>
    <d v="2019-10-13T00:00:00"/>
    <n v="2019"/>
    <s v="Niyaga Laksita"/>
    <s v="Gg. Suniaraja No. 21"/>
    <s v="Surabaya"/>
    <x v="2"/>
    <s v="E1031"/>
    <s v="Bagiya Sihombing"/>
    <s v="Bagiya Sihombing"/>
    <s v="Low"/>
    <s v="Artisan Flip-Chart Easel Binder, Black"/>
    <x v="0"/>
    <s v="Small Box"/>
    <s v="Regular Air"/>
    <n v="43753"/>
    <n v="208200"/>
    <n v="335700"/>
    <n v="127500"/>
    <n v="9"/>
    <n v="1147500"/>
    <n v="0.03"/>
    <n v="34425"/>
    <n v="1113075"/>
    <n v="15000"/>
    <n v="1128075"/>
  </r>
  <r>
    <s v="6343-1"/>
    <d v="2019-10-13T00:00:00"/>
    <n v="2019"/>
    <s v="Eka Sitorus"/>
    <s v="Jalan Rumah Sakit No. 287"/>
    <s v="Surabaya"/>
    <x v="1"/>
    <s v="E1032"/>
    <s v="Violet Mentari"/>
    <s v="Violet Mentari"/>
    <s v="High"/>
    <s v="Bagged Rubber Bands"/>
    <x v="0"/>
    <s v="Wrap Bag"/>
    <s v="Regular Air"/>
    <n v="43752"/>
    <n v="3600"/>
    <n v="18900"/>
    <n v="15300"/>
    <n v="47"/>
    <n v="719100"/>
    <n v="0"/>
    <n v="0"/>
    <n v="719100"/>
    <n v="5000"/>
    <n v="724100"/>
  </r>
  <r>
    <s v="6345-1"/>
    <d v="2019-10-15T00:00:00"/>
    <n v="2019"/>
    <s v="Mahdi Rajata"/>
    <s v="Jl. Pasir Koja No. 059"/>
    <s v="Surabaya"/>
    <x v="0"/>
    <s v="E1032"/>
    <s v="Violet Mentari"/>
    <s v="Violet Mentari"/>
    <s v="High"/>
    <s v="Artisan 474 Labels"/>
    <x v="0"/>
    <s v="Small Box"/>
    <s v="Regular Air"/>
    <n v="43755"/>
    <n v="27600"/>
    <n v="43200"/>
    <n v="15600"/>
    <n v="18"/>
    <n v="280800"/>
    <n v="0.03"/>
    <n v="8424"/>
    <n v="272376"/>
    <n v="15000"/>
    <n v="287376"/>
  </r>
  <r>
    <s v="6346-1"/>
    <d v="2019-10-15T00:00:00"/>
    <n v="2019"/>
    <s v="Kezia Astuti"/>
    <s v="Jalan Gegerkalong Hilir No. 763"/>
    <s v="Surabaya"/>
    <x v="1"/>
    <s v="E1030"/>
    <s v="Cinthia Gunawan"/>
    <s v="Cinthia Gunawan"/>
    <s v="Critical"/>
    <s v="Smiths Metal Binder Clips"/>
    <x v="0"/>
    <s v="Wrap Bag"/>
    <s v="Regular Air"/>
    <n v="43755"/>
    <n v="24000"/>
    <n v="39300"/>
    <n v="15300"/>
    <n v="16"/>
    <n v="244800"/>
    <n v="0.09"/>
    <n v="22032"/>
    <n v="222768"/>
    <n v="5000"/>
    <n v="227768"/>
  </r>
  <r>
    <s v="6347-1"/>
    <d v="2019-10-15T00:00:00"/>
    <n v="2019"/>
    <s v="Vinsen Widodo"/>
    <s v="Jalan Jayawijaya No. 5"/>
    <s v="Surabaya"/>
    <x v="0"/>
    <s v="E1033"/>
    <s v="Paiman Firgantoro"/>
    <s v="Paiman Firgantoro"/>
    <s v="Low"/>
    <s v="Aluminum Document Frame"/>
    <x v="2"/>
    <s v="Small Pack"/>
    <s v="Regular Air"/>
    <n v="43760"/>
    <n v="82500"/>
    <n v="183300"/>
    <n v="100800"/>
    <n v="46"/>
    <n v="4636800"/>
    <n v="0.03"/>
    <n v="139104"/>
    <n v="4497696"/>
    <n v="10000"/>
    <n v="4507696"/>
  </r>
  <r>
    <s v="6348-1"/>
    <d v="2019-10-16T00:00:00"/>
    <n v="2019"/>
    <s v="Ajiono Setiawan"/>
    <s v="Jl. Sadang Serang No. 015"/>
    <s v="Surabaya"/>
    <x v="0"/>
    <s v="E1036"/>
    <s v="Kenari Rajasa"/>
    <s v="Kenari Rajasa"/>
    <s v="Medium"/>
    <s v="Assorted Color Push Pins"/>
    <x v="0"/>
    <s v="Wrap Bag"/>
    <s v="Regular Air"/>
    <n v="43756"/>
    <n v="13050"/>
    <n v="27150"/>
    <n v="14100"/>
    <n v="50"/>
    <n v="705000"/>
    <n v="0.08"/>
    <n v="56400"/>
    <n v="648600"/>
    <n v="5000"/>
    <n v="653600"/>
  </r>
  <r>
    <s v="6349-1"/>
    <d v="2019-10-18T00:00:00"/>
    <n v="2019"/>
    <s v="Tantri Hutapea"/>
    <s v="Jalan PHH. Mustofa No. 625"/>
    <s v="Surabaya"/>
    <x v="0"/>
    <s v="E1034"/>
    <s v="Ophelia Mustofa"/>
    <s v="Ophelia Mustofa"/>
    <s v="Not Specified"/>
    <s v="Artisan Poly Binder Pockets"/>
    <x v="0"/>
    <s v="Small Box"/>
    <s v="Express Air"/>
    <n v="43758"/>
    <n v="33900"/>
    <n v="53700"/>
    <n v="19800"/>
    <n v="36"/>
    <n v="712800"/>
    <n v="0.04"/>
    <n v="28512"/>
    <n v="684288"/>
    <n v="30000"/>
    <n v="714288"/>
  </r>
  <r>
    <s v="6351-1"/>
    <d v="2019-10-20T00:00:00"/>
    <n v="2019"/>
    <s v="Puji Waskita"/>
    <s v="Jl. Ciwastra No. 543"/>
    <s v="Jakarta"/>
    <x v="0"/>
    <s v="E1029"/>
    <s v="Laras Nuraini"/>
    <s v="Laras Nuraini"/>
    <s v="High"/>
    <s v="Pizazz Dustless Chalk Sticks"/>
    <x v="0"/>
    <s v="Wrap Bag"/>
    <s v="Regular Air"/>
    <n v="43759"/>
    <n v="16350.000000000002"/>
    <n v="25200"/>
    <n v="8849.9999999999982"/>
    <n v="50"/>
    <n v="442499.99999999988"/>
    <n v="0.09"/>
    <n v="39824.999999999985"/>
    <n v="402674.99999999988"/>
    <n v="5000"/>
    <n v="407674.99999999988"/>
  </r>
  <r>
    <s v="6352-1"/>
    <d v="2019-10-24T00:00:00"/>
    <n v="2019"/>
    <s v="Wawan Haryanti"/>
    <s v="Gg. Surapati No. 4"/>
    <s v="Surabaya"/>
    <x v="0"/>
    <s v="E1031"/>
    <s v="Bagiya Sihombing"/>
    <s v="Bagiya Sihombing"/>
    <s v="Medium"/>
    <s v="Wirebound Message Book, 4 per Page"/>
    <x v="0"/>
    <s v="Wrap Bag"/>
    <s v="Regular Air"/>
    <n v="43763"/>
    <n v="52200"/>
    <n v="81450"/>
    <n v="29250"/>
    <n v="2"/>
    <n v="58500"/>
    <n v="0.03"/>
    <n v="1755"/>
    <n v="56745"/>
    <n v="5000"/>
    <n v="61745"/>
  </r>
  <r>
    <s v="6353-1"/>
    <d v="2019-10-25T00:00:00"/>
    <n v="2019"/>
    <s v="Umi Marbun"/>
    <s v="Gang Monginsidi No. 138"/>
    <s v="Jakarta"/>
    <x v="3"/>
    <s v="E1029"/>
    <s v="Laras Nuraini"/>
    <s v="Laras Nuraini"/>
    <s v="Medium"/>
    <s v="Artisan Hanging File Binders"/>
    <x v="0"/>
    <s v="Small Box"/>
    <s v="Regular Air"/>
    <n v="43764"/>
    <n v="54750"/>
    <n v="89700"/>
    <n v="34950"/>
    <n v="22"/>
    <n v="768900"/>
    <n v="7.0000000000000007E-2"/>
    <n v="53823.000000000007"/>
    <n v="715077"/>
    <n v="15000"/>
    <n v="730077"/>
  </r>
  <r>
    <s v="6354-1"/>
    <d v="2019-10-29T00:00:00"/>
    <n v="2019"/>
    <s v="Halim Jailani"/>
    <s v="Gg. Monginsidi No. 3"/>
    <s v="Jakarta"/>
    <x v="0"/>
    <s v="E1029"/>
    <s v="Laras Nuraini"/>
    <s v="Laras Nuraini"/>
    <s v="High"/>
    <s v="Adesso Programmable 142-Key Keyboard"/>
    <x v="1"/>
    <s v="Small Box"/>
    <s v="Regular Air"/>
    <n v="43769"/>
    <n v="480300.00000000006"/>
    <n v="2287200"/>
    <n v="1806900"/>
    <n v="2"/>
    <n v="3613800"/>
    <n v="0.03"/>
    <n v="108414"/>
    <n v="3505386"/>
    <n v="15000"/>
    <n v="3520386"/>
  </r>
  <r>
    <s v="6355-1"/>
    <d v="2019-10-30T00:00:00"/>
    <n v="2019"/>
    <s v="Diah Prakasa"/>
    <s v="Jl. Pasir Koja No. 2"/>
    <s v="Bandung"/>
    <x v="1"/>
    <s v="E1033"/>
    <s v="Paiman Firgantoro"/>
    <s v="Paiman Firgantoro"/>
    <s v="Not Specified"/>
    <s v="Steady Pocket Accent Highlighters"/>
    <x v="0"/>
    <s v="Wrap Bag"/>
    <s v="Regular Air"/>
    <n v="43769"/>
    <n v="13950"/>
    <n v="24000"/>
    <n v="10050"/>
    <n v="39"/>
    <n v="391950"/>
    <n v="0.1"/>
    <n v="39195"/>
    <n v="352755"/>
    <n v="5000"/>
    <n v="357755"/>
  </r>
  <r>
    <s v="6356-1"/>
    <d v="2019-11-09T00:00:00"/>
    <n v="2019"/>
    <s v="Artawan Mahendra"/>
    <s v="Gang Dipatiukur No. 24"/>
    <s v="Surabaya"/>
    <x v="0"/>
    <s v="E1034"/>
    <s v="Ophelia Mustofa"/>
    <s v="Ophelia Mustofa"/>
    <s v="Critical"/>
    <s v="HFX 610 Color Digital Copier / Printer"/>
    <x v="1"/>
    <s v="Large Box"/>
    <s v="Regular Air"/>
    <n v="43780"/>
    <n v="4049850"/>
    <n v="6749850"/>
    <n v="2700000"/>
    <n v="3"/>
    <n v="8100000"/>
    <n v="0.06"/>
    <n v="486000"/>
    <n v="7614000"/>
    <n v="50000"/>
    <n v="7664000"/>
  </r>
  <r>
    <s v="6358-1"/>
    <d v="2019-11-10T00:00:00"/>
    <n v="2019"/>
    <s v="Danuja Prayoga"/>
    <s v="Gg. Pacuan Kuda No. 49"/>
    <s v="Surabaya"/>
    <x v="0"/>
    <s v="E1037"/>
    <s v="Puti Nadine Prakasa"/>
    <s v="Puti Nadine Prakasa"/>
    <s v="Medium"/>
    <s v="Artisan Flip-Chart Easel Binder, Black"/>
    <x v="0"/>
    <s v="Small Box"/>
    <s v="Regular Air"/>
    <n v="43781"/>
    <n v="208200"/>
    <n v="335700"/>
    <n v="127500"/>
    <n v="18"/>
    <n v="2295000"/>
    <n v="0.05"/>
    <n v="114750"/>
    <n v="2180250"/>
    <n v="15000"/>
    <n v="2195250"/>
  </r>
  <r>
    <s v="6359-1"/>
    <d v="2019-11-15T00:00:00"/>
    <n v="2019"/>
    <s v="Rahmi Prabowo"/>
    <s v="Gg. Joyoboyo No. 8"/>
    <s v="Jakarta"/>
    <x v="0"/>
    <s v="E1028"/>
    <s v="Gaduh Pratama"/>
    <s v="Gaduh Pratama"/>
    <s v="Not Specified"/>
    <s v="Deluxe Rollaway Locking File with Drawer"/>
    <x v="0"/>
    <s v="Small Box"/>
    <s v="Regular Air"/>
    <n v="43786"/>
    <n v="2682450"/>
    <n v="6238200"/>
    <n v="3555750"/>
    <n v="4"/>
    <n v="14223000"/>
    <n v="0.04"/>
    <n v="568920"/>
    <n v="13654080"/>
    <n v="15000"/>
    <n v="13669080"/>
  </r>
  <r>
    <s v="6361-1"/>
    <d v="2019-11-16T00:00:00"/>
    <n v="2019"/>
    <s v="Galih Halim"/>
    <s v="Gang Otto Iskandardinata No. 167"/>
    <s v="Surabaya"/>
    <x v="3"/>
    <s v="E1037"/>
    <s v="Puti Nadine Prakasa"/>
    <s v="Puti Nadine Prakasa"/>
    <s v="Not Specified"/>
    <s v="Smiths SlimLine Pencil Sharpener"/>
    <x v="0"/>
    <s v="Small Pack"/>
    <s v="Regular Air"/>
    <n v="43786"/>
    <n v="71850"/>
    <n v="179550"/>
    <n v="107700"/>
    <n v="49"/>
    <n v="5277300"/>
    <n v="0.09"/>
    <n v="474957"/>
    <n v="4802343"/>
    <n v="10000"/>
    <n v="4812343"/>
  </r>
  <r>
    <s v="6362-1"/>
    <d v="2019-11-17T00:00:00"/>
    <n v="2019"/>
    <s v="Vero Kusumo"/>
    <s v="Jl. S. Parman No. 38"/>
    <s v="Surabaya"/>
    <x v="1"/>
    <s v="E1033"/>
    <s v="Paiman Firgantoro"/>
    <s v="Paiman Firgantoro"/>
    <s v="High"/>
    <s v="UGen Ultra Cordless Optical Suite"/>
    <x v="1"/>
    <s v="Small Box"/>
    <s v="Regular Air"/>
    <n v="43788"/>
    <n v="817800"/>
    <n v="1514550"/>
    <n v="696750"/>
    <n v="41"/>
    <n v="28566750"/>
    <n v="0.03"/>
    <n v="857002.5"/>
    <n v="27709747.5"/>
    <n v="15000"/>
    <n v="27724747.5"/>
  </r>
  <r>
    <s v="6364-1"/>
    <d v="2019-11-18T00:00:00"/>
    <n v="2019"/>
    <s v="Kamila Sinaga"/>
    <s v="Gang H.J Maemunah No. 6"/>
    <s v="Surabaya"/>
    <x v="1"/>
    <s v="E1039"/>
    <s v="Nabila Prakasa"/>
    <s v="Nabila Prakasa"/>
    <s v="High"/>
    <s v="Pizazz Drawing Pencil Set"/>
    <x v="0"/>
    <s v="Wrap Bag"/>
    <s v="Regular Air"/>
    <n v="43788"/>
    <n v="17550"/>
    <n v="41700"/>
    <n v="24150"/>
    <n v="6"/>
    <n v="144900"/>
    <n v="0.01"/>
    <n v="1449"/>
    <n v="143451"/>
    <n v="5000"/>
    <n v="148451"/>
  </r>
  <r>
    <s v="6365-1"/>
    <d v="2019-11-20T00:00:00"/>
    <n v="2019"/>
    <s v="Kuncara Melani"/>
    <s v="Jl. Gardujati No. 82"/>
    <s v="Surabaya"/>
    <x v="2"/>
    <s v="E1037"/>
    <s v="Puti Nadine Prakasa"/>
    <s v="Puti Nadine Prakasa"/>
    <s v="Not Specified"/>
    <s v="Airmail Envelopes"/>
    <x v="0"/>
    <s v="Small Box"/>
    <s v="Regular Air"/>
    <n v="43790"/>
    <n v="780600"/>
    <n v="1258950"/>
    <n v="478350"/>
    <n v="37"/>
    <n v="17698950"/>
    <n v="0.03"/>
    <n v="530968.5"/>
    <n v="17167981.5"/>
    <n v="15000"/>
    <n v="17182981.5"/>
  </r>
  <r>
    <s v="6367-1"/>
    <d v="2019-11-21T00:00:00"/>
    <n v="2019"/>
    <s v="Siti Anggraini"/>
    <s v="Gang Asia Afrika No. 72"/>
    <s v="Surabaya"/>
    <x v="0"/>
    <s v="E1037"/>
    <s v="Puti Nadine Prakasa"/>
    <s v="Puti Nadine Prakasa"/>
    <s v="High"/>
    <s v="Artisan Binder Labels"/>
    <x v="0"/>
    <s v="Small Box"/>
    <s v="Regular Air"/>
    <n v="43791"/>
    <n v="36750"/>
    <n v="58350"/>
    <n v="21600"/>
    <n v="18"/>
    <n v="388800"/>
    <n v="0.04"/>
    <n v="15552"/>
    <n v="373248"/>
    <n v="15000"/>
    <n v="388248"/>
  </r>
  <r>
    <s v="6369-1"/>
    <d v="2019-11-24T00:00:00"/>
    <n v="2019"/>
    <s v="Karna Sinaga"/>
    <s v="Jalan Indragiri No. 077"/>
    <s v="Surabaya"/>
    <x v="2"/>
    <s v="E1030"/>
    <s v="Cinthia Gunawan"/>
    <s v="Cinthia Gunawan"/>
    <s v="High"/>
    <s v="Artisan 487 Labels"/>
    <x v="0"/>
    <s v="Small Box"/>
    <s v="Regular Air"/>
    <n v="43795"/>
    <n v="34350"/>
    <n v="55350"/>
    <n v="21000"/>
    <n v="13"/>
    <n v="273000"/>
    <n v="0.04"/>
    <n v="10920"/>
    <n v="262080"/>
    <n v="15000"/>
    <n v="277080"/>
  </r>
  <r>
    <s v="6370-1"/>
    <d v="2019-11-24T00:00:00"/>
    <n v="2019"/>
    <s v="Keisha Hutasoit"/>
    <s v="Gang Jend. A. Yani No. 7"/>
    <s v="Surabaya"/>
    <x v="1"/>
    <s v="E1030"/>
    <s v="Cinthia Gunawan"/>
    <s v="Cinthia Gunawan"/>
    <s v="Medium"/>
    <s v="Bagged Rubber Bands"/>
    <x v="0"/>
    <s v="Wrap Bag"/>
    <s v="Regular Air"/>
    <n v="43795"/>
    <n v="3600"/>
    <n v="18900"/>
    <n v="15300"/>
    <n v="34"/>
    <n v="520200"/>
    <n v="0"/>
    <n v="0"/>
    <n v="520200"/>
    <n v="5000"/>
    <n v="525200"/>
  </r>
  <r>
    <s v="6371-1"/>
    <d v="2019-11-28T00:00:00"/>
    <n v="2019"/>
    <s v="Opung Saptono"/>
    <s v="Jl. Medokan Ayu No. 7"/>
    <s v="Surabaya"/>
    <x v="1"/>
    <s v="E1038"/>
    <s v="Clara Prasetyo"/>
    <s v="Clara Prasetyo"/>
    <s v="Low"/>
    <s v="Artisan Binder Labels"/>
    <x v="0"/>
    <s v="Small Box"/>
    <s v="Express Air"/>
    <n v="43802"/>
    <n v="36750"/>
    <n v="58350"/>
    <n v="21600"/>
    <n v="30"/>
    <n v="648000"/>
    <n v="0.09"/>
    <n v="58320"/>
    <n v="589680"/>
    <n v="30000"/>
    <n v="619680"/>
  </r>
  <r>
    <s v="6373-1"/>
    <d v="2019-11-30T00:00:00"/>
    <n v="2019"/>
    <s v="Kamidin Saptono"/>
    <s v="Gang Monginsidi No. 138"/>
    <s v="Jakarta"/>
    <x v="2"/>
    <s v="E1029"/>
    <s v="Laras Nuraini"/>
    <s v="Laras Nuraini"/>
    <s v="High"/>
    <s v="Wirebound Voice Message Log Book"/>
    <x v="0"/>
    <s v="Wrap Bag"/>
    <s v="Regular Air"/>
    <n v="43800"/>
    <n v="43500"/>
    <n v="71400"/>
    <n v="27900"/>
    <n v="1"/>
    <n v="27900"/>
    <n v="0.02"/>
    <n v="558"/>
    <n v="27342"/>
    <n v="5000"/>
    <n v="32342"/>
  </r>
  <r>
    <s v="6374-1"/>
    <d v="2019-12-01T00:00:00"/>
    <n v="2019"/>
    <s v="Mahfud Laksita"/>
    <s v="Jl. Raya Ujungberung No. 121"/>
    <s v="Bandung"/>
    <x v="0"/>
    <s v="E1032"/>
    <s v="Violet Mentari"/>
    <s v="Violet Mentari"/>
    <s v="High"/>
    <s v="Angle-D Binders with Locking Rings, Label Holders"/>
    <x v="0"/>
    <s v="Small Box"/>
    <s v="Express Air"/>
    <n v="43802"/>
    <n v="67950"/>
    <n v="109500"/>
    <n v="41550"/>
    <n v="41"/>
    <n v="1703550"/>
    <n v="0.05"/>
    <n v="85177.5"/>
    <n v="1618372.5"/>
    <n v="30000"/>
    <n v="1648372.5"/>
  </r>
  <r>
    <s v="6376-1"/>
    <d v="2019-12-01T00:00:00"/>
    <n v="2019"/>
    <s v="Ayu Wastuti"/>
    <s v="Gg. M.H Thamrin No. 784"/>
    <s v="Jakarta"/>
    <x v="0"/>
    <s v="E1029"/>
    <s v="Laras Nuraini"/>
    <s v="Laras Nuraini"/>
    <s v="Low"/>
    <s v="Colored Envelopes"/>
    <x v="0"/>
    <s v="Small Box"/>
    <s v="Regular Air"/>
    <n v="43804"/>
    <n v="33750"/>
    <n v="55350"/>
    <n v="21600"/>
    <n v="16"/>
    <n v="345600"/>
    <n v="0.02"/>
    <n v="6912"/>
    <n v="338688"/>
    <n v="15000"/>
    <n v="353688"/>
  </r>
  <r>
    <s v="6377-1"/>
    <d v="2019-12-03T00:00:00"/>
    <n v="2019"/>
    <s v="Garang Kuswoyo"/>
    <s v="Jl. Antapani Lama No. 705"/>
    <s v="Jakarta"/>
    <x v="2"/>
    <s v="E1028"/>
    <s v="Gaduh Pratama"/>
    <s v="Gaduh Pratama"/>
    <s v="Low"/>
    <s v="Smiths Bulldog Clip"/>
    <x v="0"/>
    <s v="Wrap Bag"/>
    <s v="Regular Air"/>
    <n v="43807"/>
    <n v="34650"/>
    <n v="56700"/>
    <n v="22050"/>
    <n v="28"/>
    <n v="617400"/>
    <n v="0.06"/>
    <n v="37044"/>
    <n v="580356"/>
    <n v="5000"/>
    <n v="585356"/>
  </r>
  <r>
    <s v="6379-1"/>
    <d v="2019-12-06T00:00:00"/>
    <n v="2019"/>
    <s v="Bakti Simbolon"/>
    <s v="Jl. R.E Martadinata No. 18"/>
    <s v="Surabaya"/>
    <x v="1"/>
    <s v="E1039"/>
    <s v="Nabila Prakasa"/>
    <s v="Nabila Prakasa"/>
    <s v="Not Specified"/>
    <s v="PastelOcean Color Pencil Set"/>
    <x v="0"/>
    <s v="Wrap Bag"/>
    <s v="Regular Air"/>
    <n v="43807"/>
    <n v="166650"/>
    <n v="297600"/>
    <n v="130950"/>
    <n v="22"/>
    <n v="2880900"/>
    <n v="0.06"/>
    <n v="172854"/>
    <n v="2708046"/>
    <n v="5000"/>
    <n v="2713046"/>
  </r>
  <r>
    <s v="6380-1"/>
    <d v="2019-12-07T00:00:00"/>
    <n v="2019"/>
    <s v="Yoga Lestari"/>
    <s v="Jl. Gardujati No. 178"/>
    <s v="Surabaya"/>
    <x v="0"/>
    <s v="E1031"/>
    <s v="Bagiya Sihombing"/>
    <s v="Bagiya Sihombing"/>
    <s v="Low"/>
    <s v="600 Series Non-Flip"/>
    <x v="1"/>
    <s v="Small Box"/>
    <s v="Regular Air"/>
    <n v="43806"/>
    <n v="296700"/>
    <n v="689850"/>
    <n v="393150"/>
    <n v="46"/>
    <n v="18084900"/>
    <n v="0.1"/>
    <n v="1808490"/>
    <n v="16276410"/>
    <n v="15000"/>
    <n v="16291410"/>
  </r>
  <r>
    <s v="6382-1"/>
    <d v="2019-12-07T00:00:00"/>
    <n v="2019"/>
    <s v="Rafid Rahayu"/>
    <s v="Jalan Astana Anyar No. 41"/>
    <s v="Jakarta"/>
    <x v="3"/>
    <s v="E1028"/>
    <s v="Gaduh Pratama"/>
    <s v="Gaduh Pratama"/>
    <s v="Not Specified"/>
    <s v="Artisan 479 Labels"/>
    <x v="0"/>
    <s v="Small Box"/>
    <s v="Regular Air"/>
    <n v="43809"/>
    <n v="23850"/>
    <n v="39150"/>
    <n v="15300"/>
    <n v="34"/>
    <n v="520200"/>
    <n v="0"/>
    <n v="0"/>
    <n v="520200"/>
    <n v="15000"/>
    <n v="535200"/>
  </r>
  <r>
    <s v="6384-1"/>
    <d v="2019-12-07T00:00:00"/>
    <n v="2019"/>
    <s v="Bahuwarna Winarsih"/>
    <s v="Jl. Pasir Koja No. 08"/>
    <s v="Bandung"/>
    <x v="0"/>
    <s v="E1041"/>
    <s v="Sari Winarno"/>
    <s v="Sari Winarno"/>
    <s v="Low"/>
    <s v="HFX LaserJet 3310 Copier"/>
    <x v="1"/>
    <s v="Large Box"/>
    <s v="Regular Air"/>
    <n v="43815"/>
    <n v="5669850"/>
    <n v="8999850"/>
    <n v="3330000"/>
    <n v="16"/>
    <n v="53280000"/>
    <n v="0"/>
    <n v="0"/>
    <n v="53280000"/>
    <n v="50000"/>
    <n v="53330000"/>
  </r>
  <r>
    <s v="6384-2"/>
    <d v="2019-12-07T00:00:00"/>
    <n v="2019"/>
    <s v="Bahuwarna Winarsih"/>
    <s v="Jl. Pasir Koja No. 08"/>
    <s v="Bandung"/>
    <x v="0"/>
    <s v="E1041"/>
    <s v="Sari Winarno"/>
    <s v="Sari Winarno"/>
    <s v="Low"/>
    <s v="PastelOcean Color Pencil Set"/>
    <x v="0"/>
    <s v="Wrap Bag"/>
    <s v="Regular Air"/>
    <n v="43815"/>
    <n v="166650"/>
    <n v="297600"/>
    <n v="130950"/>
    <n v="39"/>
    <n v="5107050"/>
    <n v="0.01"/>
    <n v="51070.5"/>
    <n v="5055979.5"/>
    <n v="5000"/>
    <n v="5060979.5"/>
  </r>
  <r>
    <s v="6387-1"/>
    <d v="2019-12-07T00:00:00"/>
    <n v="2019"/>
    <s v="Jane Gunawan"/>
    <s v="Gg. Dipenogoro No. 947"/>
    <s v="Surabaya"/>
    <x v="3"/>
    <s v="E1034"/>
    <s v="Ophelia Mustofa"/>
    <s v="Ophelia Mustofa"/>
    <s v="Medium"/>
    <s v="Pizazz Drawing Pencil Set"/>
    <x v="0"/>
    <s v="Wrap Bag"/>
    <s v="Regular Air"/>
    <n v="43806"/>
    <n v="22950"/>
    <n v="41700"/>
    <n v="18750"/>
    <n v="23"/>
    <n v="431250"/>
    <n v="0.01"/>
    <n v="4312.5"/>
    <n v="426937.5"/>
    <n v="5000"/>
    <n v="431937.5"/>
  </r>
  <r>
    <s v="6388-1"/>
    <d v="2019-12-07T00:00:00"/>
    <n v="2019"/>
    <s v="Bakidin Anggraini"/>
    <s v="Jl. Rumah Sakit No. 738"/>
    <s v="Jakarta"/>
    <x v="1"/>
    <s v="E1028"/>
    <s v="Gaduh Pratama"/>
    <s v="Gaduh Pratama"/>
    <s v="Medium"/>
    <s v="TypeRight  Top-Opening Peel &amp; Seel Envelopes, Plain White"/>
    <x v="0"/>
    <s v="Small Box"/>
    <s v="Regular Air"/>
    <n v="43807"/>
    <n v="252750.00000000003"/>
    <n v="407700"/>
    <n v="154949.99999999997"/>
    <n v="50"/>
    <n v="7747499.9999999981"/>
    <n v="0.02"/>
    <n v="154949.99999999997"/>
    <n v="7592549.9999999981"/>
    <n v="15000"/>
    <n v="7607549.9999999981"/>
  </r>
  <r>
    <s v="6389-1"/>
    <d v="2019-12-10T00:00:00"/>
    <n v="2019"/>
    <s v="Arta Lestari"/>
    <s v="Jl. S. Parman No. 91"/>
    <s v="Surabaya"/>
    <x v="1"/>
    <s v="E1034"/>
    <s v="Ophelia Mustofa"/>
    <s v="Ophelia Mustofa"/>
    <s v="High"/>
    <s v="Apex Straight Scissors"/>
    <x v="0"/>
    <s v="Small Pack"/>
    <s v="Express Air"/>
    <n v="43810"/>
    <n v="77850"/>
    <n v="194700"/>
    <n v="116850"/>
    <n v="42"/>
    <n v="4907700"/>
    <n v="0.05"/>
    <n v="245385"/>
    <n v="4662315"/>
    <n v="20000"/>
    <n v="4682315"/>
  </r>
  <r>
    <s v="6390-1"/>
    <d v="2019-12-14T00:00:00"/>
    <n v="2019"/>
    <s v="Timbul Marpaung"/>
    <s v="Gang Ciwastra No. 43"/>
    <s v="Surabaya"/>
    <x v="2"/>
    <s v="E1040"/>
    <s v="Sutan Tirtayasa Wasita"/>
    <s v="Sutan Tirtayasa Wasita"/>
    <s v="Critical"/>
    <s v="Alto Memo Cubes"/>
    <x v="0"/>
    <s v="Wrap Bag"/>
    <s v="Regular Air"/>
    <n v="43815"/>
    <n v="49800"/>
    <n v="77700"/>
    <n v="27900"/>
    <n v="32"/>
    <n v="892800"/>
    <n v="0.06"/>
    <n v="53568"/>
    <n v="839232"/>
    <n v="5000"/>
    <n v="844232"/>
  </r>
  <r>
    <s v="6391-1"/>
    <d v="2019-12-17T00:00:00"/>
    <n v="2019"/>
    <s v="Widya Setiawan"/>
    <s v="Gang Cikapayang No. 055"/>
    <s v="Surabaya"/>
    <x v="1"/>
    <s v="E1040"/>
    <s v="Sutan Tirtayasa Wasita"/>
    <s v="Sutan Tirtayasa Wasita"/>
    <s v="Not Specified"/>
    <s v="TechSavi Access Keyboard"/>
    <x v="1"/>
    <s v="Small Box"/>
    <s v="Regular Air"/>
    <n v="43818"/>
    <n v="151050"/>
    <n v="239700"/>
    <n v="88650"/>
    <n v="30"/>
    <n v="2659500"/>
    <n v="0.08"/>
    <n v="212760"/>
    <n v="2446740"/>
    <n v="15000"/>
    <n v="2461740"/>
  </r>
  <r>
    <s v="6392-1"/>
    <d v="2019-12-18T00:00:00"/>
    <n v="2019"/>
    <s v="Daliman Sitorus"/>
    <s v="Jl. R.E Martadinata No. 18"/>
    <s v="Surabaya"/>
    <x v="3"/>
    <s v="E1039"/>
    <s v="Nabila Prakasa"/>
    <s v="Nabila Prakasa"/>
    <s v="Medium"/>
    <s v="Artisan 48 Labels"/>
    <x v="0"/>
    <s v="Small Box"/>
    <s v="Regular Air"/>
    <n v="43820"/>
    <n v="57600"/>
    <n v="94500"/>
    <n v="36900"/>
    <n v="40"/>
    <n v="1476000"/>
    <n v="0.04"/>
    <n v="59040"/>
    <n v="1416960"/>
    <n v="15000"/>
    <n v="1431960"/>
  </r>
  <r>
    <s v="6393-1"/>
    <d v="2019-12-19T00:00:00"/>
    <n v="2019"/>
    <s v="Eja Aryani"/>
    <s v="Jl. Dipenogoro No. 447"/>
    <s v="Surabaya"/>
    <x v="2"/>
    <s v="E1039"/>
    <s v="Nabila Prakasa"/>
    <s v="Nabila Prakasa"/>
    <s v="Medium"/>
    <s v="Smiths Bulldog Clip"/>
    <x v="0"/>
    <s v="Wrap Bag"/>
    <s v="Regular Air"/>
    <n v="43820"/>
    <n v="34650"/>
    <n v="56700"/>
    <n v="22050"/>
    <n v="38"/>
    <n v="837900"/>
    <n v="0.03"/>
    <n v="25137"/>
    <n v="812763"/>
    <n v="5000"/>
    <n v="817763"/>
  </r>
  <r>
    <s v="6394-1"/>
    <d v="2019-12-20T00:00:00"/>
    <n v="2019"/>
    <s v="Ega Rajata"/>
    <s v="Gang Asia Afrika No. 96"/>
    <s v="Surabaya"/>
    <x v="0"/>
    <s v="E1036"/>
    <s v="Kenari Rajasa"/>
    <s v="Kenari Rajasa"/>
    <s v="Medium"/>
    <s v="300 Series Non-Flip"/>
    <x v="1"/>
    <s v="Small Box"/>
    <s v="Express Air"/>
    <n v="43821"/>
    <n v="936000"/>
    <n v="2339850"/>
    <n v="1403850"/>
    <n v="22"/>
    <n v="30884700"/>
    <n v="0.02"/>
    <n v="617694"/>
    <n v="30267006"/>
    <n v="30000"/>
    <n v="30297006"/>
  </r>
  <r>
    <s v="6395-1"/>
    <d v="2019-12-20T00:00:00"/>
    <n v="2019"/>
    <s v="Cakrawala Yuniar"/>
    <s v="Jalan Jend. A. Yani No. 48"/>
    <s v="Surabaya"/>
    <x v="3"/>
    <s v="E1036"/>
    <s v="Kenari Rajasa"/>
    <s v="Kenari Rajasa"/>
    <s v="High"/>
    <s v="Artisan Hi-Liter GlideStik Fluorescent Highlighter, Yellow Ink"/>
    <x v="0"/>
    <s v="Wrap Bag"/>
    <s v="Regular Air"/>
    <n v="43821"/>
    <n v="28800"/>
    <n v="48900"/>
    <n v="20100"/>
    <n v="38"/>
    <n v="763800"/>
    <n v="0.02"/>
    <n v="15276"/>
    <n v="748524"/>
    <n v="5000"/>
    <n v="753524"/>
  </r>
  <r>
    <s v="6396-1"/>
    <d v="2019-12-27T00:00:00"/>
    <n v="2019"/>
    <s v="Labuh Permata"/>
    <s v="Jalan Jend. A. Yani No. 48"/>
    <s v="Surabaya"/>
    <x v="3"/>
    <s v="E1036"/>
    <s v="Kenari Rajasa"/>
    <s v="Kenari Rajasa"/>
    <s v="Low"/>
    <s v="Smiths File Caddy"/>
    <x v="0"/>
    <s v="Small Box"/>
    <s v="Express Air"/>
    <n v="43833"/>
    <n v="60450.000000000007"/>
    <n v="140700"/>
    <n v="80250"/>
    <n v="46"/>
    <n v="3691500"/>
    <n v="0.09"/>
    <n v="332235"/>
    <n v="3359265"/>
    <n v="30000"/>
    <n v="3389265"/>
  </r>
  <r>
    <s v="6397-1"/>
    <d v="2019-12-28T00:00:00"/>
    <n v="2019"/>
    <s v="Bancar Mulyani"/>
    <s v="Jl. Antapani Lama No. 705"/>
    <s v="Jakarta"/>
    <x v="0"/>
    <s v="E1028"/>
    <s v="Gaduh Pratama"/>
    <s v="Gaduh Pratama"/>
    <s v="High"/>
    <s v="Pizazz Colored Pencils"/>
    <x v="0"/>
    <s v="Wrap Bag"/>
    <s v="Regular Air"/>
    <n v="43829"/>
    <n v="26400"/>
    <n v="44100"/>
    <n v="17700"/>
    <n v="26"/>
    <n v="460200"/>
    <n v="0.03"/>
    <n v="13806"/>
    <n v="446394"/>
    <n v="5000"/>
    <n v="451394"/>
  </r>
  <r>
    <s v="6399-1"/>
    <d v="2019-12-29T00:00:00"/>
    <n v="2019"/>
    <s v="Kiandra Salahudin"/>
    <s v="Jalan Raya Ujungberung No. 5"/>
    <s v="Surabaya"/>
    <x v="3"/>
    <s v="E1037"/>
    <s v="Puti Nadine Prakasa"/>
    <s v="Puti Nadine Prakasa"/>
    <s v="High"/>
    <s v="Emerson LQ-870 Dot Matrix Printer"/>
    <x v="1"/>
    <s v="Jumbo Drum"/>
    <s v="Delivery Truck"/>
    <n v="43829"/>
    <n v="3294150"/>
    <n v="8034600"/>
    <n v="4740450"/>
    <n v="44"/>
    <n v="208579800"/>
    <n v="0.03"/>
    <n v="6257394"/>
    <n v="202322406"/>
    <n v="500000"/>
    <n v="202822406"/>
  </r>
  <r>
    <s v="6401-1"/>
    <d v="2019-12-31T00:00:00"/>
    <n v="2019"/>
    <s v="Cawuk Pradipta"/>
    <s v="Gang Jakarta No. 938"/>
    <s v="Surabaya"/>
    <x v="0"/>
    <s v="E1036"/>
    <s v="Kenari Rajasa"/>
    <s v="Kenari Rajasa"/>
    <s v="Low"/>
    <s v="Beekin 105-Key Black Keyboard"/>
    <x v="1"/>
    <s v="Small Box"/>
    <s v="Regular Air"/>
    <n v="43832"/>
    <n v="95850"/>
    <n v="299700"/>
    <n v="203850"/>
    <n v="44"/>
    <n v="8969400"/>
    <n v="0.03"/>
    <n v="269082"/>
    <n v="8700318"/>
    <n v="15000"/>
    <n v="8715318"/>
  </r>
  <r>
    <s v="6402-1"/>
    <d v="2020-01-01T00:00:00"/>
    <n v="2020"/>
    <s v="Nugraha Nurdiyanti"/>
    <s v="Gang Dipatiukur No. 9"/>
    <s v="Surabaya"/>
    <x v="2"/>
    <s v="E1033"/>
    <s v="Paiman Firgantoro"/>
    <s v="Paiman Firgantoro"/>
    <s v="Low"/>
    <s v="Artisan 478 Labels"/>
    <x v="0"/>
    <s v="Small Box"/>
    <s v="Regular Air"/>
    <n v="43831"/>
    <n v="47100"/>
    <n v="73650"/>
    <n v="26550"/>
    <n v="13"/>
    <n v="345150"/>
    <n v="0.01"/>
    <n v="3451.5"/>
    <n v="341698.5"/>
    <n v="15000"/>
    <n v="356698.5"/>
  </r>
  <r>
    <s v="6403-1"/>
    <d v="2020-01-01T00:00:00"/>
    <n v="2020"/>
    <s v="Ida Waluyo"/>
    <s v="Gang Ciwastra No. 43"/>
    <s v="Surabaya"/>
    <x v="3"/>
    <s v="E1040"/>
    <s v="Sutan Tirtayasa Wasita"/>
    <s v="Sutan Tirtayasa Wasita"/>
    <s v="Medium"/>
    <s v="Artisan Printable Repositionable Plastic Tabs"/>
    <x v="0"/>
    <s v="Small Box"/>
    <s v="Regular Air"/>
    <n v="43833"/>
    <n v="79950"/>
    <n v="129000"/>
    <n v="49050"/>
    <n v="2"/>
    <n v="98100"/>
    <n v="0.03"/>
    <n v="2943"/>
    <n v="95157"/>
    <n v="15000"/>
    <n v="110157"/>
  </r>
  <r>
    <s v="6403-2"/>
    <d v="2020-01-01T00:00:00"/>
    <n v="2020"/>
    <s v="Ida Waluyo"/>
    <s v="Gang Ciwastra No. 43"/>
    <s v="Surabaya"/>
    <x v="3"/>
    <s v="E1040"/>
    <s v="Sutan Tirtayasa Wasita"/>
    <s v="Sutan Tirtayasa Wasita"/>
    <s v="Medium"/>
    <s v="Economy Rollaway Files"/>
    <x v="0"/>
    <s v="Small Box"/>
    <s v="Regular Air"/>
    <n v="43832"/>
    <n v="1015950.0000000001"/>
    <n v="2478000"/>
    <n v="1462050"/>
    <n v="10"/>
    <n v="14620500"/>
    <n v="0.08"/>
    <n v="1169640"/>
    <n v="13450860"/>
    <n v="15000"/>
    <n v="13465860"/>
  </r>
  <r>
    <s v="6407-1"/>
    <d v="2020-01-03T00:00:00"/>
    <n v="2020"/>
    <s v="Daruna Mustofa"/>
    <s v="Jalan Gegerkalong Hilir No. 763"/>
    <s v="Jakarta"/>
    <x v="3"/>
    <s v="E1029"/>
    <s v="Laras Nuraini"/>
    <s v="Laras Nuraini"/>
    <s v="Low"/>
    <s v="Smiths SlimLine Pencil Sharpener"/>
    <x v="0"/>
    <s v="Small Pack"/>
    <s v="Regular Air"/>
    <n v="43833"/>
    <n v="71850"/>
    <n v="179550"/>
    <n v="107700"/>
    <n v="38"/>
    <n v="4092600"/>
    <n v="0.02"/>
    <n v="81852"/>
    <n v="4010748"/>
    <n v="10000"/>
    <n v="4020748"/>
  </r>
  <r>
    <s v="6409-1"/>
    <d v="2020-01-03T00:00:00"/>
    <n v="2020"/>
    <s v="Niyaga Laksita"/>
    <s v="Gg. Suniaraja No. 21"/>
    <s v="Surabaya"/>
    <x v="2"/>
    <s v="E1031"/>
    <s v="Bagiya Sihombing"/>
    <s v="Bagiya Sihombing"/>
    <s v="Low"/>
    <s v="Wirebound Message Book, 4 per Page"/>
    <x v="0"/>
    <s v="Wrap Bag"/>
    <s v="Regular Air"/>
    <n v="43833"/>
    <n v="52200"/>
    <n v="81450"/>
    <n v="29250"/>
    <n v="12"/>
    <n v="351000"/>
    <n v="0.01"/>
    <n v="3510"/>
    <n v="347490"/>
    <n v="5000"/>
    <n v="352490"/>
  </r>
  <r>
    <s v="6411-1"/>
    <d v="2020-01-04T00:00:00"/>
    <n v="2020"/>
    <s v="Ilsa Hassanah"/>
    <s v="Gg. Cihampelas No. 423"/>
    <s v="Surabaya"/>
    <x v="1"/>
    <s v="E1030"/>
    <s v="Cinthia Gunawan"/>
    <s v="Cinthia Gunawan"/>
    <s v="Medium"/>
    <s v="Artisan Binder Labels"/>
    <x v="0"/>
    <s v="Small Box"/>
    <s v="Regular Air"/>
    <n v="43834"/>
    <n v="36750"/>
    <n v="58350"/>
    <n v="21600"/>
    <n v="50"/>
    <n v="1080000"/>
    <n v="0.08"/>
    <n v="86400"/>
    <n v="993600"/>
    <n v="15000"/>
    <n v="1008600"/>
  </r>
  <r>
    <s v="6413-1"/>
    <d v="2020-01-05T00:00:00"/>
    <n v="2020"/>
    <s v="Karsana Nugroho"/>
    <s v="Jalan R.E Martadinata No. 6"/>
    <s v="Jakarta"/>
    <x v="3"/>
    <s v="E1029"/>
    <s v="Laras Nuraini"/>
    <s v="Laras Nuraini"/>
    <s v="Medium"/>
    <s v="EcoTones Memo Sheets"/>
    <x v="0"/>
    <s v="Wrap Bag"/>
    <s v="Regular Air"/>
    <n v="43836"/>
    <n v="37800"/>
    <n v="60000"/>
    <n v="22200"/>
    <n v="22"/>
    <n v="488400"/>
    <n v="0.09"/>
    <n v="43956"/>
    <n v="444444"/>
    <n v="5000"/>
    <n v="449444"/>
  </r>
  <r>
    <s v="6414-1"/>
    <d v="2020-01-06T00:00:00"/>
    <n v="2020"/>
    <s v="Among Firmansyah"/>
    <s v="Jl. Gardujati No. 82"/>
    <s v="Surabaya"/>
    <x v="3"/>
    <s v="E1037"/>
    <s v="Puti Nadine Prakasa"/>
    <s v="Puti Nadine Prakasa"/>
    <s v="Medium"/>
    <s v="3Max Organizer Strips"/>
    <x v="0"/>
    <s v="Small Box"/>
    <s v="Regular Air"/>
    <n v="43839"/>
    <n v="51000"/>
    <n v="81000"/>
    <n v="30000"/>
    <n v="38"/>
    <n v="1140000"/>
    <n v="0.03"/>
    <n v="34200"/>
    <n v="1105800"/>
    <n v="15000"/>
    <n v="1120800"/>
  </r>
  <r>
    <s v="6415-1"/>
    <d v="2020-01-08T00:00:00"/>
    <n v="2020"/>
    <s v="Karta Purnawati"/>
    <s v="Jl. Sukabumi No. 44"/>
    <s v="Bandung"/>
    <x v="1"/>
    <s v="E1036"/>
    <s v="Kenari Rajasa"/>
    <s v="Kenari Rajasa"/>
    <s v="Critical"/>
    <s v="Beekin 6 Outlet Metallic Surge Strip"/>
    <x v="0"/>
    <s v="Small Box"/>
    <s v="Regular Air"/>
    <n v="43839"/>
    <n v="66900"/>
    <n v="163350"/>
    <n v="96450"/>
    <n v="19"/>
    <n v="1832550"/>
    <n v="7.0000000000000007E-2"/>
    <n v="128278.50000000001"/>
    <n v="1704271.5"/>
    <n v="15000"/>
    <n v="1719271.5"/>
  </r>
  <r>
    <s v="6417-1"/>
    <d v="2020-01-09T00:00:00"/>
    <n v="2020"/>
    <s v="Harimurti Wulandari"/>
    <s v="Gang Jend. A. Yani No. 75"/>
    <s v="Bandung"/>
    <x v="3"/>
    <s v="E1036"/>
    <s v="Kenari Rajasa"/>
    <s v="Kenari Rajasa"/>
    <s v="Medium"/>
    <s v="Artisan Flip-Chart Easel Binder, Black"/>
    <x v="0"/>
    <s v="Small Box"/>
    <s v="Regular Air"/>
    <n v="43841"/>
    <n v="208200"/>
    <n v="335700"/>
    <n v="127500"/>
    <n v="34"/>
    <n v="4335000"/>
    <n v="7.0000000000000007E-2"/>
    <n v="303450"/>
    <n v="4031550"/>
    <n v="15000"/>
    <n v="4046550"/>
  </r>
  <r>
    <s v="6417-2"/>
    <d v="2020-01-09T00:00:00"/>
    <n v="2020"/>
    <s v="Harimurti Wulandari"/>
    <s v="Gg. Gedebage Selatan No. 794"/>
    <s v="Bandung"/>
    <x v="3"/>
    <s v="E1036"/>
    <s v="Kenari Rajasa"/>
    <s v="Kenari Rajasa"/>
    <s v="Medium"/>
    <s v="TechSavi Cordless Access Keyboard"/>
    <x v="1"/>
    <s v="Small Box"/>
    <s v="Express Air"/>
    <n v="43840"/>
    <n v="220500"/>
    <n v="449850"/>
    <n v="229350"/>
    <n v="36"/>
    <n v="8256600"/>
    <n v="0.03"/>
    <n v="247698"/>
    <n v="8008902"/>
    <n v="30000"/>
    <n v="8038902"/>
  </r>
  <r>
    <s v="6418-1"/>
    <d v="2020-01-09T00:00:00"/>
    <n v="2020"/>
    <s v="Asirwanda Rahimah"/>
    <s v="Gg. M.H Thamrin No. 784"/>
    <s v="Jakarta"/>
    <x v="1"/>
    <s v="E1029"/>
    <s v="Laras Nuraini"/>
    <s v="Laras Nuraini"/>
    <s v="Low"/>
    <s v="Smiths Colored Bar Computer Paper"/>
    <x v="0"/>
    <s v="Small Box"/>
    <s v="Regular Air"/>
    <n v="43848"/>
    <n v="329550"/>
    <n v="531600"/>
    <n v="202050"/>
    <n v="44"/>
    <n v="8890200"/>
    <n v="0.01"/>
    <n v="88902"/>
    <n v="8801298"/>
    <n v="15000"/>
    <n v="8816298"/>
  </r>
  <r>
    <s v="6422-1"/>
    <d v="2020-01-11T00:00:00"/>
    <n v="2020"/>
    <s v="Pandu Mustofa"/>
    <s v="Gang Asia Afrika No. 72"/>
    <s v="Surabaya"/>
    <x v="3"/>
    <s v="E1037"/>
    <s v="Puti Nadine Prakasa"/>
    <s v="Puti Nadine Prakasa"/>
    <s v="High"/>
    <s v="Smiths Colored Interoffice Envelopes"/>
    <x v="0"/>
    <s v="Small Box"/>
    <s v="Regular Air"/>
    <n v="43843"/>
    <n v="297450"/>
    <n v="464700"/>
    <n v="167250"/>
    <n v="30"/>
    <n v="5017500"/>
    <n v="0.03"/>
    <n v="150525"/>
    <n v="4866975"/>
    <n v="15000"/>
    <n v="4881975"/>
  </r>
  <r>
    <s v="6423-1"/>
    <d v="2020-01-13T00:00:00"/>
    <n v="2020"/>
    <s v="Cindy Maryati"/>
    <s v="Gg. Jakarta No. 646"/>
    <s v="Jakarta"/>
    <x v="3"/>
    <s v="E1029"/>
    <s v="Laras Nuraini"/>
    <s v="Laras Nuraini"/>
    <s v="High"/>
    <s v="Alto Parchment Paper, Assorted Colors"/>
    <x v="0"/>
    <s v="Small Box"/>
    <s v="Regular Air"/>
    <n v="43845"/>
    <n v="68850"/>
    <n v="109200"/>
    <n v="40350"/>
    <n v="50"/>
    <n v="2017500"/>
    <n v="0.01"/>
    <n v="20175"/>
    <n v="1997325"/>
    <n v="15000"/>
    <n v="2012325"/>
  </r>
  <r>
    <s v="6425-1"/>
    <d v="2020-01-14T00:00:00"/>
    <n v="2020"/>
    <s v="Kairav Winarno"/>
    <s v="Gg. Suniaraja No. 21"/>
    <s v="Surabaya"/>
    <x v="3"/>
    <s v="E1031"/>
    <s v="Bagiya Sihombing"/>
    <s v="Bagiya Sihombing"/>
    <s v="Medium"/>
    <s v="Smiths Colored Interoffice Envelopes"/>
    <x v="0"/>
    <s v="Small Box"/>
    <s v="Regular Air"/>
    <n v="43845"/>
    <n v="297450"/>
    <n v="464700"/>
    <n v="167250"/>
    <n v="37"/>
    <n v="6188250"/>
    <n v="0.01"/>
    <n v="61882.5"/>
    <n v="6126367.5"/>
    <n v="15000"/>
    <n v="6141367.5"/>
  </r>
  <r>
    <s v="6426-1"/>
    <d v="2020-01-14T00:00:00"/>
    <n v="2020"/>
    <s v="Galih Mustofa"/>
    <s v="Jalan Pasteur No. 217"/>
    <s v="Surabaya"/>
    <x v="0"/>
    <s v="E1031"/>
    <s v="Bagiya Sihombing"/>
    <s v="Bagiya Sihombing"/>
    <s v="Medium"/>
    <s v="Steady Colorific Colored Pencils, 12/Box"/>
    <x v="0"/>
    <s v="Wrap Bag"/>
    <s v="Regular Air"/>
    <n v="43845"/>
    <n v="19500"/>
    <n v="43200"/>
    <n v="23700"/>
    <n v="46"/>
    <n v="1090200"/>
    <n v="0.05"/>
    <n v="54510"/>
    <n v="1035690"/>
    <n v="5000"/>
    <n v="1040690"/>
  </r>
  <r>
    <s v="6427-1"/>
    <d v="2020-01-19T00:00:00"/>
    <n v="2020"/>
    <s v="Rafi Januar"/>
    <s v="Gg. Waringin No. 112"/>
    <s v="Surabaya"/>
    <x v="1"/>
    <s v="E1034"/>
    <s v="Ophelia Mustofa"/>
    <s v="Ophelia Mustofa"/>
    <s v="High"/>
    <s v="Smiths Standard Envelopes"/>
    <x v="0"/>
    <s v="Small Box"/>
    <s v="Regular Air"/>
    <n v="43851"/>
    <n v="52800"/>
    <n v="85200"/>
    <n v="32400"/>
    <n v="23"/>
    <n v="745200"/>
    <n v="0.02"/>
    <n v="14904"/>
    <n v="730296"/>
    <n v="15000"/>
    <n v="745296"/>
  </r>
  <r>
    <s v="6429-1"/>
    <d v="2020-01-21T00:00:00"/>
    <n v="2020"/>
    <s v="Olga Usamah"/>
    <s v="Jalan S. Parman No. 88"/>
    <s v="Bandung"/>
    <x v="1"/>
    <s v="E1036"/>
    <s v="Kenari Rajasa"/>
    <s v="Kenari Rajasa"/>
    <s v="High"/>
    <s v="Brown Kraft Recycled Envelopes"/>
    <x v="0"/>
    <s v="Small Box"/>
    <s v="Regular Air"/>
    <n v="43851"/>
    <n v="165600"/>
    <n v="254700"/>
    <n v="89100"/>
    <n v="43"/>
    <n v="3831300"/>
    <n v="0.09"/>
    <n v="344817"/>
    <n v="3486483"/>
    <n v="15000"/>
    <n v="3501483"/>
  </r>
  <r>
    <s v="6430-1"/>
    <d v="2020-01-24T00:00:00"/>
    <n v="2020"/>
    <s v="Ajiman Mandasari"/>
    <s v="Jl. Rumah Sakit No. 738"/>
    <s v="Jakarta"/>
    <x v="3"/>
    <s v="E1028"/>
    <s v="Gaduh Pratama"/>
    <s v="Gaduh Pratama"/>
    <s v="Low"/>
    <s v="Smiths Bulldog Clip"/>
    <x v="0"/>
    <s v="Wrap Bag"/>
    <s v="Regular Air"/>
    <n v="43858"/>
    <n v="34650"/>
    <n v="56700"/>
    <n v="22050"/>
    <n v="22"/>
    <n v="485100"/>
    <n v="0.1"/>
    <n v="48510"/>
    <n v="436590"/>
    <n v="5000"/>
    <n v="441590"/>
  </r>
  <r>
    <s v="6432-1"/>
    <d v="2020-01-25T00:00:00"/>
    <n v="2020"/>
    <s v="Puji Waskita"/>
    <s v="Jl. Ciwastra No. 543"/>
    <s v="Jakarta"/>
    <x v="0"/>
    <s v="E1029"/>
    <s v="Laras Nuraini"/>
    <s v="Laras Nuraini"/>
    <s v="Not Specified"/>
    <s v="TypeRight Side-Opening Peel &amp; Seel Expanding Envelopes"/>
    <x v="0"/>
    <s v="Small Box"/>
    <s v="Regular Air"/>
    <n v="43857"/>
    <n v="814350"/>
    <n v="1357200"/>
    <n v="542850"/>
    <n v="25"/>
    <n v="13571250"/>
    <n v="0.02"/>
    <n v="271425"/>
    <n v="13299825"/>
    <n v="15000"/>
    <n v="13314825"/>
  </r>
  <r>
    <s v="6433-1"/>
    <d v="2020-01-26T00:00:00"/>
    <n v="2020"/>
    <s v="Emas Megantara"/>
    <s v="Jalan Sukabumi No. 509"/>
    <s v="Surabaya"/>
    <x v="1"/>
    <s v="E1030"/>
    <s v="Cinthia Gunawan"/>
    <s v="Cinthia Gunawan"/>
    <s v="Low"/>
    <s v="TypeRight  Top-Opening Peel &amp; Seel Envelopes, Plain White"/>
    <x v="0"/>
    <s v="Small Box"/>
    <s v="Regular Air"/>
    <n v="43861"/>
    <n v="252750.00000000003"/>
    <n v="407700"/>
    <n v="154949.99999999997"/>
    <n v="38"/>
    <n v="5888099.9999999991"/>
    <n v="0.01"/>
    <n v="58880.999999999993"/>
    <n v="5829218.9999999991"/>
    <n v="15000"/>
    <n v="5844218.9999999991"/>
  </r>
  <r>
    <s v="6434-1"/>
    <d v="2020-01-27T00:00:00"/>
    <n v="2020"/>
    <s v="Xanana Padmasari"/>
    <s v="Gang Jakarta No. 938"/>
    <s v="Surabaya"/>
    <x v="3"/>
    <s v="E1036"/>
    <s v="Kenari Rajasa"/>
    <s v="Kenari Rajasa"/>
    <s v="Medium"/>
    <s v="Beekin 105-Key Black Keyboard"/>
    <x v="1"/>
    <s v="Small Box"/>
    <s v="Regular Air"/>
    <n v="43860"/>
    <n v="95850"/>
    <n v="299700"/>
    <n v="203850"/>
    <n v="9"/>
    <n v="1834650"/>
    <n v="0.06"/>
    <n v="110079"/>
    <n v="1724571"/>
    <n v="15000"/>
    <n v="1739571"/>
  </r>
  <r>
    <s v="6436-1"/>
    <d v="2020-01-28T00:00:00"/>
    <n v="2020"/>
    <s v="Laras Lazuardi"/>
    <s v="Gg. Wonoayu No. 96"/>
    <s v="Jakarta"/>
    <x v="1"/>
    <s v="E1028"/>
    <s v="Gaduh Pratama"/>
    <s v="Gaduh Pratama"/>
    <s v="Not Specified"/>
    <s v="3Max Polarizing Task Lamp with Clamp Arm, Light Gray"/>
    <x v="2"/>
    <s v="Large Box"/>
    <s v="Regular Air"/>
    <n v="43858"/>
    <n v="842400"/>
    <n v="2054699.9999999998"/>
    <n v="1212299.9999999998"/>
    <n v="27"/>
    <n v="32732099.999999993"/>
    <n v="0.09"/>
    <n v="2945888.9999999991"/>
    <n v="29786210.999999993"/>
    <n v="50000"/>
    <n v="29836210.999999993"/>
  </r>
  <r>
    <s v="6437-1"/>
    <d v="2020-01-28T00:00:00"/>
    <n v="2020"/>
    <s v="Aditya Uyainah"/>
    <s v="Jalan Pasirkoja No. 750"/>
    <s v="Surabaya"/>
    <x v="2"/>
    <s v="E1039"/>
    <s v="Nabila Prakasa"/>
    <s v="Nabila Prakasa"/>
    <s v="Low"/>
    <s v="Smiths Paper Clips"/>
    <x v="0"/>
    <s v="Wrap Bag"/>
    <s v="Express Air"/>
    <n v="43858"/>
    <n v="22950"/>
    <n v="37050"/>
    <n v="14100"/>
    <n v="45"/>
    <n v="634500"/>
    <n v="7.0000000000000007E-2"/>
    <n v="44415.000000000007"/>
    <n v="590085"/>
    <n v="10000"/>
    <n v="600085"/>
  </r>
  <r>
    <s v="6437-2"/>
    <d v="2020-01-28T00:00:00"/>
    <n v="2020"/>
    <s v="Aditya Uyainah"/>
    <s v="Jalan Pasirkoja No. 750"/>
    <s v="Surabaya"/>
    <x v="2"/>
    <s v="E1039"/>
    <s v="Nabila Prakasa"/>
    <s v="Nabila Prakasa"/>
    <s v="Low"/>
    <s v="Wirebound Message Book, 4 per Page"/>
    <x v="0"/>
    <s v="Wrap Bag"/>
    <s v="Regular Air"/>
    <n v="43862"/>
    <n v="52200"/>
    <n v="81450"/>
    <n v="29250"/>
    <n v="11"/>
    <n v="321750"/>
    <n v="0"/>
    <n v="0"/>
    <n v="321750"/>
    <n v="5000"/>
    <n v="326750"/>
  </r>
  <r>
    <s v="6438-1"/>
    <d v="2020-01-29T00:00:00"/>
    <n v="2020"/>
    <s v="Arsipatra Halimah"/>
    <s v="Gang Otto Iskandardinata No. 167"/>
    <s v="Surabaya"/>
    <x v="3"/>
    <s v="E1037"/>
    <s v="Puti Nadine Prakasa"/>
    <s v="Puti Nadine Prakasa"/>
    <s v="Medium"/>
    <s v="12 Colored Short Pencils"/>
    <x v="0"/>
    <s v="Wrap Bag"/>
    <s v="Regular Air"/>
    <n v="43861"/>
    <n v="16350.000000000002"/>
    <n v="39000"/>
    <n v="22650"/>
    <n v="12"/>
    <n v="271800"/>
    <n v="0.05"/>
    <n v="13590"/>
    <n v="258210"/>
    <n v="5000"/>
    <n v="263210"/>
  </r>
  <r>
    <s v="6440-1"/>
    <d v="2020-01-31T00:00:00"/>
    <n v="2020"/>
    <s v="Karna Pertiwi"/>
    <s v="Gg. Surapati No. 50"/>
    <s v="Surabaya"/>
    <x v="0"/>
    <s v="E1033"/>
    <s v="Paiman Firgantoro"/>
    <s v="Paiman Firgantoro"/>
    <s v="Medium"/>
    <s v="3Max Polarizing Task Lamp with Clamp Arm, Light Gray"/>
    <x v="2"/>
    <s v="Large Box"/>
    <s v="Regular Air"/>
    <n v="43864"/>
    <n v="842400"/>
    <n v="2054699.9999999998"/>
    <n v="1212299.9999999998"/>
    <n v="21"/>
    <n v="25458299.999999996"/>
    <n v="0.05"/>
    <n v="1272915"/>
    <n v="24185384.999999996"/>
    <n v="50000"/>
    <n v="24235384.999999996"/>
  </r>
  <r>
    <s v="6442-1"/>
    <d v="2020-02-01T00:00:00"/>
    <n v="2020"/>
    <s v="Satya Nurdiyanti"/>
    <s v="Jalan S. Parman No. 88"/>
    <s v="Bandung"/>
    <x v="1"/>
    <s v="E1036"/>
    <s v="Kenari Rajasa"/>
    <s v="Kenari Rajasa"/>
    <s v="Critical"/>
    <s v="Apex Straight Scissors"/>
    <x v="0"/>
    <s v="Small Pack"/>
    <s v="Regular Air"/>
    <n v="43864"/>
    <n v="77850"/>
    <n v="194700"/>
    <n v="116850"/>
    <n v="49"/>
    <n v="5725650"/>
    <n v="0.09"/>
    <n v="515308.5"/>
    <n v="5210341.5"/>
    <n v="10000"/>
    <n v="5220341.5"/>
  </r>
  <r>
    <s v="6443-1"/>
    <d v="2020-02-02T00:00:00"/>
    <n v="2020"/>
    <s v="Jasmani Zulkarnain"/>
    <s v="Jl. Pasir Koja No. 059"/>
    <s v="Surabaya"/>
    <x v="0"/>
    <s v="E1032"/>
    <s v="Violet Mentari"/>
    <s v="Violet Mentari"/>
    <s v="Not Specified"/>
    <s v="Artisan Poly Binder Pockets"/>
    <x v="0"/>
    <s v="Small Box"/>
    <s v="Regular Air"/>
    <n v="43863"/>
    <n v="33900"/>
    <n v="53700"/>
    <n v="19800"/>
    <n v="34"/>
    <n v="673200"/>
    <n v="7.0000000000000007E-2"/>
    <n v="47124.000000000007"/>
    <n v="626076"/>
    <n v="15000"/>
    <n v="641076"/>
  </r>
  <r>
    <s v="6445-1"/>
    <d v="2020-02-04T00:00:00"/>
    <n v="2020"/>
    <s v="Oliva Melani"/>
    <s v="Gang Cikapayang No. 055"/>
    <s v="Surabaya"/>
    <x v="3"/>
    <s v="E1040"/>
    <s v="Sutan Tirtayasa Wasita"/>
    <s v="Sutan Tirtayasa Wasita"/>
    <s v="Not Specified"/>
    <s v="Artisan 479 Labels"/>
    <x v="0"/>
    <s v="Small Box"/>
    <s v="Regular Air"/>
    <n v="43867"/>
    <n v="23850"/>
    <n v="39150"/>
    <n v="15300"/>
    <n v="44"/>
    <n v="673200"/>
    <n v="7.0000000000000007E-2"/>
    <n v="47124.000000000007"/>
    <n v="626076"/>
    <n v="15000"/>
    <n v="641076"/>
  </r>
  <r>
    <s v="6447-1"/>
    <d v="2020-02-05T00:00:00"/>
    <n v="2020"/>
    <s v="Danuja Prayoga"/>
    <s v="Gg. Pacuan Kuda No. 49"/>
    <s v="Surabaya"/>
    <x v="2"/>
    <s v="E1037"/>
    <s v="Puti Nadine Prakasa"/>
    <s v="Puti Nadine Prakasa"/>
    <s v="Critical"/>
    <s v="1726 Digital Answering Machine"/>
    <x v="1"/>
    <s v="Medium Box"/>
    <s v="Regular Air"/>
    <n v="43868"/>
    <n v="132300"/>
    <n v="314850"/>
    <n v="182550"/>
    <n v="17"/>
    <n v="3103350"/>
    <n v="0"/>
    <n v="0"/>
    <n v="3103350"/>
    <n v="20000"/>
    <n v="3123350"/>
  </r>
  <r>
    <s v="6449-1"/>
    <d v="2020-02-05T00:00:00"/>
    <n v="2020"/>
    <s v="Rafi Anggriawan"/>
    <s v="Gg. Stasiun Wonokromo No. 0"/>
    <s v="Jakarta"/>
    <x v="1"/>
    <s v="E1028"/>
    <s v="Gaduh Pratama"/>
    <s v="Gaduh Pratama"/>
    <s v="Low"/>
    <s v="3Max Polarizing Task Lamp with Clamp Arm, Light Gray"/>
    <x v="2"/>
    <s v="Large Box"/>
    <s v="Regular Air"/>
    <n v="43873"/>
    <n v="842400"/>
    <n v="2054699.9999999998"/>
    <n v="1212299.9999999998"/>
    <n v="3"/>
    <n v="3636899.9999999991"/>
    <n v="0.1"/>
    <n v="363689.99999999994"/>
    <n v="3273209.9999999991"/>
    <n v="50000"/>
    <n v="3323209.9999999991"/>
  </r>
  <r>
    <s v="6451-1"/>
    <d v="2020-02-05T00:00:00"/>
    <n v="2020"/>
    <s v="Nurul Samosir"/>
    <s v="Jalan Pasirkoja No. 329"/>
    <s v="Surabaya"/>
    <x v="2"/>
    <s v="E1040"/>
    <s v="Sutan Tirtayasa Wasita"/>
    <s v="Sutan Tirtayasa Wasita"/>
    <s v="Medium"/>
    <s v="Artisan Durable Binders"/>
    <x v="0"/>
    <s v="Small Box"/>
    <s v="Regular Air"/>
    <n v="43868"/>
    <n v="27600"/>
    <n v="43200"/>
    <n v="15600"/>
    <n v="32"/>
    <n v="499200"/>
    <n v="0.01"/>
    <n v="4992"/>
    <n v="494208"/>
    <n v="15000"/>
    <n v="509208"/>
  </r>
  <r>
    <s v="6453-1"/>
    <d v="2020-02-07T00:00:00"/>
    <n v="2020"/>
    <s v="Tantri Handayani"/>
    <s v="Jalan Astana Anyar No. 41"/>
    <s v="Jakarta"/>
    <x v="1"/>
    <s v="E1028"/>
    <s v="Gaduh Pratama"/>
    <s v="Gaduh Pratama"/>
    <s v="Critical"/>
    <s v="Artisan 479 Labels"/>
    <x v="0"/>
    <s v="Small Box"/>
    <s v="Express Air"/>
    <n v="43870"/>
    <n v="23850"/>
    <n v="39150"/>
    <n v="15300"/>
    <n v="25"/>
    <n v="382500"/>
    <n v="0.04"/>
    <n v="15300"/>
    <n v="367200"/>
    <n v="30000"/>
    <n v="397200"/>
  </r>
  <r>
    <s v="6455-1"/>
    <d v="2020-02-07T00:00:00"/>
    <n v="2020"/>
    <s v="Citra Natsir"/>
    <s v="Gg. Joyoboyo No. 691"/>
    <s v="Surabaya"/>
    <x v="1"/>
    <s v="E1032"/>
    <s v="Violet Mentari"/>
    <s v="Violet Mentari"/>
    <s v="High"/>
    <s v="Steady EarthWrite Recycled Pencils, Medium Soft, #2"/>
    <x v="0"/>
    <s v="Wrap Bag"/>
    <s v="Regular Air"/>
    <n v="43870"/>
    <n v="13500"/>
    <n v="31500"/>
    <n v="18000"/>
    <n v="33"/>
    <n v="594000"/>
    <n v="0.05"/>
    <n v="29700"/>
    <n v="564300"/>
    <n v="5000"/>
    <n v="569300"/>
  </r>
  <r>
    <s v="6457-1"/>
    <d v="2020-02-09T00:00:00"/>
    <n v="2020"/>
    <s v="Wawan Riyanti"/>
    <s v="Jl. Antapani Lama No. 705"/>
    <s v="Jakarta"/>
    <x v="0"/>
    <s v="E1028"/>
    <s v="Gaduh Pratama"/>
    <s v="Gaduh Pratama"/>
    <s v="Medium"/>
    <s v="UGen Ultra Cordless Optical Suite"/>
    <x v="1"/>
    <s v="Small Box"/>
    <s v="Regular Air"/>
    <n v="43871"/>
    <n v="817800"/>
    <n v="1514550"/>
    <n v="696750"/>
    <n v="29"/>
    <n v="20205750"/>
    <n v="0.05"/>
    <n v="1010287.5"/>
    <n v="19195462.5"/>
    <n v="15000"/>
    <n v="19210462.5"/>
  </r>
  <r>
    <s v="6457-2"/>
    <d v="2020-02-09T00:00:00"/>
    <n v="2020"/>
    <s v="Wawan Riyanti"/>
    <s v="Jl. Antapani Lama No. 705"/>
    <s v="Jakarta"/>
    <x v="0"/>
    <s v="E1028"/>
    <s v="Gaduh Pratama"/>
    <s v="Gaduh Pratama"/>
    <s v="Medium"/>
    <s v="Unpadded Memo Slips"/>
    <x v="0"/>
    <s v="Wrap Bag"/>
    <s v="Regular Air"/>
    <n v="43870"/>
    <n v="38850"/>
    <n v="59700"/>
    <n v="20850"/>
    <n v="4"/>
    <n v="83400"/>
    <n v="0.09"/>
    <n v="7506"/>
    <n v="75894"/>
    <n v="5000"/>
    <n v="80894"/>
  </r>
  <r>
    <s v="6460-1"/>
    <d v="2020-02-10T00:00:00"/>
    <n v="2020"/>
    <s v="Laila Anggraini"/>
    <s v="Gg. Monginsidi No. 3"/>
    <s v="Jakarta"/>
    <x v="0"/>
    <s v="E1029"/>
    <s v="Laras Nuraini"/>
    <s v="Laras Nuraini"/>
    <s v="Low"/>
    <s v="Beekin 6 Outlet Metallic Surge Strip"/>
    <x v="0"/>
    <s v="Small Box"/>
    <s v="Express Air"/>
    <n v="43880"/>
    <n v="66900"/>
    <n v="163350"/>
    <n v="96450"/>
    <n v="30"/>
    <n v="2893500"/>
    <n v="0.08"/>
    <n v="231480"/>
    <n v="2662020"/>
    <n v="30000"/>
    <n v="2692020"/>
  </r>
  <r>
    <s v="6461-1"/>
    <d v="2020-02-10T00:00:00"/>
    <n v="2020"/>
    <s v="Jasmani Napitupulu"/>
    <s v="Gg. Joyoboyo No. 8"/>
    <s v="Jakarta"/>
    <x v="1"/>
    <s v="E1028"/>
    <s v="Gaduh Pratama"/>
    <s v="Gaduh Pratama"/>
    <s v="Critical"/>
    <s v="Self-Adhesive Removable Labels"/>
    <x v="0"/>
    <s v="Small Box"/>
    <s v="Regular Air"/>
    <n v="43873"/>
    <n v="29700"/>
    <n v="47250"/>
    <n v="17550"/>
    <n v="24"/>
    <n v="421200"/>
    <n v="0.02"/>
    <n v="8424"/>
    <n v="412776"/>
    <n v="15000"/>
    <n v="427776"/>
  </r>
  <r>
    <s v="6463-1"/>
    <d v="2020-02-11T00:00:00"/>
    <n v="2020"/>
    <s v="Wulan Hariyah"/>
    <s v="Jl. R.E Martadinata No. 18"/>
    <s v="Surabaya"/>
    <x v="0"/>
    <s v="E1039"/>
    <s v="Nabila Prakasa"/>
    <s v="Nabila Prakasa"/>
    <s v="Critical"/>
    <s v="Beekin 105-Key Black Keyboard"/>
    <x v="1"/>
    <s v="Small Box"/>
    <s v="Regular Air"/>
    <n v="43873"/>
    <n v="95850"/>
    <n v="299700"/>
    <n v="203850"/>
    <n v="9"/>
    <n v="1834650"/>
    <n v="0.09"/>
    <n v="165118.5"/>
    <n v="1669531.5"/>
    <n v="15000"/>
    <n v="1684531.5"/>
  </r>
  <r>
    <s v="6465-1"/>
    <d v="2020-02-13T00:00:00"/>
    <n v="2020"/>
    <s v="Rizki Firgantoro"/>
    <s v="Gg. Kapten Muslihat No. 5"/>
    <s v="Surabaya"/>
    <x v="1"/>
    <s v="E1034"/>
    <s v="Ophelia Mustofa"/>
    <s v="Ophelia Mustofa"/>
    <s v="Medium"/>
    <s v="210 Trimline Phone, White"/>
    <x v="1"/>
    <s v="Medium Box"/>
    <s v="Regular Air"/>
    <n v="43874"/>
    <n v="148650"/>
    <n v="239850"/>
    <n v="91200"/>
    <n v="33"/>
    <n v="3009600"/>
    <n v="0.01"/>
    <n v="30096"/>
    <n v="2979504"/>
    <n v="20000"/>
    <n v="2999504"/>
  </r>
  <r>
    <s v="6467-1"/>
    <d v="2020-02-13T00:00:00"/>
    <n v="2020"/>
    <s v="Wirda Novitasari"/>
    <s v="Gang Monginsidi No. 138"/>
    <s v="Jakarta"/>
    <x v="1"/>
    <s v="E1029"/>
    <s v="Laras Nuraini"/>
    <s v="Laras Nuraini"/>
    <s v="Medium"/>
    <s v="Artisan Hanging File Binders"/>
    <x v="0"/>
    <s v="Small Box"/>
    <s v="Regular Air"/>
    <n v="43875"/>
    <n v="54750"/>
    <n v="89700"/>
    <n v="34950"/>
    <n v="23"/>
    <n v="803850"/>
    <n v="0.01"/>
    <n v="8038.5"/>
    <n v="795811.5"/>
    <n v="15000"/>
    <n v="810811.5"/>
  </r>
  <r>
    <s v="6469-1"/>
    <d v="2020-02-13T00:00:00"/>
    <n v="2020"/>
    <s v="Marsito Prasetya"/>
    <s v="Gg. Kapten Muslihat No. 5"/>
    <s v="Surabaya"/>
    <x v="0"/>
    <s v="E1034"/>
    <s v="Ophelia Mustofa"/>
    <s v="Ophelia Mustofa"/>
    <s v="Not Specified"/>
    <s v="Binder Posts"/>
    <x v="0"/>
    <s v="Small Box"/>
    <s v="Regular Air"/>
    <n v="43877"/>
    <n v="52500"/>
    <n v="86100"/>
    <n v="33600"/>
    <n v="48"/>
    <n v="1612800"/>
    <n v="0.05"/>
    <n v="80640"/>
    <n v="1532160"/>
    <n v="15000"/>
    <n v="1547160"/>
  </r>
  <r>
    <s v="6471-1"/>
    <d v="2020-02-15T00:00:00"/>
    <n v="2020"/>
    <s v="Wahyu Mulyani"/>
    <s v="Jl. Kapten Muslihat No. 853"/>
    <s v="Surabaya"/>
    <x v="1"/>
    <s v="E1032"/>
    <s v="Violet Mentari"/>
    <s v="Violet Mentari"/>
    <s v="Critical"/>
    <s v="Adesso Programmable 142-Key Keyboard"/>
    <x v="1"/>
    <s v="Small Box"/>
    <s v="Regular Air"/>
    <n v="43877"/>
    <n v="594600"/>
    <n v="2287200"/>
    <n v="1692600"/>
    <n v="44"/>
    <n v="74474400"/>
    <n v="0.03"/>
    <n v="2234232"/>
    <n v="72240168"/>
    <n v="15000"/>
    <n v="72255168"/>
  </r>
  <r>
    <s v="6472-1"/>
    <d v="2020-02-15T00:00:00"/>
    <n v="2020"/>
    <s v="Rendy Firmansyah"/>
    <s v="Jalan Sukabumi No. 509"/>
    <s v="Surabaya"/>
    <x v="0"/>
    <s v="E1030"/>
    <s v="Cinthia Gunawan"/>
    <s v="Cinthia Gunawan"/>
    <s v="Not Specified"/>
    <s v="Apex Preferred Stainless Steel Scissors"/>
    <x v="0"/>
    <s v="Small Pack"/>
    <s v="Regular Air"/>
    <n v="43877"/>
    <n v="37500"/>
    <n v="85200"/>
    <n v="47700"/>
    <n v="34"/>
    <n v="1621800"/>
    <n v="0"/>
    <n v="0"/>
    <n v="1621800"/>
    <n v="10000"/>
    <n v="1631800"/>
  </r>
  <r>
    <s v="6473-1"/>
    <d v="2020-02-15T00:00:00"/>
    <n v="2020"/>
    <s v="Najwa Najmudin"/>
    <s v="Gang Kebonjati No. 827"/>
    <s v="Bandung"/>
    <x v="0"/>
    <s v="E1033"/>
    <s v="Paiman Firgantoro"/>
    <s v="Paiman Firgantoro"/>
    <s v="Not Specified"/>
    <s v="Steady 52201 APSCO Electric Pencil Sharpener"/>
    <x v="0"/>
    <s v="Small Pack"/>
    <s v="Regular Air"/>
    <n v="43878"/>
    <n v="252000"/>
    <n v="614550"/>
    <n v="362550"/>
    <n v="26"/>
    <n v="9426300"/>
    <n v="0.06"/>
    <n v="565578"/>
    <n v="8860722"/>
    <n v="10000"/>
    <n v="8870722"/>
  </r>
  <r>
    <s v="6475-1"/>
    <d v="2020-02-15T00:00:00"/>
    <n v="2020"/>
    <s v="Dwi Yuniar"/>
    <s v="Jalan Pasteur No. 217"/>
    <s v="Surabaya"/>
    <x v="0"/>
    <s v="E1031"/>
    <s v="Bagiya Sihombing"/>
    <s v="Bagiya Sihombing"/>
    <s v="Low"/>
    <s v="Steady Colorific Colored Pencils, 12/Box"/>
    <x v="0"/>
    <s v="Wrap Bag"/>
    <s v="Regular Air"/>
    <n v="43880"/>
    <n v="19500"/>
    <n v="43200"/>
    <n v="23700"/>
    <n v="41"/>
    <n v="971700"/>
    <n v="0.1"/>
    <n v="97170"/>
    <n v="874530"/>
    <n v="5000"/>
    <n v="879530"/>
  </r>
  <r>
    <s v="6477-1"/>
    <d v="2020-02-16T00:00:00"/>
    <n v="2020"/>
    <s v="Gaduh Marbun"/>
    <s v="Gang R.E Martadinata No. 969"/>
    <s v="Surabaya"/>
    <x v="1"/>
    <s v="E1036"/>
    <s v="Kenari Rajasa"/>
    <s v="Kenari Rajasa"/>
    <s v="Not Specified"/>
    <s v="Artisan 48 Labels"/>
    <x v="0"/>
    <s v="Small Box"/>
    <s v="Regular Air"/>
    <n v="43878"/>
    <n v="57600"/>
    <n v="94500"/>
    <n v="36900"/>
    <n v="35"/>
    <n v="1291500"/>
    <n v="0.03"/>
    <n v="38745"/>
    <n v="1252755"/>
    <n v="15000"/>
    <n v="1267755"/>
  </r>
  <r>
    <s v="6479-1"/>
    <d v="2020-02-18T00:00:00"/>
    <n v="2020"/>
    <s v="Pangestu Rajata"/>
    <s v="Gg. Jamika No. 6"/>
    <s v="Surabaya"/>
    <x v="3"/>
    <s v="E1033"/>
    <s v="Paiman Firgantoro"/>
    <s v="Paiman Firgantoro"/>
    <s v="Low"/>
    <s v="Binder Posts"/>
    <x v="0"/>
    <s v="Small Box"/>
    <s v="Regular Air"/>
    <n v="43886"/>
    <n v="52500"/>
    <n v="86100"/>
    <n v="33600"/>
    <n v="5"/>
    <n v="168000"/>
    <n v="7.0000000000000007E-2"/>
    <n v="11760.000000000002"/>
    <n v="156240"/>
    <n v="15000"/>
    <n v="171240"/>
  </r>
  <r>
    <s v="6480-1"/>
    <d v="2020-02-21T00:00:00"/>
    <n v="2020"/>
    <s v="Tri Rahmawati"/>
    <s v="Jl. S. Parman No. 38"/>
    <s v="Surabaya"/>
    <x v="2"/>
    <s v="E1033"/>
    <s v="Paiman Firgantoro"/>
    <s v="Paiman Firgantoro"/>
    <s v="Low"/>
    <s v="Alto Perma 2700 Stacking Storage Drawers"/>
    <x v="0"/>
    <s v="Small Box"/>
    <s v="Regular Air"/>
    <n v="43887"/>
    <n v="133800"/>
    <n v="446100"/>
    <n v="312300"/>
    <n v="31"/>
    <n v="9681300"/>
    <n v="0"/>
    <n v="0"/>
    <n v="9681300"/>
    <n v="15000"/>
    <n v="9696300"/>
  </r>
  <r>
    <s v="6482-1"/>
    <d v="2020-02-21T00:00:00"/>
    <n v="2020"/>
    <s v="Hendri Fujiati"/>
    <s v="Jl. Raya Ujungberung No. 86"/>
    <s v="Bandung"/>
    <x v="0"/>
    <s v="E1041"/>
    <s v="Sari Winarno"/>
    <s v="Sari Winarno"/>
    <s v="Low"/>
    <s v="Creator Anti Dust Chalk, 12/Pack"/>
    <x v="0"/>
    <s v="Wrap Bag"/>
    <s v="Regular Air"/>
    <n v="43884"/>
    <n v="16350.000000000002"/>
    <n v="27300"/>
    <n v="10949.999999999998"/>
    <n v="40"/>
    <n v="437999.99999999994"/>
    <n v="0.05"/>
    <n v="21900"/>
    <n v="416099.99999999994"/>
    <n v="5000"/>
    <n v="421099.99999999994"/>
  </r>
  <r>
    <s v="6483-1"/>
    <d v="2020-02-21T00:00:00"/>
    <n v="2020"/>
    <s v="Ganep Uwais"/>
    <s v="Gg. Stasiun Wonokromo No. 0"/>
    <s v="Jakarta"/>
    <x v="2"/>
    <s v="E1028"/>
    <s v="Gaduh Pratama"/>
    <s v="Gaduh Pratama"/>
    <s v="Not Specified"/>
    <s v="Steady EarthWrite Recycled Pencils, Medium Soft, #2"/>
    <x v="0"/>
    <s v="Wrap Bag"/>
    <s v="Regular Air"/>
    <n v="43882"/>
    <n v="13500"/>
    <n v="31500"/>
    <n v="18000"/>
    <n v="27"/>
    <n v="486000"/>
    <n v="0.04"/>
    <n v="19440"/>
    <n v="466560"/>
    <n v="5000"/>
    <n v="471560"/>
  </r>
  <r>
    <s v="6484-1"/>
    <d v="2020-02-22T00:00:00"/>
    <n v="2020"/>
    <s v="Farah Maheswara"/>
    <s v="Gang Merdeka No. 298"/>
    <s v="Surabaya"/>
    <x v="1"/>
    <s v="E1031"/>
    <s v="Bagiya Sihombing"/>
    <s v="Bagiya Sihombing"/>
    <s v="High"/>
    <s v="Office Shears by Apex"/>
    <x v="0"/>
    <s v="Small Pack"/>
    <s v="Regular Air"/>
    <n v="43885"/>
    <n v="14100"/>
    <n v="31200"/>
    <n v="17100"/>
    <n v="39"/>
    <n v="666900"/>
    <n v="0.04"/>
    <n v="26676"/>
    <n v="640224"/>
    <n v="10000"/>
    <n v="650224"/>
  </r>
  <r>
    <s v="6485-1"/>
    <d v="2020-02-23T00:00:00"/>
    <n v="2020"/>
    <s v="Kamidin Yolanda"/>
    <s v="Jalan Pasteur No. 217"/>
    <s v="Surabaya"/>
    <x v="2"/>
    <s v="E1031"/>
    <s v="Bagiya Sihombing"/>
    <s v="Bagiya Sihombing"/>
    <s v="Not Specified"/>
    <s v="Laser DVD-RAM discs"/>
    <x v="1"/>
    <s v="Small Pack"/>
    <s v="Regular Air"/>
    <n v="43886"/>
    <n v="302700"/>
    <n v="531150"/>
    <n v="228450"/>
    <n v="21"/>
    <n v="4797450"/>
    <n v="0.09"/>
    <n v="431770.5"/>
    <n v="4365679.5"/>
    <n v="10000"/>
    <n v="4375679.5"/>
  </r>
  <r>
    <s v="6487-1"/>
    <d v="2020-02-25T00:00:00"/>
    <n v="2020"/>
    <s v="Ilsa Hassanah"/>
    <s v="Gg. Cihampelas No. 423"/>
    <s v="Surabaya"/>
    <x v="3"/>
    <s v="E1030"/>
    <s v="Cinthia Gunawan"/>
    <s v="Cinthia Gunawan"/>
    <s v="Not Specified"/>
    <s v="Smiths Colored Interoffice Envelopes"/>
    <x v="0"/>
    <s v="Small Box"/>
    <s v="Regular Air"/>
    <n v="43886"/>
    <n v="297450"/>
    <n v="464700"/>
    <n v="167250"/>
    <n v="15"/>
    <n v="2508750"/>
    <n v="0"/>
    <n v="0"/>
    <n v="2508750"/>
    <n v="15000"/>
    <n v="2523750"/>
  </r>
  <r>
    <s v="6489-1"/>
    <d v="2020-02-26T00:00:00"/>
    <n v="2020"/>
    <s v="Rangga Budiman"/>
    <s v="Jalan Pasirkoja No. 750"/>
    <s v="Surabaya"/>
    <x v="3"/>
    <s v="E1039"/>
    <s v="Nabila Prakasa"/>
    <s v="Nabila Prakasa"/>
    <s v="Low"/>
    <s v="Self-Adhesive Removable Labels"/>
    <x v="0"/>
    <s v="Small Box"/>
    <s v="Regular Air"/>
    <n v="43889"/>
    <n v="29700"/>
    <n v="47250"/>
    <n v="17550"/>
    <n v="41"/>
    <n v="719550"/>
    <n v="0.06"/>
    <n v="43173"/>
    <n v="676377"/>
    <n v="15000"/>
    <n v="691377"/>
  </r>
  <r>
    <s v="6491-1"/>
    <d v="2020-02-27T00:00:00"/>
    <n v="2020"/>
    <s v="Kania Kuswandari"/>
    <s v="Gg. Dipatiukur No. 002"/>
    <s v="Surabaya"/>
    <x v="1"/>
    <s v="E1033"/>
    <s v="Paiman Firgantoro"/>
    <s v="Paiman Firgantoro"/>
    <s v="Medium"/>
    <s v="12 Colored Short Pencils"/>
    <x v="0"/>
    <s v="Wrap Bag"/>
    <s v="Regular Air"/>
    <n v="43889"/>
    <n v="16350.000000000002"/>
    <n v="39000"/>
    <n v="22650"/>
    <n v="11"/>
    <n v="249150"/>
    <n v="0.09"/>
    <n v="22423.5"/>
    <n v="226726.5"/>
    <n v="5000"/>
    <n v="231726.5"/>
  </r>
  <r>
    <s v="6493-1"/>
    <d v="2020-02-29T00:00:00"/>
    <n v="2020"/>
    <s v="Hartana Nurdiyanti"/>
    <s v="Gang Asia Afrika No. 96"/>
    <s v="Surabaya"/>
    <x v="1"/>
    <s v="E1036"/>
    <s v="Kenari Rajasa"/>
    <s v="Kenari Rajasa"/>
    <s v="High"/>
    <s v="OIC Colored Binder Clips, Assorted Sizes"/>
    <x v="0"/>
    <s v="Wrap Bag"/>
    <s v="Regular Air"/>
    <n v="43890"/>
    <n v="34350"/>
    <n v="53700"/>
    <n v="19350"/>
    <n v="32"/>
    <n v="619200"/>
    <n v="0.09"/>
    <n v="55728"/>
    <n v="563472"/>
    <n v="5000"/>
    <n v="568472"/>
  </r>
  <r>
    <s v="6495-1"/>
    <d v="2020-03-01T00:00:00"/>
    <n v="2020"/>
    <s v="Rizki Purnawati"/>
    <s v="Gang Monginsidi No. 138"/>
    <s v="Jakarta"/>
    <x v="3"/>
    <s v="E1029"/>
    <s v="Laras Nuraini"/>
    <s v="Laras Nuraini"/>
    <s v="High"/>
    <s v="Artisan Legal 4-Ring Binder"/>
    <x v="0"/>
    <s v="Small Box"/>
    <s v="Regular Air"/>
    <n v="43893"/>
    <n v="204600"/>
    <n v="314700"/>
    <n v="110100"/>
    <n v="42"/>
    <n v="4624200"/>
    <n v="0.1"/>
    <n v="462420"/>
    <n v="4161780"/>
    <n v="15000"/>
    <n v="4176780"/>
  </r>
  <r>
    <s v="6496-1"/>
    <d v="2020-03-01T00:00:00"/>
    <n v="2020"/>
    <s v="Najib Pratama"/>
    <s v="Gang Cikapayang No. 055"/>
    <s v="Surabaya"/>
    <x v="1"/>
    <s v="E1040"/>
    <s v="Sutan Tirtayasa Wasita"/>
    <s v="Sutan Tirtayasa Wasita"/>
    <s v="Medium"/>
    <s v="Brown Kraft Recycled Envelopes"/>
    <x v="0"/>
    <s v="Small Box"/>
    <s v="Regular Air"/>
    <n v="43893"/>
    <n v="165600"/>
    <n v="254700"/>
    <n v="89100"/>
    <n v="46"/>
    <n v="4098600"/>
    <n v="0.09"/>
    <n v="368874"/>
    <n v="3729726"/>
    <n v="15000"/>
    <n v="3744726"/>
  </r>
  <r>
    <s v="6497-1"/>
    <d v="2020-03-04T00:00:00"/>
    <n v="2020"/>
    <s v="Ajiman Mandasari"/>
    <s v="Jl. Rumah Sakit No. 738"/>
    <s v="Jakarta"/>
    <x v="0"/>
    <s v="E1028"/>
    <s v="Gaduh Pratama"/>
    <s v="Gaduh Pratama"/>
    <s v="Critical"/>
    <s v="Artisan Hi-Liter Comfort Grip Fluorescent Highlighter, Yellow Ink"/>
    <x v="0"/>
    <s v="Wrap Bag"/>
    <s v="Regular Air"/>
    <n v="43895"/>
    <n v="15750"/>
    <n v="29250"/>
    <n v="13500"/>
    <n v="20"/>
    <n v="270000"/>
    <n v="0.06"/>
    <n v="16200"/>
    <n v="253800"/>
    <n v="5000"/>
    <n v="258800"/>
  </r>
  <r>
    <s v="6498-1"/>
    <d v="2020-03-06T00:00:00"/>
    <n v="2020"/>
    <s v="Anita Halim"/>
    <s v="Gg. Stasiun Wonokromo No. 32"/>
    <s v="Surabaya"/>
    <x v="1"/>
    <s v="E1037"/>
    <s v="Puti Nadine Prakasa"/>
    <s v="Puti Nadine Prakasa"/>
    <s v="Low"/>
    <s v="Smiths Standard Envelopes"/>
    <x v="0"/>
    <s v="Small Box"/>
    <s v="Regular Air"/>
    <n v="43901"/>
    <n v="52800"/>
    <n v="85200"/>
    <n v="32400"/>
    <n v="10"/>
    <n v="324000"/>
    <n v="0.09"/>
    <n v="29160"/>
    <n v="294840"/>
    <n v="15000"/>
    <n v="309840"/>
  </r>
  <r>
    <s v="6499-1"/>
    <d v="2020-03-07T00:00:00"/>
    <n v="2020"/>
    <s v="Olga Irawan"/>
    <s v="Jalan Gardujati No. 513"/>
    <s v="Surabaya"/>
    <x v="1"/>
    <s v="E1036"/>
    <s v="Kenari Rajasa"/>
    <s v="Kenari Rajasa"/>
    <s v="Critical"/>
    <s v="Steady Major Accent Highlighters"/>
    <x v="0"/>
    <s v="Wrap Bag"/>
    <s v="Regular Air"/>
    <n v="43899"/>
    <n v="56250"/>
    <n v="106200"/>
    <n v="49950"/>
    <n v="29"/>
    <n v="1448550"/>
    <n v="7.0000000000000007E-2"/>
    <n v="101398.50000000001"/>
    <n v="1347151.5"/>
    <n v="5000"/>
    <n v="1352151.5"/>
  </r>
  <r>
    <s v="6500-1"/>
    <d v="2020-03-10T00:00:00"/>
    <n v="2020"/>
    <s v="Koko Setiawan"/>
    <s v="Gang Yos Sudarso No. 13"/>
    <s v="Surabaya"/>
    <x v="3"/>
    <s v="E1039"/>
    <s v="Nabila Prakasa"/>
    <s v="Nabila Prakasa"/>
    <s v="Medium"/>
    <s v="3Max Organizer Strips"/>
    <x v="0"/>
    <s v="Small Box"/>
    <s v="Regular Air"/>
    <n v="43902"/>
    <n v="51000"/>
    <n v="81000"/>
    <n v="30000"/>
    <n v="1"/>
    <n v="30000"/>
    <n v="0"/>
    <n v="0"/>
    <n v="30000"/>
    <n v="15000"/>
    <n v="45000"/>
  </r>
  <r>
    <s v="6502-1"/>
    <d v="2020-03-10T00:00:00"/>
    <n v="2020"/>
    <s v="Ulya Agustina"/>
    <s v="Jl. Medokan Ayu No. 7"/>
    <s v="Surabaya"/>
    <x v="0"/>
    <s v="E1038"/>
    <s v="Clara Prasetyo"/>
    <s v="Clara Prasetyo"/>
    <s v="Medium"/>
    <s v="Artisan 474 Labels"/>
    <x v="0"/>
    <s v="Small Box"/>
    <s v="Regular Air"/>
    <n v="43902"/>
    <n v="27600"/>
    <n v="43200"/>
    <n v="15600"/>
    <n v="6"/>
    <n v="93600"/>
    <n v="0.06"/>
    <n v="5616"/>
    <n v="87984"/>
    <n v="15000"/>
    <n v="102984"/>
  </r>
  <r>
    <s v="6503-1"/>
    <d v="2020-03-10T00:00:00"/>
    <n v="2020"/>
    <s v="Rachel Agustina"/>
    <s v="Jalan K.H. Wahid Hasyim No. 5"/>
    <s v="Surabaya"/>
    <x v="2"/>
    <s v="E1030"/>
    <s v="Cinthia Gunawan"/>
    <s v="Cinthia Gunawan"/>
    <s v="Low"/>
    <s v="Assorted Color Push Pins"/>
    <x v="0"/>
    <s v="Wrap Bag"/>
    <s v="Regular Air"/>
    <n v="43904"/>
    <n v="13050"/>
    <n v="27150"/>
    <n v="14100"/>
    <n v="18"/>
    <n v="253800"/>
    <n v="0.06"/>
    <n v="15228"/>
    <n v="238572"/>
    <n v="5000"/>
    <n v="243572"/>
  </r>
  <r>
    <s v="6504-1"/>
    <d v="2020-03-11T00:00:00"/>
    <n v="2020"/>
    <s v="Rika Mayasari"/>
    <s v="Jl. S. Parman No. 91"/>
    <s v="Surabaya"/>
    <x v="1"/>
    <s v="E1034"/>
    <s v="Ophelia Mustofa"/>
    <s v="Ophelia Mustofa"/>
    <s v="Not Specified"/>
    <s v="300 Series Non-Flip"/>
    <x v="1"/>
    <s v="Small Box"/>
    <s v="Regular Air"/>
    <n v="43903"/>
    <n v="936000"/>
    <n v="2339850"/>
    <n v="1403850"/>
    <n v="24"/>
    <n v="33692400"/>
    <n v="0.04"/>
    <n v="1347696"/>
    <n v="32344704"/>
    <n v="15000"/>
    <n v="32359704"/>
  </r>
  <r>
    <s v="6505-1"/>
    <d v="2020-03-11T00:00:00"/>
    <n v="2020"/>
    <s v="Panca Damanik"/>
    <s v="Jalan Ciwastra No. 383"/>
    <s v="Surabaya"/>
    <x v="3"/>
    <s v="E1032"/>
    <s v="Violet Mentari"/>
    <s v="Violet Mentari"/>
    <s v="Low"/>
    <s v="Cando PC940 Copier"/>
    <x v="1"/>
    <s v="Jumbo Drum"/>
    <s v="Delivery Truck"/>
    <n v="43901"/>
    <n v="4184850"/>
    <n v="6749850"/>
    <n v="2565000"/>
    <n v="18"/>
    <n v="46170000"/>
    <n v="0.09"/>
    <n v="4155300"/>
    <n v="42014700"/>
    <n v="500000"/>
    <n v="42514700"/>
  </r>
  <r>
    <s v="6506-1"/>
    <d v="2020-03-12T00:00:00"/>
    <n v="2020"/>
    <s v="Aswani Rajata"/>
    <s v="Gg. Rumah Sakit No. 617"/>
    <s v="Surabaya"/>
    <x v="3"/>
    <s v="E1038"/>
    <s v="Clara Prasetyo"/>
    <s v="Clara Prasetyo"/>
    <s v="Critical"/>
    <s v="Artisan 481 Labels"/>
    <x v="0"/>
    <s v="Small Box"/>
    <s v="Regular Air"/>
    <n v="43903"/>
    <n v="29100"/>
    <n v="46200"/>
    <n v="17100"/>
    <n v="18"/>
    <n v="307800"/>
    <n v="0.02"/>
    <n v="6156"/>
    <n v="301644"/>
    <n v="15000"/>
    <n v="316644"/>
  </r>
  <r>
    <s v="6507-1"/>
    <d v="2020-03-12T00:00:00"/>
    <n v="2020"/>
    <s v="Jayeng Wastuti"/>
    <s v="Jalan Kutai No. 503"/>
    <s v="Surabaya"/>
    <x v="1"/>
    <s v="E1039"/>
    <s v="Nabila Prakasa"/>
    <s v="Nabila Prakasa"/>
    <s v="Critical"/>
    <s v="Unpadded Memo Slips"/>
    <x v="0"/>
    <s v="Wrap Bag"/>
    <s v="Regular Air"/>
    <n v="43905"/>
    <n v="38850"/>
    <n v="59700"/>
    <n v="20850"/>
    <n v="11"/>
    <n v="229350"/>
    <n v="7.0000000000000007E-2"/>
    <n v="16054.500000000002"/>
    <n v="213295.5"/>
    <n v="5000"/>
    <n v="218295.5"/>
  </r>
  <r>
    <s v="6508-1"/>
    <d v="2020-03-13T00:00:00"/>
    <n v="2020"/>
    <s v="Cahyono Hidayanto"/>
    <s v="Jl. Gardujati No. 82"/>
    <s v="Surabaya"/>
    <x v="3"/>
    <s v="E1037"/>
    <s v="Puti Nadine Prakasa"/>
    <s v="Puti Nadine Prakasa"/>
    <s v="Not Specified"/>
    <s v="Col-Erase Pencils with Erasers"/>
    <x v="0"/>
    <s v="Wrap Bag"/>
    <s v="Regular Air"/>
    <n v="43904"/>
    <n v="40200"/>
    <n v="91200"/>
    <n v="51000"/>
    <n v="49"/>
    <n v="2499000"/>
    <n v="0.08"/>
    <n v="199920"/>
    <n v="2299080"/>
    <n v="5000"/>
    <n v="2304080"/>
  </r>
  <r>
    <s v="6509-1"/>
    <d v="2020-03-15T00:00:00"/>
    <n v="2020"/>
    <s v="Eja Anggriawan"/>
    <s v="Jalan K.H. Wahid Hasyim No. 5"/>
    <s v="Surabaya"/>
    <x v="2"/>
    <s v="E1030"/>
    <s v="Cinthia Gunawan"/>
    <s v="Cinthia Gunawan"/>
    <s v="High"/>
    <s v="UGen Ultra Cordless Optical Suite"/>
    <x v="1"/>
    <s v="Small Box"/>
    <s v="Regular Air"/>
    <n v="43906"/>
    <n v="817800"/>
    <n v="1514550"/>
    <n v="696750"/>
    <n v="42"/>
    <n v="29263500"/>
    <n v="0.1"/>
    <n v="2926350"/>
    <n v="26337150"/>
    <n v="15000"/>
    <n v="26352150"/>
  </r>
  <r>
    <s v="6510-1"/>
    <d v="2020-03-17T00:00:00"/>
    <n v="2020"/>
    <s v="Limar Laksmiwati"/>
    <s v="Gang Gedebage Selatan No. 1"/>
    <s v="Bandung"/>
    <x v="3"/>
    <s v="E1039"/>
    <s v="Nabila Prakasa"/>
    <s v="Nabila Prakasa"/>
    <s v="Medium"/>
    <s v="Artisan Durable Binders"/>
    <x v="0"/>
    <s v="Small Box"/>
    <s v="Regular Air"/>
    <n v="43909"/>
    <n v="27600"/>
    <n v="43200"/>
    <n v="15600"/>
    <n v="40"/>
    <n v="624000"/>
    <n v="0"/>
    <n v="0"/>
    <n v="624000"/>
    <n v="15000"/>
    <n v="639000"/>
  </r>
  <r>
    <s v="6511-1"/>
    <d v="2020-03-18T00:00:00"/>
    <n v="2020"/>
    <s v="Hardi Prayoga"/>
    <s v="Jl. K.H. Wahid Hasyim No. 4"/>
    <s v="Jakarta"/>
    <x v="0"/>
    <s v="E1029"/>
    <s v="Laras Nuraini"/>
    <s v="Laras Nuraini"/>
    <s v="High"/>
    <s v="Beekin 105-Key Black Keyboard"/>
    <x v="1"/>
    <s v="Small Box"/>
    <s v="Regular Air"/>
    <n v="43909"/>
    <n v="95850"/>
    <n v="299700"/>
    <n v="203850"/>
    <n v="29"/>
    <n v="5911650"/>
    <n v="0.06"/>
    <n v="354699"/>
    <n v="5556951"/>
    <n v="15000"/>
    <n v="5571951"/>
  </r>
  <r>
    <s v="6512-1"/>
    <d v="2020-03-19T00:00:00"/>
    <n v="2020"/>
    <s v="Oni Prastuti"/>
    <s v="Jalan Jend. A. Yani No. 48"/>
    <s v="Surabaya"/>
    <x v="1"/>
    <s v="E1036"/>
    <s v="Kenari Rajasa"/>
    <s v="Kenari Rajasa"/>
    <s v="High"/>
    <s v="Barrel Sharpener"/>
    <x v="0"/>
    <s v="Small Pack"/>
    <s v="Express Air"/>
    <n v="43911"/>
    <n v="21900"/>
    <n v="53550"/>
    <n v="31650"/>
    <n v="10"/>
    <n v="316500"/>
    <n v="0.01"/>
    <n v="3165"/>
    <n v="313335"/>
    <n v="20000"/>
    <n v="333335"/>
  </r>
  <r>
    <s v="6514-1"/>
    <d v="2020-03-20T00:00:00"/>
    <n v="2020"/>
    <s v="Cakrawangsa Waluyo"/>
    <s v="Gg. Stasiun Wonokromo No. 32"/>
    <s v="Surabaya"/>
    <x v="1"/>
    <s v="E1030"/>
    <s v="Cinthia Gunawan"/>
    <s v="Cinthia Gunawan"/>
    <s v="Low"/>
    <s v="Adesso Programmable 142-Key Keyboard"/>
    <x v="1"/>
    <s v="Small Box"/>
    <s v="Regular Air"/>
    <n v="43912"/>
    <n v="480300.00000000006"/>
    <n v="2287200"/>
    <n v="1806900"/>
    <n v="46"/>
    <n v="83117400"/>
    <n v="0.01"/>
    <n v="831174"/>
    <n v="82286226"/>
    <n v="15000"/>
    <n v="82301226"/>
  </r>
  <r>
    <s v="6515-1"/>
    <d v="2020-03-22T00:00:00"/>
    <n v="2020"/>
    <s v="Cahya Purnawati"/>
    <s v="Jalan Tebet Barat Dalam No. 229"/>
    <s v="Surabaya"/>
    <x v="3"/>
    <s v="E1031"/>
    <s v="Bagiya Sihombing"/>
    <s v="Bagiya Sihombing"/>
    <s v="Low"/>
    <s v="Alto Parchment Paper, Assorted Colors"/>
    <x v="0"/>
    <s v="Small Box"/>
    <s v="Regular Air"/>
    <n v="43919"/>
    <n v="68850"/>
    <n v="109200"/>
    <n v="40350"/>
    <n v="18"/>
    <n v="726300"/>
    <n v="0.09"/>
    <n v="65367"/>
    <n v="660933"/>
    <n v="15000"/>
    <n v="675933"/>
  </r>
  <r>
    <s v="6515-2"/>
    <d v="2020-03-22T00:00:00"/>
    <n v="2020"/>
    <s v="Cahya Purnawati"/>
    <s v="Jalan Tebet Barat Dalam No. 229"/>
    <s v="Surabaya"/>
    <x v="3"/>
    <s v="E1031"/>
    <s v="Bagiya Sihombing"/>
    <s v="Bagiya Sihombing"/>
    <s v="Low"/>
    <s v="OIC Thumb-Tacks"/>
    <x v="0"/>
    <s v="Wrap Bag"/>
    <s v="Regular Air"/>
    <n v="43916"/>
    <n v="10650"/>
    <n v="17100"/>
    <n v="6450"/>
    <n v="28"/>
    <n v="180600"/>
    <n v="0.09"/>
    <n v="16254"/>
    <n v="164346"/>
    <n v="5000"/>
    <n v="169346"/>
  </r>
  <r>
    <s v="6517-1"/>
    <d v="2020-03-22T00:00:00"/>
    <n v="2020"/>
    <s v="Zelaya Maryati"/>
    <s v="Gang R.E Martadinata No. 16"/>
    <s v="Jakarta"/>
    <x v="3"/>
    <s v="E1028"/>
    <s v="Gaduh Pratama"/>
    <s v="Gaduh Pratama"/>
    <s v="High"/>
    <s v="Multi-Use Personal File Cart and Caster Set, Three Stacking Bins"/>
    <x v="0"/>
    <s v="Small Box"/>
    <s v="Regular Air"/>
    <n v="43914"/>
    <n v="224250"/>
    <n v="521399.99999999994"/>
    <n v="297149.99999999994"/>
    <n v="10"/>
    <n v="2971499.9999999995"/>
    <n v="0.06"/>
    <n v="178289.99999999997"/>
    <n v="2793209.9999999995"/>
    <n v="15000"/>
    <n v="2808209.9999999995"/>
  </r>
  <r>
    <s v="6521-1"/>
    <d v="2020-03-23T00:00:00"/>
    <n v="2020"/>
    <s v="Mursita Yuniar"/>
    <s v="Jalan Gardujati No. 6"/>
    <s v="Surabaya"/>
    <x v="1"/>
    <s v="E1034"/>
    <s v="Ophelia Mustofa"/>
    <s v="Ophelia Mustofa"/>
    <s v="High"/>
    <s v="12 Colored Short Pencils"/>
    <x v="0"/>
    <s v="Wrap Bag"/>
    <s v="Regular Air"/>
    <n v="43914"/>
    <n v="16350.000000000002"/>
    <n v="39000"/>
    <n v="22650"/>
    <n v="8"/>
    <n v="181200"/>
    <n v="0.02"/>
    <n v="3624"/>
    <n v="177576"/>
    <n v="5000"/>
    <n v="182576"/>
  </r>
  <r>
    <s v="6523-1"/>
    <d v="2020-03-24T00:00:00"/>
    <n v="2020"/>
    <s v="Latika Siregar"/>
    <s v="Jalan S. Parman No. 88"/>
    <s v="Bandung"/>
    <x v="1"/>
    <s v="E1036"/>
    <s v="Kenari Rajasa"/>
    <s v="Kenari Rajasa"/>
    <s v="Critical"/>
    <s v="Bagged Rubber Bands"/>
    <x v="0"/>
    <s v="Wrap Bag"/>
    <s v="Regular Air"/>
    <n v="43916"/>
    <n v="3600"/>
    <n v="18900"/>
    <n v="15300"/>
    <n v="37"/>
    <n v="566100"/>
    <n v="0.03"/>
    <n v="16983"/>
    <n v="549117"/>
    <n v="5000"/>
    <n v="554117"/>
  </r>
  <r>
    <s v="6525-1"/>
    <d v="2020-03-24T00:00:00"/>
    <n v="2020"/>
    <s v="Wadi Siregar"/>
    <s v="Gg. M.H Thamrin No. 784"/>
    <s v="Jakarta"/>
    <x v="2"/>
    <s v="E1029"/>
    <s v="Laras Nuraini"/>
    <s v="Laras Nuraini"/>
    <s v="Low"/>
    <s v="DrawIt Pizazz Watercolor Pencils, 10-Color Set with Brush"/>
    <x v="0"/>
    <s v="Wrap Bag"/>
    <s v="Regular Air"/>
    <n v="43918"/>
    <n v="35850"/>
    <n v="63900"/>
    <n v="28050"/>
    <n v="44"/>
    <n v="1234200"/>
    <n v="0.01"/>
    <n v="12342"/>
    <n v="1221858"/>
    <n v="5000"/>
    <n v="1226858"/>
  </r>
  <r>
    <s v="6526-1"/>
    <d v="2020-03-24T00:00:00"/>
    <n v="2020"/>
    <s v="Ega Zulaika"/>
    <s v="Jl. Jamika No. 246"/>
    <s v="Surabaya"/>
    <x v="0"/>
    <s v="E1038"/>
    <s v="Clara Prasetyo"/>
    <s v="Clara Prasetyo"/>
    <s v="Not Specified"/>
    <s v="Office Shears by Apex"/>
    <x v="0"/>
    <s v="Small Pack"/>
    <s v="Regular Air"/>
    <n v="43916"/>
    <n v="14100"/>
    <n v="31200"/>
    <n v="17100"/>
    <n v="36"/>
    <n v="615600"/>
    <n v="0.1"/>
    <n v="61560"/>
    <n v="554040"/>
    <n v="10000"/>
    <n v="564040"/>
  </r>
  <r>
    <s v="6527-1"/>
    <d v="2020-03-24T00:00:00"/>
    <n v="2020"/>
    <s v="Gara Aryani"/>
    <s v="Gang R.E Martadinata No. 969"/>
    <s v="Surabaya"/>
    <x v="1"/>
    <s v="E1036"/>
    <s v="Kenari Rajasa"/>
    <s v="Kenari Rajasa"/>
    <s v="Low"/>
    <s v="Smiths Gold Paper Clips"/>
    <x v="0"/>
    <s v="Wrap Bag"/>
    <s v="Regular Air"/>
    <n v="43919"/>
    <n v="27300"/>
    <n v="44700"/>
    <n v="17400"/>
    <n v="45"/>
    <n v="783000"/>
    <n v="0.05"/>
    <n v="39150"/>
    <n v="743850"/>
    <n v="5000"/>
    <n v="7488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999E96-008C-42B0-A5B5-1EC9528F373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E10" firstHeaderRow="1" firstDataRow="2" firstDataCol="1"/>
  <pivotFields count="3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Order Total" fld="2" baseField="0" baseItem="0" numFmtId="42"/>
  </dataFields>
  <chartFormats count="6">
    <chartFormat chart="2" format="4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tore Data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A7843A-2014-45A6-B1F4-51BB4EC4A91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F6" firstHeaderRow="1" firstDataRow="2" firstDataCol="1"/>
  <pivotFields count="26">
    <pivotField showAll="0"/>
    <pivotField numFmtId="14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numFmtId="164" showAll="0"/>
    <pivotField numFmtId="164" showAll="0"/>
    <pivotField numFmtId="164" showAll="0"/>
    <pivotField showAll="0"/>
    <pivotField numFmtId="164" showAll="0"/>
    <pivotField numFmtId="9" showAll="0"/>
    <pivotField numFmtId="164" showAll="0"/>
    <pivotField dataField="1" numFmtId="164" showAll="0"/>
    <pivotField numFmtId="164" showAll="0"/>
    <pivotField numFmtId="164" showAl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Sum of Order Total" fld="23" baseField="0" baseItem="0" numFmtId="42"/>
  </dataFields>
  <formats count="1">
    <format dxfId="0">
      <pivotArea outline="0" collapsedLevelsAreSubtotals="1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438080-7153-4C7B-929B-570BCBD3B922}" name="Table1" displayName="Table1" ref="A3:Z1003" totalsRowShown="0" headerRowDxfId="41" dataDxfId="40">
  <autoFilter ref="A3:Z1003" xr:uid="{2D438080-7153-4C7B-929B-570BCBD3B922}"/>
  <tableColumns count="26">
    <tableColumn id="1" xr3:uid="{BE206899-6559-45A9-9CEF-2C0E9B60E5B5}" name="Order No" dataDxfId="39"/>
    <tableColumn id="2" xr3:uid="{304A1085-319A-4928-891F-96F658D9EBA4}" name="Order Date" dataDxfId="38"/>
    <tableColumn id="3" xr3:uid="{5C25D3F6-D1EA-4736-AA8A-61B36BC7FCD1}" name="Order Year" dataDxfId="37">
      <calculatedColumnFormula>YEAR(Table1[[#This Row],[Order Date]])</calculatedColumnFormula>
    </tableColumn>
    <tableColumn id="4" xr3:uid="{E5DE778A-B9A2-4321-B9DD-11835C32C76B}" name="Customer Name" dataDxfId="36"/>
    <tableColumn id="5" xr3:uid="{8BDA53D0-64F8-4C9E-86E4-CF8DEA6CFC20}" name="Address" dataDxfId="35"/>
    <tableColumn id="6" xr3:uid="{D6A39625-609E-4A14-903D-CCB4C711587A}" name="City" dataDxfId="34"/>
    <tableColumn id="7" xr3:uid="{F5E2B369-6B43-43FD-A7F4-F6C6AA81B5CD}" name="Customer Type" dataDxfId="33"/>
    <tableColumn id="8" xr3:uid="{A1343D23-BA95-4F6B-857B-B16E000C76E7}" name="Account Manager ID" dataDxfId="32"/>
    <tableColumn id="25" xr3:uid="{19EC9425-ED4E-465A-B933-8C7B48CFFDD9}" name="AM Name" dataDxfId="31">
      <calculatedColumnFormula>VLOOKUP(Table1[[#This Row],[Account Manager ID]],Table2[[Employee ID]:[Full Name]],4,FALSE)</calculatedColumnFormula>
    </tableColumn>
    <tableColumn id="26" xr3:uid="{57B7C417-3465-44F3-8D0B-8176B59939F9}" name="index-match" dataDxfId="30">
      <calculatedColumnFormula>INDEX(Employee!$D$4:$D$47,MATCH($H$4:$H$1003,Employee!$A$4:$A$47,0))</calculatedColumnFormula>
    </tableColumn>
    <tableColumn id="9" xr3:uid="{EA2381BE-EDA6-4777-976D-58E5E409B033}" name="Order Priority" dataDxfId="29"/>
    <tableColumn id="10" xr3:uid="{689FB3AD-10D1-4F83-90CE-09D9941E5739}" name="Product Name" dataDxfId="28"/>
    <tableColumn id="11" xr3:uid="{6BEC8D70-0C86-4F3A-B6A3-8A82B8B017B9}" name="Product Category" dataDxfId="27"/>
    <tableColumn id="12" xr3:uid="{E7073659-2B0D-40A5-AB9F-DECDECA4C9EE}" name="Product Container" dataDxfId="26"/>
    <tableColumn id="13" xr3:uid="{B28B283B-5A4D-4ECA-872B-8C7421FCB2AA}" name="Ship Mode" dataDxfId="25"/>
    <tableColumn id="14" xr3:uid="{70DBCDFB-D798-4061-9B6C-DA9A46A98986}" name="Ship Date" dataDxfId="24"/>
    <tableColumn id="15" xr3:uid="{BC4B4F8A-35F9-4C19-8181-CAFE7152EF7B}" name="Cost Price" dataDxfId="23"/>
    <tableColumn id="16" xr3:uid="{3ABCB14D-51C7-48F2-89BB-4983E89A1C4F}" name="Retail Price" dataDxfId="22"/>
    <tableColumn id="17" xr3:uid="{4F46B1FC-B57C-4CDD-B400-F11ABF1A5FA2}" name="Profit Margin" dataDxfId="21">
      <calculatedColumnFormula>Table1[[#This Row],[Retail Price]]-Table1[[#This Row],[Cost Price]]</calculatedColumnFormula>
    </tableColumn>
    <tableColumn id="18" xr3:uid="{C6CF1BCA-C6C4-4234-ADA9-30D26E616EA3}" name="Order Quantity" dataDxfId="20"/>
    <tableColumn id="19" xr3:uid="{9AC044C5-9A9E-4751-95EF-02B8BBD8FF06}" name="Sub Total" dataDxfId="19">
      <calculatedColumnFormula>Table1[[#This Row],[Profit Margin]]*Table1[[#This Row],[Order Quantity]]</calculatedColumnFormula>
    </tableColumn>
    <tableColumn id="20" xr3:uid="{CC408CD3-53C0-442E-BFF3-89C03ACBB7DD}" name="Discount %" dataDxfId="18"/>
    <tableColumn id="21" xr3:uid="{BB7FE16E-FAAA-4C86-A5AE-8411318D18D0}" name="Discount Rp" dataDxfId="17">
      <calculatedColumnFormula>V4*U4</calculatedColumnFormula>
    </tableColumn>
    <tableColumn id="22" xr3:uid="{4E337692-4EC8-4A3D-9F23-3AB0ECFC547A}" name="Order Total" dataDxfId="16">
      <calculatedColumnFormula>Table1[[#This Row],[Sub Total]]-Table1[[#This Row],[Discount Rp]]</calculatedColumnFormula>
    </tableColumn>
    <tableColumn id="23" xr3:uid="{4A7A4DB2-5A9C-42B7-A489-56DCD1216532}" name="Shipping Cost" dataDxfId="15">
      <calculatedColumnFormula>OFFSET(Helper!$C$3,MATCH(Data!$N$4:$N$1003,Helper!$C$4:$C$9,0),MATCH(Data!$O$4:$O$1003,Helper!$D$3:$F$3,0))</calculatedColumnFormula>
    </tableColumn>
    <tableColumn id="24" xr3:uid="{03FFB78E-AD15-4B4E-B8C5-14104BDDE550}" name="Total" dataDxfId="14">
      <calculatedColumnFormula>Table1[[#This Row],[Order Total]]+Table1[[#This Row],[Shipping Cost]]</calculatedColumnFormula>
    </tableColumn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6F2D56-8FF1-4E8B-850A-B52524D0136B}" name="Table2" displayName="Table2" ref="A3:N47" totalsRowShown="0" headerRowDxfId="13">
  <autoFilter ref="A3:N47" xr:uid="{F26F2D56-8FF1-4E8B-850A-B52524D0136B}"/>
  <tableColumns count="14">
    <tableColumn id="1" xr3:uid="{AE35CD6E-568D-42CB-B83E-63DE87ACA2DB}" name="Employee ID" dataDxfId="12"/>
    <tableColumn id="2" xr3:uid="{0F449993-B0F5-42C8-B518-33F00ECAD73C}" name="First" dataDxfId="11"/>
    <tableColumn id="3" xr3:uid="{890E6A8A-28AA-42BA-9E1E-7654A1AFED43}" name="Last" dataDxfId="10"/>
    <tableColumn id="4" xr3:uid="{B0B9BA93-313B-40BF-957A-92FFEA04AD54}" name="Full Name" dataDxfId="9">
      <calculatedColumnFormula>CONCATENATE(B4," ",C4)</calculatedColumnFormula>
    </tableColumn>
    <tableColumn id="5" xr3:uid="{1D5471EF-B1C7-4C7B-9EDE-F737E56AC18D}" name="Email" dataDxfId="8">
      <calculatedColumnFormula>LOWER(CONCATENATE(Table2[[#This Row],[First]],".",Table2[[#This Row],[Last]],"_","e@myskill.co.id"))</calculatedColumnFormula>
    </tableColumn>
    <tableColumn id="6" xr3:uid="{37708A0F-EF3B-4564-8E0C-4C683A8E2FA9}" name="Date of Birth" dataDxfId="7"/>
    <tableColumn id="7" xr3:uid="{34A4A24D-792B-444C-84CA-49E965CA1922}" name="Age" dataDxfId="6">
      <calculatedColumnFormula>YEARFRAC(Table2[[#This Row],[Date of Birth]],$N$1)</calculatedColumnFormula>
    </tableColumn>
    <tableColumn id="8" xr3:uid="{4283D282-7F16-44FC-97F2-6A8DD29DF703}" name="Date of Hire"/>
    <tableColumn id="9" xr3:uid="{BC3AB98A-29D2-4C24-A2DC-7D33DB3A9C5B}" name="Years of Service"/>
    <tableColumn id="10" xr3:uid="{4F4C5010-AAC3-40DB-9C68-8CDA6EC0F0DE}" name="Department" dataDxfId="5"/>
    <tableColumn id="11" xr3:uid="{FD846B23-8661-4DD7-AA04-6D72129C85E2}" name="Location" dataDxfId="4"/>
    <tableColumn id="12" xr3:uid="{C2E8AD34-2EF9-4093-9AD0-84BB834D8017}" name="Floor" dataDxfId="3">
      <calculatedColumnFormula>MID(Table2[[#This Row],[Location]],FIND(" ",Table2[[#This Row],[Location]])+1, FIND("-",Table2[[#This Row],[Location]])-FIND(" ",Table2[[#This Row],[Location]])-1)</calculatedColumnFormula>
    </tableColumn>
    <tableColumn id="13" xr3:uid="{DD9C8ACB-82E6-4432-8E5A-98680277711B}" name="City" dataDxfId="2">
      <calculatedColumnFormula>LEFT(Table2[[#This Row],[Location]],FIND(" ",Table2[[#This Row],[Location]])-1)</calculatedColumnFormula>
    </tableColumn>
    <tableColumn id="14" xr3:uid="{70B8FB38-7B3C-4492-B5DC-CA669CAE1F15}" name="Call" dataDxfId="1">
      <calculatedColumnFormula>RIGHT(Table2[[#This Row],[Location]],3)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raina.aryani_e@myskill.co.i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4140625" defaultRowHeight="15" customHeight="1" x14ac:dyDescent="0.3"/>
  <cols>
    <col min="1" max="1" width="18.88671875" customWidth="1"/>
    <col min="2" max="2" width="30.88671875" customWidth="1"/>
    <col min="3" max="26" width="8.6640625" customWidth="1"/>
  </cols>
  <sheetData>
    <row r="1" spans="1:2" ht="14.4" x14ac:dyDescent="0.3">
      <c r="A1" s="1" t="s">
        <v>0</v>
      </c>
      <c r="B1" s="2" t="s">
        <v>1</v>
      </c>
    </row>
    <row r="2" spans="1:2" ht="14.4" x14ac:dyDescent="0.3">
      <c r="A2" s="3" t="s">
        <v>2</v>
      </c>
      <c r="B2" s="4" t="s">
        <v>3</v>
      </c>
    </row>
    <row r="3" spans="1:2" ht="14.4" x14ac:dyDescent="0.3">
      <c r="A3" s="3" t="s">
        <v>4</v>
      </c>
      <c r="B3" s="4" t="s">
        <v>5</v>
      </c>
    </row>
    <row r="4" spans="1:2" ht="14.4" x14ac:dyDescent="0.3">
      <c r="A4" s="3" t="s">
        <v>6</v>
      </c>
      <c r="B4" s="4" t="s">
        <v>7</v>
      </c>
    </row>
    <row r="5" spans="1:2" ht="14.4" x14ac:dyDescent="0.3">
      <c r="A5" s="3" t="s">
        <v>8</v>
      </c>
      <c r="B5" s="4" t="s">
        <v>9</v>
      </c>
    </row>
    <row r="6" spans="1:2" ht="14.4" x14ac:dyDescent="0.3">
      <c r="A6" s="3" t="s">
        <v>10</v>
      </c>
      <c r="B6" s="4" t="s">
        <v>11</v>
      </c>
    </row>
    <row r="7" spans="1:2" ht="14.4" x14ac:dyDescent="0.3">
      <c r="A7" s="3" t="s">
        <v>12</v>
      </c>
      <c r="B7" s="4" t="s">
        <v>13</v>
      </c>
    </row>
    <row r="8" spans="1:2" ht="14.4" x14ac:dyDescent="0.3">
      <c r="A8" s="3" t="s">
        <v>14</v>
      </c>
      <c r="B8" s="4" t="s">
        <v>15</v>
      </c>
    </row>
    <row r="9" spans="1:2" ht="14.4" x14ac:dyDescent="0.3">
      <c r="A9" s="3" t="s">
        <v>16</v>
      </c>
      <c r="B9" s="4" t="s">
        <v>17</v>
      </c>
    </row>
    <row r="10" spans="1:2" ht="14.4" x14ac:dyDescent="0.3">
      <c r="A10" s="3" t="s">
        <v>18</v>
      </c>
      <c r="B10" s="4" t="s">
        <v>19</v>
      </c>
    </row>
    <row r="11" spans="1:2" ht="14.4" x14ac:dyDescent="0.3">
      <c r="A11" s="3" t="s">
        <v>20</v>
      </c>
      <c r="B11" s="4" t="s">
        <v>21</v>
      </c>
    </row>
    <row r="12" spans="1:2" ht="14.4" x14ac:dyDescent="0.3">
      <c r="A12" s="3" t="s">
        <v>22</v>
      </c>
      <c r="B12" s="4" t="s">
        <v>23</v>
      </c>
    </row>
    <row r="13" spans="1:2" ht="14.4" x14ac:dyDescent="0.3">
      <c r="A13" s="3" t="s">
        <v>24</v>
      </c>
      <c r="B13" s="4" t="s">
        <v>25</v>
      </c>
    </row>
    <row r="14" spans="1:2" ht="14.4" x14ac:dyDescent="0.3">
      <c r="A14" s="3" t="s">
        <v>26</v>
      </c>
      <c r="B14" s="4" t="s">
        <v>27</v>
      </c>
    </row>
    <row r="15" spans="1:2" ht="14.4" x14ac:dyDescent="0.3">
      <c r="A15" s="3" t="s">
        <v>28</v>
      </c>
      <c r="B15" s="4" t="s">
        <v>29</v>
      </c>
    </row>
    <row r="16" spans="1:2" ht="14.4" x14ac:dyDescent="0.3">
      <c r="A16" s="3" t="s">
        <v>30</v>
      </c>
      <c r="B16" s="4" t="s">
        <v>31</v>
      </c>
    </row>
    <row r="17" spans="1:2" ht="14.4" x14ac:dyDescent="0.3">
      <c r="A17" s="3" t="s">
        <v>32</v>
      </c>
      <c r="B17" s="4" t="s">
        <v>33</v>
      </c>
    </row>
    <row r="18" spans="1:2" ht="14.4" x14ac:dyDescent="0.3">
      <c r="A18" s="3" t="s">
        <v>34</v>
      </c>
      <c r="B18" s="4" t="s">
        <v>35</v>
      </c>
    </row>
    <row r="19" spans="1:2" ht="14.4" x14ac:dyDescent="0.3">
      <c r="A19" s="3" t="s">
        <v>36</v>
      </c>
      <c r="B19" s="4" t="s">
        <v>37</v>
      </c>
    </row>
    <row r="20" spans="1:2" ht="14.4" x14ac:dyDescent="0.3">
      <c r="A20" s="3" t="s">
        <v>38</v>
      </c>
      <c r="B20" s="4" t="s">
        <v>39</v>
      </c>
    </row>
    <row r="21" spans="1:2" ht="15.75" customHeight="1" x14ac:dyDescent="0.3">
      <c r="A21" s="3" t="s">
        <v>40</v>
      </c>
      <c r="B21" s="4" t="s">
        <v>41</v>
      </c>
    </row>
    <row r="22" spans="1:2" ht="15.75" customHeight="1" x14ac:dyDescent="0.3">
      <c r="A22" s="3" t="s">
        <v>42</v>
      </c>
      <c r="B22" s="4" t="s">
        <v>43</v>
      </c>
    </row>
    <row r="23" spans="1:2" ht="15.75" customHeight="1" x14ac:dyDescent="0.3">
      <c r="A23" s="3" t="s">
        <v>44</v>
      </c>
      <c r="B23" s="4" t="s">
        <v>45</v>
      </c>
    </row>
    <row r="24" spans="1:2" ht="15.75" customHeight="1" x14ac:dyDescent="0.3">
      <c r="A24" s="3" t="s">
        <v>46</v>
      </c>
      <c r="B24" s="4" t="s">
        <v>47</v>
      </c>
    </row>
    <row r="25" spans="1:2" ht="15.75" customHeight="1" x14ac:dyDescent="0.3">
      <c r="A25" s="5" t="s">
        <v>48</v>
      </c>
      <c r="B25" s="6" t="s">
        <v>49</v>
      </c>
    </row>
    <row r="26" spans="1:2" ht="15.75" customHeight="1" x14ac:dyDescent="0.3"/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42"/>
  <sheetViews>
    <sheetView topLeftCell="G1" workbookViewId="0">
      <selection activeCell="P19" sqref="P19"/>
    </sheetView>
  </sheetViews>
  <sheetFormatPr defaultColWidth="14.44140625" defaultRowHeight="15" customHeight="1" x14ac:dyDescent="0.3"/>
  <cols>
    <col min="1" max="1" width="10.44140625" customWidth="1"/>
    <col min="2" max="2" width="11.88671875" style="19" customWidth="1"/>
    <col min="3" max="3" width="11.6640625" customWidth="1"/>
    <col min="4" max="4" width="19.109375" bestFit="1" customWidth="1"/>
    <col min="5" max="5" width="29.109375" bestFit="1" customWidth="1"/>
    <col min="6" max="6" width="8.44140625" bestFit="1" customWidth="1"/>
    <col min="7" max="7" width="15.109375" customWidth="1"/>
    <col min="8" max="8" width="19.44140625" customWidth="1"/>
    <col min="9" max="9" width="19.77734375" bestFit="1" customWidth="1"/>
    <col min="10" max="10" width="14.5546875" bestFit="1" customWidth="1"/>
    <col min="11" max="11" width="17" customWidth="1"/>
    <col min="12" max="12" width="18.6640625" bestFit="1" customWidth="1"/>
    <col min="13" max="13" width="18" bestFit="1" customWidth="1"/>
    <col min="14" max="14" width="18.6640625" bestFit="1" customWidth="1"/>
    <col min="15" max="16" width="15.109375" style="13" bestFit="1" customWidth="1"/>
    <col min="17" max="17" width="15.77734375" style="13" bestFit="1" customWidth="1"/>
    <col min="18" max="18" width="15" customWidth="1"/>
    <col min="19" max="19" width="14.6640625" style="13" bestFit="1" customWidth="1"/>
    <col min="20" max="20" width="14.6640625" bestFit="1" customWidth="1"/>
    <col min="21" max="21" width="14.5546875" style="13" bestFit="1" customWidth="1"/>
    <col min="22" max="22" width="14" style="13" bestFit="1" customWidth="1"/>
    <col min="23" max="23" width="16.109375" style="13" bestFit="1" customWidth="1"/>
    <col min="24" max="24" width="14.6640625" style="13" bestFit="1" customWidth="1"/>
    <col min="25" max="25" width="16.109375" bestFit="1" customWidth="1"/>
    <col min="26" max="26" width="14.6640625" bestFit="1" customWidth="1"/>
  </cols>
  <sheetData>
    <row r="1" spans="1:26" ht="25.8" x14ac:dyDescent="0.5">
      <c r="A1" s="7" t="s">
        <v>50</v>
      </c>
      <c r="B1" s="17"/>
      <c r="N1" s="8"/>
      <c r="O1" s="16"/>
      <c r="P1" s="16"/>
    </row>
    <row r="2" spans="1:26" ht="14.4" x14ac:dyDescent="0.3">
      <c r="B2" s="17"/>
      <c r="N2" s="8"/>
      <c r="O2" s="16"/>
      <c r="P2" s="16"/>
    </row>
    <row r="3" spans="1:26" ht="14.4" x14ac:dyDescent="0.3">
      <c r="A3" s="9" t="s">
        <v>2</v>
      </c>
      <c r="B3" s="17" t="s">
        <v>4</v>
      </c>
      <c r="C3" s="9" t="s">
        <v>6</v>
      </c>
      <c r="D3" s="9" t="s">
        <v>8</v>
      </c>
      <c r="E3" s="9" t="s">
        <v>10</v>
      </c>
      <c r="F3" s="9" t="s">
        <v>12</v>
      </c>
      <c r="G3" s="9" t="s">
        <v>14</v>
      </c>
      <c r="H3" s="9" t="s">
        <v>16</v>
      </c>
      <c r="I3" s="9" t="s">
        <v>2102</v>
      </c>
      <c r="J3" s="9" t="s">
        <v>2103</v>
      </c>
      <c r="K3" s="9" t="s">
        <v>18</v>
      </c>
      <c r="L3" s="9" t="s">
        <v>20</v>
      </c>
      <c r="M3" s="9" t="s">
        <v>22</v>
      </c>
      <c r="N3" s="9" t="s">
        <v>24</v>
      </c>
      <c r="O3" s="9" t="s">
        <v>26</v>
      </c>
      <c r="P3" s="8" t="s">
        <v>28</v>
      </c>
      <c r="Q3" s="16" t="s">
        <v>30</v>
      </c>
      <c r="R3" s="16" t="s">
        <v>32</v>
      </c>
      <c r="S3" s="14" t="s">
        <v>34</v>
      </c>
      <c r="T3" s="9" t="s">
        <v>36</v>
      </c>
      <c r="U3" s="14" t="s">
        <v>38</v>
      </c>
      <c r="V3" s="9" t="s">
        <v>40</v>
      </c>
      <c r="W3" s="14" t="s">
        <v>42</v>
      </c>
      <c r="X3" s="14" t="s">
        <v>44</v>
      </c>
      <c r="Y3" s="14" t="s">
        <v>46</v>
      </c>
      <c r="Z3" s="14" t="s">
        <v>48</v>
      </c>
    </row>
    <row r="4" spans="1:26" ht="14.4" x14ac:dyDescent="0.3">
      <c r="A4" s="9" t="s">
        <v>51</v>
      </c>
      <c r="B4" s="18">
        <v>42516</v>
      </c>
      <c r="C4" s="10">
        <f>YEAR(Table1[[#This Row],[Order Date]])</f>
        <v>2016</v>
      </c>
      <c r="D4" s="10" t="s">
        <v>52</v>
      </c>
      <c r="E4" s="10" t="s">
        <v>53</v>
      </c>
      <c r="F4" s="10" t="s">
        <v>54</v>
      </c>
      <c r="G4" s="10" t="s">
        <v>55</v>
      </c>
      <c r="H4" s="10" t="s">
        <v>56</v>
      </c>
      <c r="I4" s="10" t="str">
        <f>VLOOKUP(Table1[[#This Row],[Account Manager ID]],Table2[[Employee ID]:[Full Name]],4,FALSE)</f>
        <v>Gaduh Pratama</v>
      </c>
      <c r="J4" s="10" t="str">
        <f>INDEX(Employee!$D$4:$D$47,MATCH($H$4:$H$1003,Employee!$A$4:$A$47,0))</f>
        <v>Gaduh Pratama</v>
      </c>
      <c r="K4" s="10" t="s">
        <v>57</v>
      </c>
      <c r="L4" s="10" t="s">
        <v>58</v>
      </c>
      <c r="M4" s="10" t="s">
        <v>59</v>
      </c>
      <c r="N4" s="10" t="s">
        <v>60</v>
      </c>
      <c r="O4" s="10" t="s">
        <v>61</v>
      </c>
      <c r="P4" s="10">
        <v>42517</v>
      </c>
      <c r="Q4" s="15">
        <v>52800</v>
      </c>
      <c r="R4" s="15">
        <v>83700</v>
      </c>
      <c r="S4" s="15">
        <f>Table1[[#This Row],[Retail Price]]-Table1[[#This Row],[Cost Price]]</f>
        <v>30900</v>
      </c>
      <c r="T4" s="10">
        <v>29</v>
      </c>
      <c r="U4" s="15">
        <f>Table1[[#This Row],[Profit Margin]]*Table1[[#This Row],[Order Quantity]]</f>
        <v>896100</v>
      </c>
      <c r="V4" s="11">
        <v>0.03</v>
      </c>
      <c r="W4" s="15">
        <f t="shared" ref="W4:W67" si="0">V4*U4</f>
        <v>26883</v>
      </c>
      <c r="X4" s="15">
        <f>Table1[[#This Row],[Sub Total]]-Table1[[#This Row],[Discount Rp]]</f>
        <v>869217</v>
      </c>
      <c r="Y4" s="15">
        <f ca="1">OFFSET(Helper!$C$3,MATCH(Data!$N$4:$N$1003,Helper!$C$4:$C$9,0),MATCH(Data!$O$4:$O$1003,Helper!$D$3:$F$3,0))</f>
        <v>15000</v>
      </c>
      <c r="Z4" s="16">
        <f ca="1">Table1[[#This Row],[Order Total]]+Table1[[#This Row],[Shipping Cost]]</f>
        <v>884217</v>
      </c>
    </row>
    <row r="5" spans="1:26" ht="14.4" x14ac:dyDescent="0.3">
      <c r="A5" s="9" t="s">
        <v>62</v>
      </c>
      <c r="B5" s="18">
        <v>42516</v>
      </c>
      <c r="C5" s="10">
        <f>YEAR(Table1[[#This Row],[Order Date]])</f>
        <v>2016</v>
      </c>
      <c r="D5" s="10" t="s">
        <v>63</v>
      </c>
      <c r="E5" s="10" t="s">
        <v>64</v>
      </c>
      <c r="F5" s="10" t="s">
        <v>54</v>
      </c>
      <c r="G5" s="10" t="s">
        <v>55</v>
      </c>
      <c r="H5" s="10" t="s">
        <v>65</v>
      </c>
      <c r="I5" s="10" t="str">
        <f>VLOOKUP(Table1[[#This Row],[Account Manager ID]],Table2[[Employee ID]:[Full Name]],4,FALSE)</f>
        <v>Laras Nuraini</v>
      </c>
      <c r="J5" s="10" t="str">
        <f>INDEX(Employee!$D$4:$D$47,MATCH($H$4:$H$1003,Employee!$A$4:$A$47,0))</f>
        <v>Laras Nuraini</v>
      </c>
      <c r="K5" s="10" t="s">
        <v>57</v>
      </c>
      <c r="L5" s="10" t="s">
        <v>66</v>
      </c>
      <c r="M5" s="10" t="s">
        <v>59</v>
      </c>
      <c r="N5" s="10" t="s">
        <v>67</v>
      </c>
      <c r="O5" s="10" t="s">
        <v>61</v>
      </c>
      <c r="P5" s="10">
        <v>42517</v>
      </c>
      <c r="Q5" s="15">
        <v>35850</v>
      </c>
      <c r="R5" s="15">
        <v>63900</v>
      </c>
      <c r="S5" s="15">
        <f>Table1[[#This Row],[Retail Price]]-Table1[[#This Row],[Cost Price]]</f>
        <v>28050</v>
      </c>
      <c r="T5" s="10">
        <v>29</v>
      </c>
      <c r="U5" s="15">
        <f>Table1[[#This Row],[Profit Margin]]*Table1[[#This Row],[Order Quantity]]</f>
        <v>813450</v>
      </c>
      <c r="V5" s="11">
        <v>0.03</v>
      </c>
      <c r="W5" s="15">
        <f t="shared" si="0"/>
        <v>24403.5</v>
      </c>
      <c r="X5" s="15">
        <f>Table1[[#This Row],[Sub Total]]-Table1[[#This Row],[Discount Rp]]</f>
        <v>789046.5</v>
      </c>
      <c r="Y5" s="15">
        <f ca="1">OFFSET(Helper!$C$3,MATCH(Data!$N$4:$N$1003,Helper!$C$4:$C$9,0),MATCH(Data!$O$4:$O$1003,Helper!$D$3:$F$3,0))</f>
        <v>5000</v>
      </c>
      <c r="Z5" s="16">
        <f ca="1">Table1[[#This Row],[Order Total]]+Table1[[#This Row],[Shipping Cost]]</f>
        <v>794046.5</v>
      </c>
    </row>
    <row r="6" spans="1:26" ht="14.4" x14ac:dyDescent="0.3">
      <c r="A6" s="9" t="s">
        <v>68</v>
      </c>
      <c r="B6" s="18">
        <v>42517</v>
      </c>
      <c r="C6" s="10">
        <f>YEAR(Table1[[#This Row],[Order Date]])</f>
        <v>2016</v>
      </c>
      <c r="D6" s="10" t="s">
        <v>69</v>
      </c>
      <c r="E6" s="10" t="s">
        <v>70</v>
      </c>
      <c r="F6" s="10" t="s">
        <v>71</v>
      </c>
      <c r="G6" s="10" t="s">
        <v>72</v>
      </c>
      <c r="H6" s="10" t="s">
        <v>73</v>
      </c>
      <c r="I6" s="10" t="str">
        <f>VLOOKUP(Table1[[#This Row],[Account Manager ID]],Table2[[Employee ID]:[Full Name]],4,FALSE)</f>
        <v>Cinthia Gunawan</v>
      </c>
      <c r="J6" s="10" t="str">
        <f>INDEX(Employee!$D$4:$D$47,MATCH($H$4:$H$1003,Employee!$A$4:$A$47,0))</f>
        <v>Cinthia Gunawan</v>
      </c>
      <c r="K6" s="10" t="s">
        <v>74</v>
      </c>
      <c r="L6" s="10" t="s">
        <v>75</v>
      </c>
      <c r="M6" s="10" t="s">
        <v>59</v>
      </c>
      <c r="N6" s="10" t="s">
        <v>67</v>
      </c>
      <c r="O6" s="10" t="s">
        <v>76</v>
      </c>
      <c r="P6" s="10">
        <v>42519</v>
      </c>
      <c r="Q6" s="15">
        <v>36150</v>
      </c>
      <c r="R6" s="15">
        <v>55650</v>
      </c>
      <c r="S6" s="15">
        <f>Table1[[#This Row],[Retail Price]]-Table1[[#This Row],[Cost Price]]</f>
        <v>19500</v>
      </c>
      <c r="T6" s="10">
        <v>42</v>
      </c>
      <c r="U6" s="15">
        <f>Table1[[#This Row],[Profit Margin]]*Table1[[#This Row],[Order Quantity]]</f>
        <v>819000</v>
      </c>
      <c r="V6" s="11">
        <v>7.0000000000000007E-2</v>
      </c>
      <c r="W6" s="15">
        <f t="shared" si="0"/>
        <v>57330.000000000007</v>
      </c>
      <c r="X6" s="15">
        <f>Table1[[#This Row],[Sub Total]]-Table1[[#This Row],[Discount Rp]]</f>
        <v>761670</v>
      </c>
      <c r="Y6" s="15">
        <f ca="1">OFFSET(Helper!$C$3,MATCH(Data!$N$4:$N$1003,Helper!$C$4:$C$9,0),MATCH(Data!$O$4:$O$1003,Helper!$D$3:$F$3,0))</f>
        <v>10000</v>
      </c>
      <c r="Z6" s="16">
        <f ca="1">Table1[[#This Row],[Order Total]]+Table1[[#This Row],[Shipping Cost]]</f>
        <v>771670</v>
      </c>
    </row>
    <row r="7" spans="1:26" ht="14.4" x14ac:dyDescent="0.3">
      <c r="A7" s="9" t="s">
        <v>77</v>
      </c>
      <c r="B7" s="18">
        <v>42518</v>
      </c>
      <c r="C7" s="10">
        <f>YEAR(Table1[[#This Row],[Order Date]])</f>
        <v>2016</v>
      </c>
      <c r="D7" s="10" t="s">
        <v>78</v>
      </c>
      <c r="E7" s="10" t="s">
        <v>79</v>
      </c>
      <c r="F7" s="10" t="s">
        <v>54</v>
      </c>
      <c r="G7" s="10" t="s">
        <v>55</v>
      </c>
      <c r="H7" s="10" t="s">
        <v>56</v>
      </c>
      <c r="I7" s="10" t="str">
        <f>VLOOKUP(Table1[[#This Row],[Account Manager ID]],Table2[[Employee ID]:[Full Name]],4,FALSE)</f>
        <v>Gaduh Pratama</v>
      </c>
      <c r="J7" s="10" t="str">
        <f>INDEX(Employee!$D$4:$D$47,MATCH($H$4:$H$1003,Employee!$A$4:$A$47,0))</f>
        <v>Gaduh Pratama</v>
      </c>
      <c r="K7" s="10" t="s">
        <v>57</v>
      </c>
      <c r="L7" s="10" t="s">
        <v>80</v>
      </c>
      <c r="M7" s="10" t="s">
        <v>81</v>
      </c>
      <c r="N7" s="10" t="s">
        <v>82</v>
      </c>
      <c r="O7" s="10" t="s">
        <v>83</v>
      </c>
      <c r="P7" s="10">
        <v>42520</v>
      </c>
      <c r="Q7" s="15">
        <v>1125000</v>
      </c>
      <c r="R7" s="15">
        <v>1814550</v>
      </c>
      <c r="S7" s="15">
        <f>Table1[[#This Row],[Retail Price]]-Table1[[#This Row],[Cost Price]]</f>
        <v>689550</v>
      </c>
      <c r="T7" s="10">
        <v>6</v>
      </c>
      <c r="U7" s="15">
        <f>Table1[[#This Row],[Profit Margin]]*Table1[[#This Row],[Order Quantity]]</f>
        <v>4137300</v>
      </c>
      <c r="V7" s="11">
        <v>0.08</v>
      </c>
      <c r="W7" s="15">
        <f t="shared" si="0"/>
        <v>330984</v>
      </c>
      <c r="X7" s="15">
        <f>Table1[[#This Row],[Sub Total]]-Table1[[#This Row],[Discount Rp]]</f>
        <v>3806316</v>
      </c>
      <c r="Y7" s="15">
        <f ca="1">OFFSET(Helper!$C$3,MATCH(Data!$N$4:$N$1003,Helper!$C$4:$C$9,0),MATCH(Data!$O$4:$O$1003,Helper!$D$3:$F$3,0))</f>
        <v>500000</v>
      </c>
      <c r="Z7" s="16">
        <f ca="1">Table1[[#This Row],[Order Total]]+Table1[[#This Row],[Shipping Cost]]</f>
        <v>4306316</v>
      </c>
    </row>
    <row r="8" spans="1:26" ht="14.4" x14ac:dyDescent="0.3">
      <c r="A8" s="9" t="s">
        <v>84</v>
      </c>
      <c r="B8" s="18">
        <v>42519</v>
      </c>
      <c r="C8" s="10">
        <f>YEAR(Table1[[#This Row],[Order Date]])</f>
        <v>2016</v>
      </c>
      <c r="D8" s="10" t="s">
        <v>85</v>
      </c>
      <c r="E8" s="10" t="s">
        <v>86</v>
      </c>
      <c r="F8" s="10" t="s">
        <v>71</v>
      </c>
      <c r="G8" s="10" t="s">
        <v>87</v>
      </c>
      <c r="H8" s="10" t="s">
        <v>88</v>
      </c>
      <c r="I8" s="10" t="str">
        <f>VLOOKUP(Table1[[#This Row],[Account Manager ID]],Table2[[Employee ID]:[Full Name]],4,FALSE)</f>
        <v>Bagiya Sihombing</v>
      </c>
      <c r="J8" s="10" t="str">
        <f>INDEX(Employee!$D$4:$D$47,MATCH($H$4:$H$1003,Employee!$A$4:$A$47,0))</f>
        <v>Bagiya Sihombing</v>
      </c>
      <c r="K8" s="10" t="s">
        <v>74</v>
      </c>
      <c r="L8" s="10" t="s">
        <v>89</v>
      </c>
      <c r="M8" s="10" t="s">
        <v>59</v>
      </c>
      <c r="N8" s="10" t="s">
        <v>67</v>
      </c>
      <c r="O8" s="10" t="s">
        <v>61</v>
      </c>
      <c r="P8" s="10">
        <v>42520</v>
      </c>
      <c r="Q8" s="15">
        <v>13500</v>
      </c>
      <c r="R8" s="15">
        <v>31500</v>
      </c>
      <c r="S8" s="15">
        <f>Table1[[#This Row],[Retail Price]]-Table1[[#This Row],[Cost Price]]</f>
        <v>18000</v>
      </c>
      <c r="T8" s="10">
        <v>17</v>
      </c>
      <c r="U8" s="15">
        <f>Table1[[#This Row],[Profit Margin]]*Table1[[#This Row],[Order Quantity]]</f>
        <v>306000</v>
      </c>
      <c r="V8" s="11">
        <v>0.03</v>
      </c>
      <c r="W8" s="15">
        <f t="shared" si="0"/>
        <v>9180</v>
      </c>
      <c r="X8" s="15">
        <f>Table1[[#This Row],[Sub Total]]-Table1[[#This Row],[Discount Rp]]</f>
        <v>296820</v>
      </c>
      <c r="Y8" s="15">
        <f ca="1">OFFSET(Helper!$C$3,MATCH(Data!$N$4:$N$1003,Helper!$C$4:$C$9,0),MATCH(Data!$O$4:$O$1003,Helper!$D$3:$F$3,0))</f>
        <v>5000</v>
      </c>
      <c r="Z8" s="16">
        <f ca="1">Table1[[#This Row],[Order Total]]+Table1[[#This Row],[Shipping Cost]]</f>
        <v>301820</v>
      </c>
    </row>
    <row r="9" spans="1:26" ht="14.4" x14ac:dyDescent="0.3">
      <c r="A9" s="9" t="s">
        <v>90</v>
      </c>
      <c r="B9" s="18">
        <v>42522</v>
      </c>
      <c r="C9" s="10">
        <f>YEAR(Table1[[#This Row],[Order Date]])</f>
        <v>2016</v>
      </c>
      <c r="D9" s="10" t="s">
        <v>91</v>
      </c>
      <c r="E9" s="10" t="s">
        <v>79</v>
      </c>
      <c r="F9" s="10" t="s">
        <v>54</v>
      </c>
      <c r="G9" s="10" t="s">
        <v>55</v>
      </c>
      <c r="H9" s="10" t="s">
        <v>56</v>
      </c>
      <c r="I9" s="10" t="str">
        <f>VLOOKUP(Table1[[#This Row],[Account Manager ID]],Table2[[Employee ID]:[Full Name]],4,FALSE)</f>
        <v>Gaduh Pratama</v>
      </c>
      <c r="J9" s="10" t="str">
        <f>INDEX(Employee!$D$4:$D$47,MATCH($H$4:$H$1003,Employee!$A$4:$A$47,0))</f>
        <v>Gaduh Pratama</v>
      </c>
      <c r="K9" s="10" t="s">
        <v>92</v>
      </c>
      <c r="L9" s="10" t="s">
        <v>93</v>
      </c>
      <c r="M9" s="10" t="s">
        <v>59</v>
      </c>
      <c r="N9" s="10" t="s">
        <v>67</v>
      </c>
      <c r="O9" s="10" t="s">
        <v>61</v>
      </c>
      <c r="P9" s="10">
        <v>42527</v>
      </c>
      <c r="Q9" s="15">
        <v>16350.000000000002</v>
      </c>
      <c r="R9" s="15">
        <v>39000</v>
      </c>
      <c r="S9" s="15">
        <f>Table1[[#This Row],[Retail Price]]-Table1[[#This Row],[Cost Price]]</f>
        <v>22650</v>
      </c>
      <c r="T9" s="10">
        <v>47</v>
      </c>
      <c r="U9" s="15">
        <f>Table1[[#This Row],[Profit Margin]]*Table1[[#This Row],[Order Quantity]]</f>
        <v>1064550</v>
      </c>
      <c r="V9" s="11">
        <v>0.1</v>
      </c>
      <c r="W9" s="15">
        <f t="shared" si="0"/>
        <v>106455</v>
      </c>
      <c r="X9" s="15">
        <f>Table1[[#This Row],[Sub Total]]-Table1[[#This Row],[Discount Rp]]</f>
        <v>958095</v>
      </c>
      <c r="Y9" s="15">
        <f ca="1">OFFSET(Helper!$C$3,MATCH(Data!$N$4:$N$1003,Helper!$C$4:$C$9,0),MATCH(Data!$O$4:$O$1003,Helper!$D$3:$F$3,0))</f>
        <v>5000</v>
      </c>
      <c r="Z9" s="16">
        <f ca="1">Table1[[#This Row],[Order Total]]+Table1[[#This Row],[Shipping Cost]]</f>
        <v>963095</v>
      </c>
    </row>
    <row r="10" spans="1:26" ht="14.4" x14ac:dyDescent="0.3">
      <c r="A10" s="9" t="s">
        <v>94</v>
      </c>
      <c r="B10" s="18">
        <v>42523</v>
      </c>
      <c r="C10" s="10">
        <f>YEAR(Table1[[#This Row],[Order Date]])</f>
        <v>2016</v>
      </c>
      <c r="D10" s="10" t="s">
        <v>95</v>
      </c>
      <c r="E10" s="10" t="s">
        <v>96</v>
      </c>
      <c r="F10" s="10" t="s">
        <v>71</v>
      </c>
      <c r="G10" s="10" t="s">
        <v>72</v>
      </c>
      <c r="H10" s="10" t="s">
        <v>97</v>
      </c>
      <c r="I10" s="10" t="str">
        <f>VLOOKUP(Table1[[#This Row],[Account Manager ID]],Table2[[Employee ID]:[Full Name]],4,FALSE)</f>
        <v>Violet Mentari</v>
      </c>
      <c r="J10" s="10" t="str">
        <f>INDEX(Employee!$D$4:$D$47,MATCH($H$4:$H$1003,Employee!$A$4:$A$47,0))</f>
        <v>Violet Mentari</v>
      </c>
      <c r="K10" s="10" t="s">
        <v>74</v>
      </c>
      <c r="L10" s="10" t="s">
        <v>98</v>
      </c>
      <c r="M10" s="10" t="s">
        <v>59</v>
      </c>
      <c r="N10" s="10" t="s">
        <v>60</v>
      </c>
      <c r="O10" s="10" t="s">
        <v>61</v>
      </c>
      <c r="P10" s="10">
        <v>42525</v>
      </c>
      <c r="Q10" s="15">
        <v>1490850</v>
      </c>
      <c r="R10" s="15">
        <v>2443950</v>
      </c>
      <c r="S10" s="15">
        <f>Table1[[#This Row],[Retail Price]]-Table1[[#This Row],[Cost Price]]</f>
        <v>953100</v>
      </c>
      <c r="T10" s="10">
        <v>32</v>
      </c>
      <c r="U10" s="15">
        <f>Table1[[#This Row],[Profit Margin]]*Table1[[#This Row],[Order Quantity]]</f>
        <v>30499200</v>
      </c>
      <c r="V10" s="11">
        <v>0.09</v>
      </c>
      <c r="W10" s="15">
        <f t="shared" si="0"/>
        <v>2744928</v>
      </c>
      <c r="X10" s="15">
        <f>Table1[[#This Row],[Sub Total]]-Table1[[#This Row],[Discount Rp]]</f>
        <v>27754272</v>
      </c>
      <c r="Y10" s="15">
        <f ca="1">OFFSET(Helper!$C$3,MATCH(Data!$N$4:$N$1003,Helper!$C$4:$C$9,0),MATCH(Data!$O$4:$O$1003,Helper!$D$3:$F$3,0))</f>
        <v>15000</v>
      </c>
      <c r="Z10" s="16">
        <f ca="1">Table1[[#This Row],[Order Total]]+Table1[[#This Row],[Shipping Cost]]</f>
        <v>27769272</v>
      </c>
    </row>
    <row r="11" spans="1:26" ht="14.4" x14ac:dyDescent="0.3">
      <c r="A11" s="9" t="s">
        <v>99</v>
      </c>
      <c r="B11" s="18">
        <v>42525</v>
      </c>
      <c r="C11" s="10">
        <f>YEAR(Table1[[#This Row],[Order Date]])</f>
        <v>2016</v>
      </c>
      <c r="D11" s="10" t="s">
        <v>100</v>
      </c>
      <c r="E11" s="10" t="s">
        <v>101</v>
      </c>
      <c r="F11" s="10" t="s">
        <v>71</v>
      </c>
      <c r="G11" s="10" t="s">
        <v>87</v>
      </c>
      <c r="H11" s="10" t="s">
        <v>97</v>
      </c>
      <c r="I11" s="10" t="str">
        <f>VLOOKUP(Table1[[#This Row],[Account Manager ID]],Table2[[Employee ID]:[Full Name]],4,FALSE)</f>
        <v>Violet Mentari</v>
      </c>
      <c r="J11" s="10" t="str">
        <f>INDEX(Employee!$D$4:$D$47,MATCH($H$4:$H$1003,Employee!$A$4:$A$47,0))</f>
        <v>Violet Mentari</v>
      </c>
      <c r="K11" s="10" t="s">
        <v>74</v>
      </c>
      <c r="L11" s="10" t="s">
        <v>102</v>
      </c>
      <c r="M11" s="10" t="s">
        <v>59</v>
      </c>
      <c r="N11" s="10" t="s">
        <v>67</v>
      </c>
      <c r="O11" s="10" t="s">
        <v>61</v>
      </c>
      <c r="P11" s="10">
        <v>42527</v>
      </c>
      <c r="Q11" s="15">
        <v>16350.000000000002</v>
      </c>
      <c r="R11" s="15">
        <v>25200</v>
      </c>
      <c r="S11" s="15">
        <f>Table1[[#This Row],[Retail Price]]-Table1[[#This Row],[Cost Price]]</f>
        <v>8849.9999999999982</v>
      </c>
      <c r="T11" s="10">
        <v>33</v>
      </c>
      <c r="U11" s="15">
        <f>Table1[[#This Row],[Profit Margin]]*Table1[[#This Row],[Order Quantity]]</f>
        <v>292049.99999999994</v>
      </c>
      <c r="V11" s="11">
        <v>0.04</v>
      </c>
      <c r="W11" s="15">
        <f t="shared" si="0"/>
        <v>11681.999999999998</v>
      </c>
      <c r="X11" s="15">
        <f>Table1[[#This Row],[Sub Total]]-Table1[[#This Row],[Discount Rp]]</f>
        <v>280367.99999999994</v>
      </c>
      <c r="Y11" s="15">
        <f ca="1">OFFSET(Helper!$C$3,MATCH(Data!$N$4:$N$1003,Helper!$C$4:$C$9,0),MATCH(Data!$O$4:$O$1003,Helper!$D$3:$F$3,0))</f>
        <v>5000</v>
      </c>
      <c r="Z11" s="16">
        <f ca="1">Table1[[#This Row],[Order Total]]+Table1[[#This Row],[Shipping Cost]]</f>
        <v>285367.99999999994</v>
      </c>
    </row>
    <row r="12" spans="1:26" ht="14.4" x14ac:dyDescent="0.3">
      <c r="A12" s="9" t="s">
        <v>103</v>
      </c>
      <c r="B12" s="18">
        <v>42527</v>
      </c>
      <c r="C12" s="10">
        <f>YEAR(Table1[[#This Row],[Order Date]])</f>
        <v>2016</v>
      </c>
      <c r="D12" s="10" t="s">
        <v>104</v>
      </c>
      <c r="E12" s="10" t="s">
        <v>105</v>
      </c>
      <c r="F12" s="10" t="s">
        <v>71</v>
      </c>
      <c r="G12" s="10" t="s">
        <v>106</v>
      </c>
      <c r="H12" s="10" t="s">
        <v>73</v>
      </c>
      <c r="I12" s="10" t="str">
        <f>VLOOKUP(Table1[[#This Row],[Account Manager ID]],Table2[[Employee ID]:[Full Name]],4,FALSE)</f>
        <v>Cinthia Gunawan</v>
      </c>
      <c r="J12" s="10" t="str">
        <f>INDEX(Employee!$D$4:$D$47,MATCH($H$4:$H$1003,Employee!$A$4:$A$47,0))</f>
        <v>Cinthia Gunawan</v>
      </c>
      <c r="K12" s="10" t="s">
        <v>107</v>
      </c>
      <c r="L12" s="10" t="s">
        <v>108</v>
      </c>
      <c r="M12" s="10" t="s">
        <v>59</v>
      </c>
      <c r="N12" s="10" t="s">
        <v>60</v>
      </c>
      <c r="O12" s="10" t="s">
        <v>61</v>
      </c>
      <c r="P12" s="10">
        <v>42528</v>
      </c>
      <c r="Q12" s="15">
        <v>814350</v>
      </c>
      <c r="R12" s="15">
        <v>1357200</v>
      </c>
      <c r="S12" s="15">
        <f>Table1[[#This Row],[Retail Price]]-Table1[[#This Row],[Cost Price]]</f>
        <v>542850</v>
      </c>
      <c r="T12" s="10">
        <v>8</v>
      </c>
      <c r="U12" s="15">
        <f>Table1[[#This Row],[Profit Margin]]*Table1[[#This Row],[Order Quantity]]</f>
        <v>4342800</v>
      </c>
      <c r="V12" s="11">
        <v>7.0000000000000007E-2</v>
      </c>
      <c r="W12" s="15">
        <f t="shared" si="0"/>
        <v>303996</v>
      </c>
      <c r="X12" s="15">
        <f>Table1[[#This Row],[Sub Total]]-Table1[[#This Row],[Discount Rp]]</f>
        <v>4038804</v>
      </c>
      <c r="Y12" s="15">
        <f ca="1">OFFSET(Helper!$C$3,MATCH(Data!$N$4:$N$1003,Helper!$C$4:$C$9,0),MATCH(Data!$O$4:$O$1003,Helper!$D$3:$F$3,0))</f>
        <v>15000</v>
      </c>
      <c r="Z12" s="16">
        <f ca="1">Table1[[#This Row],[Order Total]]+Table1[[#This Row],[Shipping Cost]]</f>
        <v>4053804</v>
      </c>
    </row>
    <row r="13" spans="1:26" ht="14.4" x14ac:dyDescent="0.3">
      <c r="A13" s="9" t="s">
        <v>109</v>
      </c>
      <c r="B13" s="18">
        <v>42528</v>
      </c>
      <c r="C13" s="10">
        <f>YEAR(Table1[[#This Row],[Order Date]])</f>
        <v>2016</v>
      </c>
      <c r="D13" s="10" t="s">
        <v>110</v>
      </c>
      <c r="E13" s="10" t="s">
        <v>111</v>
      </c>
      <c r="F13" s="10" t="s">
        <v>71</v>
      </c>
      <c r="G13" s="10" t="s">
        <v>72</v>
      </c>
      <c r="H13" s="10" t="s">
        <v>112</v>
      </c>
      <c r="I13" s="10" t="str">
        <f>VLOOKUP(Table1[[#This Row],[Account Manager ID]],Table2[[Employee ID]:[Full Name]],4,FALSE)</f>
        <v>Paiman Firgantoro</v>
      </c>
      <c r="J13" s="10" t="str">
        <f>INDEX(Employee!$D$4:$D$47,MATCH($H$4:$H$1003,Employee!$A$4:$A$47,0))</f>
        <v>Paiman Firgantoro</v>
      </c>
      <c r="K13" s="10" t="s">
        <v>107</v>
      </c>
      <c r="L13" s="10" t="s">
        <v>113</v>
      </c>
      <c r="M13" s="10" t="s">
        <v>59</v>
      </c>
      <c r="N13" s="10" t="s">
        <v>60</v>
      </c>
      <c r="O13" s="10" t="s">
        <v>61</v>
      </c>
      <c r="P13" s="10">
        <v>42528</v>
      </c>
      <c r="Q13" s="15">
        <v>79950</v>
      </c>
      <c r="R13" s="15">
        <v>129000</v>
      </c>
      <c r="S13" s="15">
        <f>Table1[[#This Row],[Retail Price]]-Table1[[#This Row],[Cost Price]]</f>
        <v>49050</v>
      </c>
      <c r="T13" s="10">
        <v>48</v>
      </c>
      <c r="U13" s="15">
        <f>Table1[[#This Row],[Profit Margin]]*Table1[[#This Row],[Order Quantity]]</f>
        <v>2354400</v>
      </c>
      <c r="V13" s="11">
        <v>0</v>
      </c>
      <c r="W13" s="15">
        <f t="shared" si="0"/>
        <v>0</v>
      </c>
      <c r="X13" s="15">
        <f>Table1[[#This Row],[Sub Total]]-Table1[[#This Row],[Discount Rp]]</f>
        <v>2354400</v>
      </c>
      <c r="Y13" s="15">
        <f ca="1">OFFSET(Helper!$C$3,MATCH(Data!$N$4:$N$1003,Helper!$C$4:$C$9,0),MATCH(Data!$O$4:$O$1003,Helper!$D$3:$F$3,0))</f>
        <v>15000</v>
      </c>
      <c r="Z13" s="16">
        <f ca="1">Table1[[#This Row],[Order Total]]+Table1[[#This Row],[Shipping Cost]]</f>
        <v>2369400</v>
      </c>
    </row>
    <row r="14" spans="1:26" ht="14.4" x14ac:dyDescent="0.3">
      <c r="A14" s="9" t="s">
        <v>114</v>
      </c>
      <c r="B14" s="18">
        <v>42530</v>
      </c>
      <c r="C14" s="10">
        <f>YEAR(Table1[[#This Row],[Order Date]])</f>
        <v>2016</v>
      </c>
      <c r="D14" s="10" t="s">
        <v>115</v>
      </c>
      <c r="E14" s="10" t="s">
        <v>116</v>
      </c>
      <c r="F14" s="10" t="s">
        <v>54</v>
      </c>
      <c r="G14" s="10" t="s">
        <v>72</v>
      </c>
      <c r="H14" s="10" t="s">
        <v>65</v>
      </c>
      <c r="I14" s="10" t="str">
        <f>VLOOKUP(Table1[[#This Row],[Account Manager ID]],Table2[[Employee ID]:[Full Name]],4,FALSE)</f>
        <v>Laras Nuraini</v>
      </c>
      <c r="J14" s="10" t="str">
        <f>INDEX(Employee!$D$4:$D$47,MATCH($H$4:$H$1003,Employee!$A$4:$A$47,0))</f>
        <v>Laras Nuraini</v>
      </c>
      <c r="K14" s="10" t="s">
        <v>117</v>
      </c>
      <c r="L14" s="10" t="s">
        <v>118</v>
      </c>
      <c r="M14" s="10" t="s">
        <v>59</v>
      </c>
      <c r="N14" s="10" t="s">
        <v>60</v>
      </c>
      <c r="O14" s="10" t="s">
        <v>61</v>
      </c>
      <c r="P14" s="10">
        <v>42532</v>
      </c>
      <c r="Q14" s="15">
        <v>73350</v>
      </c>
      <c r="R14" s="15">
        <v>114600</v>
      </c>
      <c r="S14" s="15">
        <f>Table1[[#This Row],[Retail Price]]-Table1[[#This Row],[Cost Price]]</f>
        <v>41250</v>
      </c>
      <c r="T14" s="10">
        <v>18</v>
      </c>
      <c r="U14" s="15">
        <f>Table1[[#This Row],[Profit Margin]]*Table1[[#This Row],[Order Quantity]]</f>
        <v>742500</v>
      </c>
      <c r="V14" s="11">
        <v>0.1</v>
      </c>
      <c r="W14" s="15">
        <f t="shared" si="0"/>
        <v>74250</v>
      </c>
      <c r="X14" s="15">
        <f>Table1[[#This Row],[Sub Total]]-Table1[[#This Row],[Discount Rp]]</f>
        <v>668250</v>
      </c>
      <c r="Y14" s="15">
        <f ca="1">OFFSET(Helper!$C$3,MATCH(Data!$N$4:$N$1003,Helper!$C$4:$C$9,0),MATCH(Data!$O$4:$O$1003,Helper!$D$3:$F$3,0))</f>
        <v>15000</v>
      </c>
      <c r="Z14" s="16">
        <f ca="1">Table1[[#This Row],[Order Total]]+Table1[[#This Row],[Shipping Cost]]</f>
        <v>683250</v>
      </c>
    </row>
    <row r="15" spans="1:26" ht="14.4" x14ac:dyDescent="0.3">
      <c r="A15" s="9" t="s">
        <v>119</v>
      </c>
      <c r="B15" s="18">
        <v>42530</v>
      </c>
      <c r="C15" s="10">
        <f>YEAR(Table1[[#This Row],[Order Date]])</f>
        <v>2016</v>
      </c>
      <c r="D15" s="10" t="s">
        <v>120</v>
      </c>
      <c r="E15" s="10" t="s">
        <v>121</v>
      </c>
      <c r="F15" s="10" t="s">
        <v>71</v>
      </c>
      <c r="G15" s="10" t="s">
        <v>72</v>
      </c>
      <c r="H15" s="10" t="s">
        <v>122</v>
      </c>
      <c r="I15" s="10" t="str">
        <f>VLOOKUP(Table1[[#This Row],[Account Manager ID]],Table2[[Employee ID]:[Full Name]],4,FALSE)</f>
        <v>Ophelia Mustofa</v>
      </c>
      <c r="J15" s="10" t="str">
        <f>INDEX(Employee!$D$4:$D$47,MATCH($H$4:$H$1003,Employee!$A$4:$A$47,0))</f>
        <v>Ophelia Mustofa</v>
      </c>
      <c r="K15" s="10" t="s">
        <v>117</v>
      </c>
      <c r="L15" s="10" t="s">
        <v>108</v>
      </c>
      <c r="M15" s="10" t="s">
        <v>59</v>
      </c>
      <c r="N15" s="10" t="s">
        <v>60</v>
      </c>
      <c r="O15" s="10" t="s">
        <v>61</v>
      </c>
      <c r="P15" s="10">
        <v>42532</v>
      </c>
      <c r="Q15" s="15">
        <v>814350</v>
      </c>
      <c r="R15" s="15">
        <v>1357200</v>
      </c>
      <c r="S15" s="15">
        <f>Table1[[#This Row],[Retail Price]]-Table1[[#This Row],[Cost Price]]</f>
        <v>542850</v>
      </c>
      <c r="T15" s="10">
        <v>3</v>
      </c>
      <c r="U15" s="15">
        <f>Table1[[#This Row],[Profit Margin]]*Table1[[#This Row],[Order Quantity]]</f>
        <v>1628550</v>
      </c>
      <c r="V15" s="11">
        <v>0.03</v>
      </c>
      <c r="W15" s="15">
        <f t="shared" si="0"/>
        <v>48856.5</v>
      </c>
      <c r="X15" s="15">
        <f>Table1[[#This Row],[Sub Total]]-Table1[[#This Row],[Discount Rp]]</f>
        <v>1579693.5</v>
      </c>
      <c r="Y15" s="15">
        <f ca="1">OFFSET(Helper!$C$3,MATCH(Data!$N$4:$N$1003,Helper!$C$4:$C$9,0),MATCH(Data!$O$4:$O$1003,Helper!$D$3:$F$3,0))</f>
        <v>15000</v>
      </c>
      <c r="Z15" s="16">
        <f ca="1">Table1[[#This Row],[Order Total]]+Table1[[#This Row],[Shipping Cost]]</f>
        <v>1594693.5</v>
      </c>
    </row>
    <row r="16" spans="1:26" ht="14.4" x14ac:dyDescent="0.3">
      <c r="A16" s="9" t="s">
        <v>123</v>
      </c>
      <c r="B16" s="18">
        <v>42531</v>
      </c>
      <c r="C16" s="10">
        <f>YEAR(Table1[[#This Row],[Order Date]])</f>
        <v>2016</v>
      </c>
      <c r="D16" s="10" t="s">
        <v>124</v>
      </c>
      <c r="E16" s="10" t="s">
        <v>125</v>
      </c>
      <c r="F16" s="10" t="s">
        <v>71</v>
      </c>
      <c r="G16" s="10" t="s">
        <v>72</v>
      </c>
      <c r="H16" s="10" t="s">
        <v>97</v>
      </c>
      <c r="I16" s="10" t="str">
        <f>VLOOKUP(Table1[[#This Row],[Account Manager ID]],Table2[[Employee ID]:[Full Name]],4,FALSE)</f>
        <v>Violet Mentari</v>
      </c>
      <c r="J16" s="10" t="str">
        <f>INDEX(Employee!$D$4:$D$47,MATCH($H$4:$H$1003,Employee!$A$4:$A$47,0))</f>
        <v>Violet Mentari</v>
      </c>
      <c r="K16" s="10" t="s">
        <v>57</v>
      </c>
      <c r="L16" s="10" t="s">
        <v>126</v>
      </c>
      <c r="M16" s="10" t="s">
        <v>59</v>
      </c>
      <c r="N16" s="10" t="s">
        <v>60</v>
      </c>
      <c r="O16" s="10" t="s">
        <v>61</v>
      </c>
      <c r="P16" s="10">
        <v>42531</v>
      </c>
      <c r="Q16" s="15">
        <v>540300</v>
      </c>
      <c r="R16" s="15">
        <v>871500</v>
      </c>
      <c r="S16" s="15">
        <f>Table1[[#This Row],[Retail Price]]-Table1[[#This Row],[Cost Price]]</f>
        <v>331200</v>
      </c>
      <c r="T16" s="10">
        <v>50</v>
      </c>
      <c r="U16" s="15">
        <f>Table1[[#This Row],[Profit Margin]]*Table1[[#This Row],[Order Quantity]]</f>
        <v>16560000</v>
      </c>
      <c r="V16" s="11">
        <v>0.05</v>
      </c>
      <c r="W16" s="15">
        <f t="shared" si="0"/>
        <v>828000</v>
      </c>
      <c r="X16" s="15">
        <f>Table1[[#This Row],[Sub Total]]-Table1[[#This Row],[Discount Rp]]</f>
        <v>15732000</v>
      </c>
      <c r="Y16" s="15">
        <f ca="1">OFFSET(Helper!$C$3,MATCH(Data!$N$4:$N$1003,Helper!$C$4:$C$9,0),MATCH(Data!$O$4:$O$1003,Helper!$D$3:$F$3,0))</f>
        <v>15000</v>
      </c>
      <c r="Z16" s="16">
        <f ca="1">Table1[[#This Row],[Order Total]]+Table1[[#This Row],[Shipping Cost]]</f>
        <v>15747000</v>
      </c>
    </row>
    <row r="17" spans="1:26" ht="14.4" x14ac:dyDescent="0.3">
      <c r="A17" s="9" t="s">
        <v>127</v>
      </c>
      <c r="B17" s="18">
        <v>42540</v>
      </c>
      <c r="C17" s="10">
        <f>YEAR(Table1[[#This Row],[Order Date]])</f>
        <v>2016</v>
      </c>
      <c r="D17" s="10" t="s">
        <v>128</v>
      </c>
      <c r="E17" s="10" t="s">
        <v>129</v>
      </c>
      <c r="F17" s="10" t="s">
        <v>54</v>
      </c>
      <c r="G17" s="10" t="s">
        <v>72</v>
      </c>
      <c r="H17" s="10" t="s">
        <v>56</v>
      </c>
      <c r="I17" s="10" t="str">
        <f>VLOOKUP(Table1[[#This Row],[Account Manager ID]],Table2[[Employee ID]:[Full Name]],4,FALSE)</f>
        <v>Gaduh Pratama</v>
      </c>
      <c r="J17" s="10" t="str">
        <f>INDEX(Employee!$D$4:$D$47,MATCH($H$4:$H$1003,Employee!$A$4:$A$47,0))</f>
        <v>Gaduh Pratama</v>
      </c>
      <c r="K17" s="10" t="s">
        <v>74</v>
      </c>
      <c r="L17" s="10" t="s">
        <v>130</v>
      </c>
      <c r="M17" s="10" t="s">
        <v>59</v>
      </c>
      <c r="N17" s="10" t="s">
        <v>67</v>
      </c>
      <c r="O17" s="10" t="s">
        <v>61</v>
      </c>
      <c r="P17" s="10">
        <v>42543</v>
      </c>
      <c r="Q17" s="15">
        <v>10650</v>
      </c>
      <c r="R17" s="15">
        <v>17100</v>
      </c>
      <c r="S17" s="15">
        <f>Table1[[#This Row],[Retail Price]]-Table1[[#This Row],[Cost Price]]</f>
        <v>6450</v>
      </c>
      <c r="T17" s="10">
        <v>50</v>
      </c>
      <c r="U17" s="15">
        <f>Table1[[#This Row],[Profit Margin]]*Table1[[#This Row],[Order Quantity]]</f>
        <v>322500</v>
      </c>
      <c r="V17" s="11">
        <v>0.06</v>
      </c>
      <c r="W17" s="15">
        <f t="shared" si="0"/>
        <v>19350</v>
      </c>
      <c r="X17" s="15">
        <f>Table1[[#This Row],[Sub Total]]-Table1[[#This Row],[Discount Rp]]</f>
        <v>303150</v>
      </c>
      <c r="Y17" s="15">
        <f ca="1">OFFSET(Helper!$C$3,MATCH(Data!$N$4:$N$1003,Helper!$C$4:$C$9,0),MATCH(Data!$O$4:$O$1003,Helper!$D$3:$F$3,0))</f>
        <v>5000</v>
      </c>
      <c r="Z17" s="16">
        <f ca="1">Table1[[#This Row],[Order Total]]+Table1[[#This Row],[Shipping Cost]]</f>
        <v>308150</v>
      </c>
    </row>
    <row r="18" spans="1:26" ht="14.4" x14ac:dyDescent="0.3">
      <c r="A18" s="9" t="s">
        <v>131</v>
      </c>
      <c r="B18" s="18">
        <v>42544</v>
      </c>
      <c r="C18" s="10">
        <f>YEAR(Table1[[#This Row],[Order Date]])</f>
        <v>2016</v>
      </c>
      <c r="D18" s="10" t="s">
        <v>132</v>
      </c>
      <c r="E18" s="10" t="s">
        <v>133</v>
      </c>
      <c r="F18" s="10" t="s">
        <v>71</v>
      </c>
      <c r="G18" s="10" t="s">
        <v>55</v>
      </c>
      <c r="H18" s="10" t="s">
        <v>134</v>
      </c>
      <c r="I18" s="10" t="str">
        <f>VLOOKUP(Table1[[#This Row],[Account Manager ID]],Table2[[Employee ID]:[Full Name]],4,FALSE)</f>
        <v>Darmanto Laksita</v>
      </c>
      <c r="J18" s="10" t="str">
        <f>INDEX(Employee!$D$4:$D$47,MATCH($H$4:$H$1003,Employee!$A$4:$A$47,0))</f>
        <v>Darmanto Laksita</v>
      </c>
      <c r="K18" s="10" t="s">
        <v>74</v>
      </c>
      <c r="L18" s="10" t="s">
        <v>135</v>
      </c>
      <c r="M18" s="10" t="s">
        <v>59</v>
      </c>
      <c r="N18" s="10" t="s">
        <v>136</v>
      </c>
      <c r="O18" s="10" t="s">
        <v>61</v>
      </c>
      <c r="P18" s="10">
        <v>42546</v>
      </c>
      <c r="Q18" s="15">
        <v>51300</v>
      </c>
      <c r="R18" s="15">
        <v>125100</v>
      </c>
      <c r="S18" s="15">
        <f>Table1[[#This Row],[Retail Price]]-Table1[[#This Row],[Cost Price]]</f>
        <v>73800</v>
      </c>
      <c r="T18" s="10">
        <v>16</v>
      </c>
      <c r="U18" s="15">
        <f>Table1[[#This Row],[Profit Margin]]*Table1[[#This Row],[Order Quantity]]</f>
        <v>1180800</v>
      </c>
      <c r="V18" s="11">
        <v>0.03</v>
      </c>
      <c r="W18" s="15">
        <f t="shared" si="0"/>
        <v>35424</v>
      </c>
      <c r="X18" s="15">
        <f>Table1[[#This Row],[Sub Total]]-Table1[[#This Row],[Discount Rp]]</f>
        <v>1145376</v>
      </c>
      <c r="Y18" s="15">
        <f ca="1">OFFSET(Helper!$C$3,MATCH(Data!$N$4:$N$1003,Helper!$C$4:$C$9,0),MATCH(Data!$O$4:$O$1003,Helper!$D$3:$F$3,0))</f>
        <v>10000</v>
      </c>
      <c r="Z18" s="16">
        <f ca="1">Table1[[#This Row],[Order Total]]+Table1[[#This Row],[Shipping Cost]]</f>
        <v>1155376</v>
      </c>
    </row>
    <row r="19" spans="1:26" ht="14.4" x14ac:dyDescent="0.3">
      <c r="A19" s="9" t="s">
        <v>137</v>
      </c>
      <c r="B19" s="18">
        <v>42546</v>
      </c>
      <c r="C19" s="10">
        <f>YEAR(Table1[[#This Row],[Order Date]])</f>
        <v>2016</v>
      </c>
      <c r="D19" s="10" t="s">
        <v>138</v>
      </c>
      <c r="E19" s="10" t="s">
        <v>116</v>
      </c>
      <c r="F19" s="10" t="s">
        <v>54</v>
      </c>
      <c r="G19" s="10" t="s">
        <v>72</v>
      </c>
      <c r="H19" s="10" t="s">
        <v>65</v>
      </c>
      <c r="I19" s="10" t="str">
        <f>VLOOKUP(Table1[[#This Row],[Account Manager ID]],Table2[[Employee ID]:[Full Name]],4,FALSE)</f>
        <v>Laras Nuraini</v>
      </c>
      <c r="J19" s="10" t="str">
        <f>INDEX(Employee!$D$4:$D$47,MATCH($H$4:$H$1003,Employee!$A$4:$A$47,0))</f>
        <v>Laras Nuraini</v>
      </c>
      <c r="K19" s="10" t="s">
        <v>92</v>
      </c>
      <c r="L19" s="10" t="s">
        <v>130</v>
      </c>
      <c r="M19" s="10" t="s">
        <v>59</v>
      </c>
      <c r="N19" s="10" t="s">
        <v>67</v>
      </c>
      <c r="O19" s="10" t="s">
        <v>61</v>
      </c>
      <c r="P19" s="10">
        <v>42546</v>
      </c>
      <c r="Q19" s="15">
        <v>10650</v>
      </c>
      <c r="R19" s="15">
        <v>17100</v>
      </c>
      <c r="S19" s="15">
        <f>Table1[[#This Row],[Retail Price]]-Table1[[#This Row],[Cost Price]]</f>
        <v>6450</v>
      </c>
      <c r="T19" s="10">
        <v>38</v>
      </c>
      <c r="U19" s="15">
        <f>Table1[[#This Row],[Profit Margin]]*Table1[[#This Row],[Order Quantity]]</f>
        <v>245100</v>
      </c>
      <c r="V19" s="11">
        <v>0.02</v>
      </c>
      <c r="W19" s="15">
        <f t="shared" si="0"/>
        <v>4902</v>
      </c>
      <c r="X19" s="15">
        <f>Table1[[#This Row],[Sub Total]]-Table1[[#This Row],[Discount Rp]]</f>
        <v>240198</v>
      </c>
      <c r="Y19" s="15">
        <f ca="1">OFFSET(Helper!$C$3,MATCH(Data!$N$4:$N$1003,Helper!$C$4:$C$9,0),MATCH(Data!$O$4:$O$1003,Helper!$D$3:$F$3,0))</f>
        <v>5000</v>
      </c>
      <c r="Z19" s="16">
        <f ca="1">Table1[[#This Row],[Order Total]]+Table1[[#This Row],[Shipping Cost]]</f>
        <v>245198</v>
      </c>
    </row>
    <row r="20" spans="1:26" ht="14.4" x14ac:dyDescent="0.3">
      <c r="A20" s="9" t="s">
        <v>139</v>
      </c>
      <c r="B20" s="18">
        <v>42548</v>
      </c>
      <c r="C20" s="10">
        <f>YEAR(Table1[[#This Row],[Order Date]])</f>
        <v>2016</v>
      </c>
      <c r="D20" s="10" t="s">
        <v>140</v>
      </c>
      <c r="E20" s="10" t="s">
        <v>141</v>
      </c>
      <c r="F20" s="10" t="s">
        <v>71</v>
      </c>
      <c r="G20" s="10" t="s">
        <v>72</v>
      </c>
      <c r="H20" s="10" t="s">
        <v>112</v>
      </c>
      <c r="I20" s="10" t="str">
        <f>VLOOKUP(Table1[[#This Row],[Account Manager ID]],Table2[[Employee ID]:[Full Name]],4,FALSE)</f>
        <v>Paiman Firgantoro</v>
      </c>
      <c r="J20" s="10" t="str">
        <f>INDEX(Employee!$D$4:$D$47,MATCH($H$4:$H$1003,Employee!$A$4:$A$47,0))</f>
        <v>Paiman Firgantoro</v>
      </c>
      <c r="K20" s="10" t="s">
        <v>117</v>
      </c>
      <c r="L20" s="10" t="s">
        <v>142</v>
      </c>
      <c r="M20" s="10" t="s">
        <v>59</v>
      </c>
      <c r="N20" s="10" t="s">
        <v>60</v>
      </c>
      <c r="O20" s="10" t="s">
        <v>61</v>
      </c>
      <c r="P20" s="10">
        <v>42549</v>
      </c>
      <c r="Q20" s="15">
        <v>68850</v>
      </c>
      <c r="R20" s="15">
        <v>109200</v>
      </c>
      <c r="S20" s="15">
        <f>Table1[[#This Row],[Retail Price]]-Table1[[#This Row],[Cost Price]]</f>
        <v>40350</v>
      </c>
      <c r="T20" s="10">
        <v>22</v>
      </c>
      <c r="U20" s="15">
        <f>Table1[[#This Row],[Profit Margin]]*Table1[[#This Row],[Order Quantity]]</f>
        <v>887700</v>
      </c>
      <c r="V20" s="11">
        <v>0.01</v>
      </c>
      <c r="W20" s="15">
        <f t="shared" si="0"/>
        <v>8877</v>
      </c>
      <c r="X20" s="15">
        <f>Table1[[#This Row],[Sub Total]]-Table1[[#This Row],[Discount Rp]]</f>
        <v>878823</v>
      </c>
      <c r="Y20" s="15">
        <f ca="1">OFFSET(Helper!$C$3,MATCH(Data!$N$4:$N$1003,Helper!$C$4:$C$9,0),MATCH(Data!$O$4:$O$1003,Helper!$D$3:$F$3,0))</f>
        <v>15000</v>
      </c>
      <c r="Z20" s="16">
        <f ca="1">Table1[[#This Row],[Order Total]]+Table1[[#This Row],[Shipping Cost]]</f>
        <v>893823</v>
      </c>
    </row>
    <row r="21" spans="1:26" ht="15.75" customHeight="1" x14ac:dyDescent="0.3">
      <c r="A21" s="9" t="s">
        <v>143</v>
      </c>
      <c r="B21" s="18">
        <v>42549</v>
      </c>
      <c r="C21" s="10">
        <f>YEAR(Table1[[#This Row],[Order Date]])</f>
        <v>2016</v>
      </c>
      <c r="D21" s="10" t="s">
        <v>144</v>
      </c>
      <c r="E21" s="10" t="s">
        <v>145</v>
      </c>
      <c r="F21" s="10" t="s">
        <v>71</v>
      </c>
      <c r="G21" s="10" t="s">
        <v>106</v>
      </c>
      <c r="H21" s="10" t="s">
        <v>146</v>
      </c>
      <c r="I21" s="10" t="str">
        <f>VLOOKUP(Table1[[#This Row],[Account Manager ID]],Table2[[Employee ID]:[Full Name]],4,FALSE)</f>
        <v>Kenari Rajasa</v>
      </c>
      <c r="J21" s="10" t="str">
        <f>INDEX(Employee!$D$4:$D$47,MATCH($H$4:$H$1003,Employee!$A$4:$A$47,0))</f>
        <v>Kenari Rajasa</v>
      </c>
      <c r="K21" s="10" t="s">
        <v>92</v>
      </c>
      <c r="L21" s="10" t="s">
        <v>147</v>
      </c>
      <c r="M21" s="10" t="s">
        <v>59</v>
      </c>
      <c r="N21" s="10" t="s">
        <v>67</v>
      </c>
      <c r="O21" s="10" t="s">
        <v>61</v>
      </c>
      <c r="P21" s="10">
        <v>42553</v>
      </c>
      <c r="Q21" s="15">
        <v>19500</v>
      </c>
      <c r="R21" s="15">
        <v>43200</v>
      </c>
      <c r="S21" s="15">
        <f>Table1[[#This Row],[Retail Price]]-Table1[[#This Row],[Cost Price]]</f>
        <v>23700</v>
      </c>
      <c r="T21" s="10">
        <v>48</v>
      </c>
      <c r="U21" s="15">
        <f>Table1[[#This Row],[Profit Margin]]*Table1[[#This Row],[Order Quantity]]</f>
        <v>1137600</v>
      </c>
      <c r="V21" s="11">
        <v>7.0000000000000007E-2</v>
      </c>
      <c r="W21" s="15">
        <f t="shared" si="0"/>
        <v>79632.000000000015</v>
      </c>
      <c r="X21" s="15">
        <f>Table1[[#This Row],[Sub Total]]-Table1[[#This Row],[Discount Rp]]</f>
        <v>1057968</v>
      </c>
      <c r="Y21" s="15">
        <f ca="1">OFFSET(Helper!$C$3,MATCH(Data!$N$4:$N$1003,Helper!$C$4:$C$9,0),MATCH(Data!$O$4:$O$1003,Helper!$D$3:$F$3,0))</f>
        <v>5000</v>
      </c>
      <c r="Z21" s="16">
        <f ca="1">Table1[[#This Row],[Order Total]]+Table1[[#This Row],[Shipping Cost]]</f>
        <v>1062968</v>
      </c>
    </row>
    <row r="22" spans="1:26" ht="15.75" customHeight="1" x14ac:dyDescent="0.3">
      <c r="A22" s="9" t="s">
        <v>148</v>
      </c>
      <c r="B22" s="18">
        <v>42556</v>
      </c>
      <c r="C22" s="10">
        <f>YEAR(Table1[[#This Row],[Order Date]])</f>
        <v>2016</v>
      </c>
      <c r="D22" s="10" t="s">
        <v>149</v>
      </c>
      <c r="E22" s="10" t="s">
        <v>150</v>
      </c>
      <c r="F22" s="10" t="s">
        <v>71</v>
      </c>
      <c r="G22" s="10" t="s">
        <v>106</v>
      </c>
      <c r="H22" s="10" t="s">
        <v>88</v>
      </c>
      <c r="I22" s="10" t="str">
        <f>VLOOKUP(Table1[[#This Row],[Account Manager ID]],Table2[[Employee ID]:[Full Name]],4,FALSE)</f>
        <v>Bagiya Sihombing</v>
      </c>
      <c r="J22" s="10" t="str">
        <f>INDEX(Employee!$D$4:$D$47,MATCH($H$4:$H$1003,Employee!$A$4:$A$47,0))</f>
        <v>Bagiya Sihombing</v>
      </c>
      <c r="K22" s="10" t="s">
        <v>57</v>
      </c>
      <c r="L22" s="10" t="s">
        <v>151</v>
      </c>
      <c r="M22" s="10" t="s">
        <v>59</v>
      </c>
      <c r="N22" s="10" t="s">
        <v>67</v>
      </c>
      <c r="O22" s="10" t="s">
        <v>61</v>
      </c>
      <c r="P22" s="10">
        <v>42559</v>
      </c>
      <c r="Q22" s="15">
        <v>27300</v>
      </c>
      <c r="R22" s="15">
        <v>44700</v>
      </c>
      <c r="S22" s="15">
        <f>Table1[[#This Row],[Retail Price]]-Table1[[#This Row],[Cost Price]]</f>
        <v>17400</v>
      </c>
      <c r="T22" s="10">
        <v>22</v>
      </c>
      <c r="U22" s="15">
        <f>Table1[[#This Row],[Profit Margin]]*Table1[[#This Row],[Order Quantity]]</f>
        <v>382800</v>
      </c>
      <c r="V22" s="11">
        <v>0.04</v>
      </c>
      <c r="W22" s="15">
        <f t="shared" si="0"/>
        <v>15312</v>
      </c>
      <c r="X22" s="15">
        <f>Table1[[#This Row],[Sub Total]]-Table1[[#This Row],[Discount Rp]]</f>
        <v>367488</v>
      </c>
      <c r="Y22" s="15">
        <f ca="1">OFFSET(Helper!$C$3,MATCH(Data!$N$4:$N$1003,Helper!$C$4:$C$9,0),MATCH(Data!$O$4:$O$1003,Helper!$D$3:$F$3,0))</f>
        <v>5000</v>
      </c>
      <c r="Z22" s="16">
        <f ca="1">Table1[[#This Row],[Order Total]]+Table1[[#This Row],[Shipping Cost]]</f>
        <v>372488</v>
      </c>
    </row>
    <row r="23" spans="1:26" ht="15.75" customHeight="1" x14ac:dyDescent="0.3">
      <c r="A23" s="9" t="s">
        <v>152</v>
      </c>
      <c r="B23" s="18">
        <v>42559</v>
      </c>
      <c r="C23" s="10">
        <f>YEAR(Table1[[#This Row],[Order Date]])</f>
        <v>2016</v>
      </c>
      <c r="D23" s="10" t="s">
        <v>153</v>
      </c>
      <c r="E23" s="10" t="s">
        <v>154</v>
      </c>
      <c r="F23" s="10" t="s">
        <v>71</v>
      </c>
      <c r="G23" s="10" t="s">
        <v>87</v>
      </c>
      <c r="H23" s="10" t="s">
        <v>155</v>
      </c>
      <c r="I23" s="10" t="str">
        <f>VLOOKUP(Table1[[#This Row],[Account Manager ID]],Table2[[Employee ID]:[Full Name]],4,FALSE)</f>
        <v>Puti Nadine Prakasa</v>
      </c>
      <c r="J23" s="10" t="str">
        <f>INDEX(Employee!$D$4:$D$47,MATCH($H$4:$H$1003,Employee!$A$4:$A$47,0))</f>
        <v>Puti Nadine Prakasa</v>
      </c>
      <c r="K23" s="10" t="s">
        <v>107</v>
      </c>
      <c r="L23" s="10" t="s">
        <v>156</v>
      </c>
      <c r="M23" s="10" t="s">
        <v>81</v>
      </c>
      <c r="N23" s="10" t="s">
        <v>60</v>
      </c>
      <c r="O23" s="10" t="s">
        <v>61</v>
      </c>
      <c r="P23" s="10">
        <v>42561</v>
      </c>
      <c r="Q23" s="15">
        <v>1223850</v>
      </c>
      <c r="R23" s="15">
        <v>2399850</v>
      </c>
      <c r="S23" s="15">
        <f>Table1[[#This Row],[Retail Price]]-Table1[[#This Row],[Cost Price]]</f>
        <v>1176000</v>
      </c>
      <c r="T23" s="10">
        <v>30</v>
      </c>
      <c r="U23" s="15">
        <f>Table1[[#This Row],[Profit Margin]]*Table1[[#This Row],[Order Quantity]]</f>
        <v>35280000</v>
      </c>
      <c r="V23" s="11">
        <v>0.01</v>
      </c>
      <c r="W23" s="15">
        <f t="shared" si="0"/>
        <v>352800</v>
      </c>
      <c r="X23" s="15">
        <f>Table1[[#This Row],[Sub Total]]-Table1[[#This Row],[Discount Rp]]</f>
        <v>34927200</v>
      </c>
      <c r="Y23" s="15">
        <f ca="1">OFFSET(Helper!$C$3,MATCH(Data!$N$4:$N$1003,Helper!$C$4:$C$9,0),MATCH(Data!$O$4:$O$1003,Helper!$D$3:$F$3,0))</f>
        <v>15000</v>
      </c>
      <c r="Z23" s="16">
        <f ca="1">Table1[[#This Row],[Order Total]]+Table1[[#This Row],[Shipping Cost]]</f>
        <v>34942200</v>
      </c>
    </row>
    <row r="24" spans="1:26" ht="15.75" customHeight="1" x14ac:dyDescent="0.3">
      <c r="A24" s="9" t="s">
        <v>157</v>
      </c>
      <c r="B24" s="18">
        <v>42560</v>
      </c>
      <c r="C24" s="10">
        <f>YEAR(Table1[[#This Row],[Order Date]])</f>
        <v>2016</v>
      </c>
      <c r="D24" s="10" t="s">
        <v>158</v>
      </c>
      <c r="E24" s="10" t="s">
        <v>159</v>
      </c>
      <c r="F24" s="10" t="s">
        <v>71</v>
      </c>
      <c r="G24" s="10" t="s">
        <v>55</v>
      </c>
      <c r="H24" s="10" t="s">
        <v>122</v>
      </c>
      <c r="I24" s="10" t="str">
        <f>VLOOKUP(Table1[[#This Row],[Account Manager ID]],Table2[[Employee ID]:[Full Name]],4,FALSE)</f>
        <v>Ophelia Mustofa</v>
      </c>
      <c r="J24" s="10" t="str">
        <f>INDEX(Employee!$D$4:$D$47,MATCH($H$4:$H$1003,Employee!$A$4:$A$47,0))</f>
        <v>Ophelia Mustofa</v>
      </c>
      <c r="K24" s="10" t="s">
        <v>92</v>
      </c>
      <c r="L24" s="10" t="s">
        <v>113</v>
      </c>
      <c r="M24" s="10" t="s">
        <v>59</v>
      </c>
      <c r="N24" s="10" t="s">
        <v>60</v>
      </c>
      <c r="O24" s="10" t="s">
        <v>61</v>
      </c>
      <c r="P24" s="10">
        <v>42567</v>
      </c>
      <c r="Q24" s="15">
        <v>79950</v>
      </c>
      <c r="R24" s="15">
        <v>129000</v>
      </c>
      <c r="S24" s="15">
        <f>Table1[[#This Row],[Retail Price]]-Table1[[#This Row],[Cost Price]]</f>
        <v>49050</v>
      </c>
      <c r="T24" s="10">
        <v>37</v>
      </c>
      <c r="U24" s="15">
        <f>Table1[[#This Row],[Profit Margin]]*Table1[[#This Row],[Order Quantity]]</f>
        <v>1814850</v>
      </c>
      <c r="V24" s="11">
        <v>0.04</v>
      </c>
      <c r="W24" s="15">
        <f t="shared" si="0"/>
        <v>72594</v>
      </c>
      <c r="X24" s="15">
        <f>Table1[[#This Row],[Sub Total]]-Table1[[#This Row],[Discount Rp]]</f>
        <v>1742256</v>
      </c>
      <c r="Y24" s="15">
        <f ca="1">OFFSET(Helper!$C$3,MATCH(Data!$N$4:$N$1003,Helper!$C$4:$C$9,0),MATCH(Data!$O$4:$O$1003,Helper!$D$3:$F$3,0))</f>
        <v>15000</v>
      </c>
      <c r="Z24" s="16">
        <f ca="1">Table1[[#This Row],[Order Total]]+Table1[[#This Row],[Shipping Cost]]</f>
        <v>1757256</v>
      </c>
    </row>
    <row r="25" spans="1:26" ht="15.75" customHeight="1" x14ac:dyDescent="0.3">
      <c r="A25" s="9" t="s">
        <v>160</v>
      </c>
      <c r="B25" s="18">
        <v>42560</v>
      </c>
      <c r="C25" s="10">
        <f>YEAR(Table1[[#This Row],[Order Date]])</f>
        <v>2016</v>
      </c>
      <c r="D25" s="10" t="s">
        <v>161</v>
      </c>
      <c r="E25" s="10" t="s">
        <v>145</v>
      </c>
      <c r="F25" s="10" t="s">
        <v>71</v>
      </c>
      <c r="G25" s="10" t="s">
        <v>106</v>
      </c>
      <c r="H25" s="10" t="s">
        <v>146</v>
      </c>
      <c r="I25" s="10" t="str">
        <f>VLOOKUP(Table1[[#This Row],[Account Manager ID]],Table2[[Employee ID]:[Full Name]],4,FALSE)</f>
        <v>Kenari Rajasa</v>
      </c>
      <c r="J25" s="10" t="str">
        <f>INDEX(Employee!$D$4:$D$47,MATCH($H$4:$H$1003,Employee!$A$4:$A$47,0))</f>
        <v>Kenari Rajasa</v>
      </c>
      <c r="K25" s="10" t="s">
        <v>117</v>
      </c>
      <c r="L25" s="10" t="s">
        <v>162</v>
      </c>
      <c r="M25" s="10" t="s">
        <v>59</v>
      </c>
      <c r="N25" s="10" t="s">
        <v>60</v>
      </c>
      <c r="O25" s="10" t="s">
        <v>61</v>
      </c>
      <c r="P25" s="10">
        <v>42560</v>
      </c>
      <c r="Q25" s="15">
        <v>52800</v>
      </c>
      <c r="R25" s="15">
        <v>85200</v>
      </c>
      <c r="S25" s="15">
        <f>Table1[[#This Row],[Retail Price]]-Table1[[#This Row],[Cost Price]]</f>
        <v>32400</v>
      </c>
      <c r="T25" s="10">
        <v>24</v>
      </c>
      <c r="U25" s="15">
        <f>Table1[[#This Row],[Profit Margin]]*Table1[[#This Row],[Order Quantity]]</f>
        <v>777600</v>
      </c>
      <c r="V25" s="11">
        <v>0.06</v>
      </c>
      <c r="W25" s="15">
        <f t="shared" si="0"/>
        <v>46656</v>
      </c>
      <c r="X25" s="15">
        <f>Table1[[#This Row],[Sub Total]]-Table1[[#This Row],[Discount Rp]]</f>
        <v>730944</v>
      </c>
      <c r="Y25" s="15">
        <f ca="1">OFFSET(Helper!$C$3,MATCH(Data!$N$4:$N$1003,Helper!$C$4:$C$9,0),MATCH(Data!$O$4:$O$1003,Helper!$D$3:$F$3,0))</f>
        <v>15000</v>
      </c>
      <c r="Z25" s="16">
        <f ca="1">Table1[[#This Row],[Order Total]]+Table1[[#This Row],[Shipping Cost]]</f>
        <v>745944</v>
      </c>
    </row>
    <row r="26" spans="1:26" ht="15.75" customHeight="1" x14ac:dyDescent="0.3">
      <c r="A26" s="9" t="s">
        <v>163</v>
      </c>
      <c r="B26" s="18">
        <v>42563</v>
      </c>
      <c r="C26" s="10">
        <f>YEAR(Table1[[#This Row],[Order Date]])</f>
        <v>2016</v>
      </c>
      <c r="D26" s="10" t="s">
        <v>164</v>
      </c>
      <c r="E26" s="10" t="s">
        <v>165</v>
      </c>
      <c r="F26" s="10" t="s">
        <v>71</v>
      </c>
      <c r="G26" s="10" t="s">
        <v>72</v>
      </c>
      <c r="H26" s="10" t="s">
        <v>88</v>
      </c>
      <c r="I26" s="10" t="str">
        <f>VLOOKUP(Table1[[#This Row],[Account Manager ID]],Table2[[Employee ID]:[Full Name]],4,FALSE)</f>
        <v>Bagiya Sihombing</v>
      </c>
      <c r="J26" s="10" t="str">
        <f>INDEX(Employee!$D$4:$D$47,MATCH($H$4:$H$1003,Employee!$A$4:$A$47,0))</f>
        <v>Bagiya Sihombing</v>
      </c>
      <c r="K26" s="10" t="s">
        <v>107</v>
      </c>
      <c r="L26" s="10" t="s">
        <v>166</v>
      </c>
      <c r="M26" s="10" t="s">
        <v>59</v>
      </c>
      <c r="N26" s="10" t="s">
        <v>136</v>
      </c>
      <c r="O26" s="10" t="s">
        <v>61</v>
      </c>
      <c r="P26" s="10">
        <v>42564</v>
      </c>
      <c r="Q26" s="15">
        <v>14100</v>
      </c>
      <c r="R26" s="15">
        <v>31200</v>
      </c>
      <c r="S26" s="15">
        <f>Table1[[#This Row],[Retail Price]]-Table1[[#This Row],[Cost Price]]</f>
        <v>17100</v>
      </c>
      <c r="T26" s="10">
        <v>4</v>
      </c>
      <c r="U26" s="15">
        <f>Table1[[#This Row],[Profit Margin]]*Table1[[#This Row],[Order Quantity]]</f>
        <v>68400</v>
      </c>
      <c r="V26" s="11">
        <v>0.02</v>
      </c>
      <c r="W26" s="15">
        <f t="shared" si="0"/>
        <v>1368</v>
      </c>
      <c r="X26" s="15">
        <f>Table1[[#This Row],[Sub Total]]-Table1[[#This Row],[Discount Rp]]</f>
        <v>67032</v>
      </c>
      <c r="Y26" s="15">
        <f ca="1">OFFSET(Helper!$C$3,MATCH(Data!$N$4:$N$1003,Helper!$C$4:$C$9,0),MATCH(Data!$O$4:$O$1003,Helper!$D$3:$F$3,0))</f>
        <v>10000</v>
      </c>
      <c r="Z26" s="16">
        <f ca="1">Table1[[#This Row],[Order Total]]+Table1[[#This Row],[Shipping Cost]]</f>
        <v>77032</v>
      </c>
    </row>
    <row r="27" spans="1:26" ht="15.75" customHeight="1" x14ac:dyDescent="0.3">
      <c r="A27" s="9" t="s">
        <v>167</v>
      </c>
      <c r="B27" s="18">
        <v>42583</v>
      </c>
      <c r="C27" s="10">
        <f>YEAR(Table1[[#This Row],[Order Date]])</f>
        <v>2016</v>
      </c>
      <c r="D27" s="10" t="s">
        <v>168</v>
      </c>
      <c r="E27" s="10" t="s">
        <v>169</v>
      </c>
      <c r="F27" s="10" t="s">
        <v>54</v>
      </c>
      <c r="G27" s="10" t="s">
        <v>72</v>
      </c>
      <c r="H27" s="10" t="s">
        <v>65</v>
      </c>
      <c r="I27" s="10" t="str">
        <f>VLOOKUP(Table1[[#This Row],[Account Manager ID]],Table2[[Employee ID]:[Full Name]],4,FALSE)</f>
        <v>Laras Nuraini</v>
      </c>
      <c r="J27" s="10" t="str">
        <f>INDEX(Employee!$D$4:$D$47,MATCH($H$4:$H$1003,Employee!$A$4:$A$47,0))</f>
        <v>Laras Nuraini</v>
      </c>
      <c r="K27" s="10" t="s">
        <v>107</v>
      </c>
      <c r="L27" s="10" t="s">
        <v>113</v>
      </c>
      <c r="M27" s="10" t="s">
        <v>59</v>
      </c>
      <c r="N27" s="10" t="s">
        <v>60</v>
      </c>
      <c r="O27" s="10" t="s">
        <v>61</v>
      </c>
      <c r="P27" s="10">
        <v>42584</v>
      </c>
      <c r="Q27" s="15">
        <v>79950</v>
      </c>
      <c r="R27" s="15">
        <v>129000</v>
      </c>
      <c r="S27" s="15">
        <f>Table1[[#This Row],[Retail Price]]-Table1[[#This Row],[Cost Price]]</f>
        <v>49050</v>
      </c>
      <c r="T27" s="10">
        <v>36</v>
      </c>
      <c r="U27" s="15">
        <f>Table1[[#This Row],[Profit Margin]]*Table1[[#This Row],[Order Quantity]]</f>
        <v>1765800</v>
      </c>
      <c r="V27" s="11">
        <v>0.06</v>
      </c>
      <c r="W27" s="15">
        <f t="shared" si="0"/>
        <v>105948</v>
      </c>
      <c r="X27" s="15">
        <f>Table1[[#This Row],[Sub Total]]-Table1[[#This Row],[Discount Rp]]</f>
        <v>1659852</v>
      </c>
      <c r="Y27" s="15">
        <f ca="1">OFFSET(Helper!$C$3,MATCH(Data!$N$4:$N$1003,Helper!$C$4:$C$9,0),MATCH(Data!$O$4:$O$1003,Helper!$D$3:$F$3,0))</f>
        <v>15000</v>
      </c>
      <c r="Z27" s="16">
        <f ca="1">Table1[[#This Row],[Order Total]]+Table1[[#This Row],[Shipping Cost]]</f>
        <v>1674852</v>
      </c>
    </row>
    <row r="28" spans="1:26" ht="15.75" customHeight="1" x14ac:dyDescent="0.3">
      <c r="A28" s="9" t="s">
        <v>170</v>
      </c>
      <c r="B28" s="18">
        <v>42584</v>
      </c>
      <c r="C28" s="10">
        <f>YEAR(Table1[[#This Row],[Order Date]])</f>
        <v>2016</v>
      </c>
      <c r="D28" s="10" t="s">
        <v>171</v>
      </c>
      <c r="E28" s="10" t="s">
        <v>172</v>
      </c>
      <c r="F28" s="10" t="s">
        <v>54</v>
      </c>
      <c r="G28" s="10" t="s">
        <v>106</v>
      </c>
      <c r="H28" s="10" t="s">
        <v>65</v>
      </c>
      <c r="I28" s="10" t="str">
        <f>VLOOKUP(Table1[[#This Row],[Account Manager ID]],Table2[[Employee ID]:[Full Name]],4,FALSE)</f>
        <v>Laras Nuraini</v>
      </c>
      <c r="J28" s="10" t="str">
        <f>INDEX(Employee!$D$4:$D$47,MATCH($H$4:$H$1003,Employee!$A$4:$A$47,0))</f>
        <v>Laras Nuraini</v>
      </c>
      <c r="K28" s="10" t="s">
        <v>107</v>
      </c>
      <c r="L28" s="10" t="s">
        <v>173</v>
      </c>
      <c r="M28" s="10" t="s">
        <v>59</v>
      </c>
      <c r="N28" s="10" t="s">
        <v>67</v>
      </c>
      <c r="O28" s="10" t="s">
        <v>61</v>
      </c>
      <c r="P28" s="10">
        <v>42586</v>
      </c>
      <c r="Q28" s="15">
        <v>37800</v>
      </c>
      <c r="R28" s="15">
        <v>60000</v>
      </c>
      <c r="S28" s="15">
        <f>Table1[[#This Row],[Retail Price]]-Table1[[#This Row],[Cost Price]]</f>
        <v>22200</v>
      </c>
      <c r="T28" s="10">
        <v>31</v>
      </c>
      <c r="U28" s="15">
        <f>Table1[[#This Row],[Profit Margin]]*Table1[[#This Row],[Order Quantity]]</f>
        <v>688200</v>
      </c>
      <c r="V28" s="11">
        <v>0.01</v>
      </c>
      <c r="W28" s="15">
        <f t="shared" si="0"/>
        <v>6882</v>
      </c>
      <c r="X28" s="15">
        <f>Table1[[#This Row],[Sub Total]]-Table1[[#This Row],[Discount Rp]]</f>
        <v>681318</v>
      </c>
      <c r="Y28" s="15">
        <f ca="1">OFFSET(Helper!$C$3,MATCH(Data!$N$4:$N$1003,Helper!$C$4:$C$9,0),MATCH(Data!$O$4:$O$1003,Helper!$D$3:$F$3,0))</f>
        <v>5000</v>
      </c>
      <c r="Z28" s="16">
        <f ca="1">Table1[[#This Row],[Order Total]]+Table1[[#This Row],[Shipping Cost]]</f>
        <v>686318</v>
      </c>
    </row>
    <row r="29" spans="1:26" ht="15.75" customHeight="1" x14ac:dyDescent="0.3">
      <c r="A29" s="9" t="s">
        <v>174</v>
      </c>
      <c r="B29" s="18">
        <v>42591</v>
      </c>
      <c r="C29" s="10">
        <f>YEAR(Table1[[#This Row],[Order Date]])</f>
        <v>2016</v>
      </c>
      <c r="D29" s="10" t="s">
        <v>175</v>
      </c>
      <c r="E29" s="10" t="s">
        <v>176</v>
      </c>
      <c r="F29" s="10" t="s">
        <v>71</v>
      </c>
      <c r="G29" s="10" t="s">
        <v>55</v>
      </c>
      <c r="H29" s="10" t="s">
        <v>97</v>
      </c>
      <c r="I29" s="10" t="str">
        <f>VLOOKUP(Table1[[#This Row],[Account Manager ID]],Table2[[Employee ID]:[Full Name]],4,FALSE)</f>
        <v>Violet Mentari</v>
      </c>
      <c r="J29" s="10" t="str">
        <f>INDEX(Employee!$D$4:$D$47,MATCH($H$4:$H$1003,Employee!$A$4:$A$47,0))</f>
        <v>Violet Mentari</v>
      </c>
      <c r="K29" s="10" t="s">
        <v>57</v>
      </c>
      <c r="L29" s="10" t="s">
        <v>177</v>
      </c>
      <c r="M29" s="10" t="s">
        <v>59</v>
      </c>
      <c r="N29" s="10" t="s">
        <v>60</v>
      </c>
      <c r="O29" s="10" t="s">
        <v>76</v>
      </c>
      <c r="P29" s="10">
        <v>42592</v>
      </c>
      <c r="Q29" s="15">
        <v>114150</v>
      </c>
      <c r="R29" s="15">
        <v>184200</v>
      </c>
      <c r="S29" s="15">
        <f>Table1[[#This Row],[Retail Price]]-Table1[[#This Row],[Cost Price]]</f>
        <v>70050</v>
      </c>
      <c r="T29" s="10">
        <v>29</v>
      </c>
      <c r="U29" s="15">
        <f>Table1[[#This Row],[Profit Margin]]*Table1[[#This Row],[Order Quantity]]</f>
        <v>2031450</v>
      </c>
      <c r="V29" s="11">
        <v>0</v>
      </c>
      <c r="W29" s="15">
        <f t="shared" si="0"/>
        <v>0</v>
      </c>
      <c r="X29" s="15">
        <f>Table1[[#This Row],[Sub Total]]-Table1[[#This Row],[Discount Rp]]</f>
        <v>2031450</v>
      </c>
      <c r="Y29" s="15">
        <f ca="1">OFFSET(Helper!$C$3,MATCH(Data!$N$4:$N$1003,Helper!$C$4:$C$9,0),MATCH(Data!$O$4:$O$1003,Helper!$D$3:$F$3,0))</f>
        <v>30000</v>
      </c>
      <c r="Z29" s="16">
        <f ca="1">Table1[[#This Row],[Order Total]]+Table1[[#This Row],[Shipping Cost]]</f>
        <v>2061450</v>
      </c>
    </row>
    <row r="30" spans="1:26" ht="15.75" customHeight="1" x14ac:dyDescent="0.3">
      <c r="A30" s="9" t="s">
        <v>178</v>
      </c>
      <c r="B30" s="18">
        <v>42592</v>
      </c>
      <c r="C30" s="10">
        <f>YEAR(Table1[[#This Row],[Order Date]])</f>
        <v>2016</v>
      </c>
      <c r="D30" s="10" t="s">
        <v>179</v>
      </c>
      <c r="E30" s="10" t="s">
        <v>180</v>
      </c>
      <c r="F30" s="10" t="s">
        <v>54</v>
      </c>
      <c r="G30" s="10" t="s">
        <v>72</v>
      </c>
      <c r="H30" s="10" t="s">
        <v>65</v>
      </c>
      <c r="I30" s="10" t="str">
        <f>VLOOKUP(Table1[[#This Row],[Account Manager ID]],Table2[[Employee ID]:[Full Name]],4,FALSE)</f>
        <v>Laras Nuraini</v>
      </c>
      <c r="J30" s="10" t="str">
        <f>INDEX(Employee!$D$4:$D$47,MATCH($H$4:$H$1003,Employee!$A$4:$A$47,0))</f>
        <v>Laras Nuraini</v>
      </c>
      <c r="K30" s="10" t="s">
        <v>117</v>
      </c>
      <c r="L30" s="10" t="s">
        <v>181</v>
      </c>
      <c r="M30" s="10" t="s">
        <v>59</v>
      </c>
      <c r="N30" s="10" t="s">
        <v>60</v>
      </c>
      <c r="O30" s="10" t="s">
        <v>61</v>
      </c>
      <c r="P30" s="10">
        <v>42594</v>
      </c>
      <c r="Q30" s="15">
        <v>23850</v>
      </c>
      <c r="R30" s="15">
        <v>39150</v>
      </c>
      <c r="S30" s="15">
        <f>Table1[[#This Row],[Retail Price]]-Table1[[#This Row],[Cost Price]]</f>
        <v>15300</v>
      </c>
      <c r="T30" s="10">
        <v>9</v>
      </c>
      <c r="U30" s="15">
        <f>Table1[[#This Row],[Profit Margin]]*Table1[[#This Row],[Order Quantity]]</f>
        <v>137700</v>
      </c>
      <c r="V30" s="11">
        <v>0.06</v>
      </c>
      <c r="W30" s="15">
        <f t="shared" si="0"/>
        <v>8262</v>
      </c>
      <c r="X30" s="15">
        <f>Table1[[#This Row],[Sub Total]]-Table1[[#This Row],[Discount Rp]]</f>
        <v>129438</v>
      </c>
      <c r="Y30" s="15">
        <f ca="1">OFFSET(Helper!$C$3,MATCH(Data!$N$4:$N$1003,Helper!$C$4:$C$9,0),MATCH(Data!$O$4:$O$1003,Helper!$D$3:$F$3,0))</f>
        <v>15000</v>
      </c>
      <c r="Z30" s="16">
        <f ca="1">Table1[[#This Row],[Order Total]]+Table1[[#This Row],[Shipping Cost]]</f>
        <v>144438</v>
      </c>
    </row>
    <row r="31" spans="1:26" ht="15.75" customHeight="1" x14ac:dyDescent="0.3">
      <c r="A31" s="9" t="s">
        <v>182</v>
      </c>
      <c r="B31" s="18">
        <v>42592</v>
      </c>
      <c r="C31" s="10">
        <f>YEAR(Table1[[#This Row],[Order Date]])</f>
        <v>2016</v>
      </c>
      <c r="D31" s="10" t="s">
        <v>183</v>
      </c>
      <c r="E31" s="10" t="s">
        <v>184</v>
      </c>
      <c r="F31" s="10" t="s">
        <v>71</v>
      </c>
      <c r="G31" s="10" t="s">
        <v>72</v>
      </c>
      <c r="H31" s="10" t="s">
        <v>185</v>
      </c>
      <c r="I31" s="10" t="str">
        <f>VLOOKUP(Table1[[#This Row],[Account Manager ID]],Table2[[Employee ID]:[Full Name]],4,FALSE)</f>
        <v>Clara Prasetyo</v>
      </c>
      <c r="J31" s="10" t="str">
        <f>INDEX(Employee!$D$4:$D$47,MATCH($H$4:$H$1003,Employee!$A$4:$A$47,0))</f>
        <v>Clara Prasetyo</v>
      </c>
      <c r="K31" s="10" t="s">
        <v>117</v>
      </c>
      <c r="L31" s="10" t="s">
        <v>186</v>
      </c>
      <c r="M31" s="10" t="s">
        <v>81</v>
      </c>
      <c r="N31" s="10" t="s">
        <v>60</v>
      </c>
      <c r="O31" s="10" t="s">
        <v>61</v>
      </c>
      <c r="P31" s="10">
        <v>42592</v>
      </c>
      <c r="Q31" s="15">
        <v>95850</v>
      </c>
      <c r="R31" s="15">
        <v>299700</v>
      </c>
      <c r="S31" s="15">
        <f>Table1[[#This Row],[Retail Price]]-Table1[[#This Row],[Cost Price]]</f>
        <v>203850</v>
      </c>
      <c r="T31" s="10">
        <v>7</v>
      </c>
      <c r="U31" s="15">
        <f>Table1[[#This Row],[Profit Margin]]*Table1[[#This Row],[Order Quantity]]</f>
        <v>1426950</v>
      </c>
      <c r="V31" s="11">
        <v>0.01</v>
      </c>
      <c r="W31" s="15">
        <f t="shared" si="0"/>
        <v>14269.5</v>
      </c>
      <c r="X31" s="15">
        <f>Table1[[#This Row],[Sub Total]]-Table1[[#This Row],[Discount Rp]]</f>
        <v>1412680.5</v>
      </c>
      <c r="Y31" s="15">
        <f ca="1">OFFSET(Helper!$C$3,MATCH(Data!$N$4:$N$1003,Helper!$C$4:$C$9,0),MATCH(Data!$O$4:$O$1003,Helper!$D$3:$F$3,0))</f>
        <v>15000</v>
      </c>
      <c r="Z31" s="16">
        <f ca="1">Table1[[#This Row],[Order Total]]+Table1[[#This Row],[Shipping Cost]]</f>
        <v>1427680.5</v>
      </c>
    </row>
    <row r="32" spans="1:26" ht="15.75" customHeight="1" x14ac:dyDescent="0.3">
      <c r="A32" s="9" t="s">
        <v>187</v>
      </c>
      <c r="B32" s="18">
        <v>42594</v>
      </c>
      <c r="C32" s="10">
        <f>YEAR(Table1[[#This Row],[Order Date]])</f>
        <v>2016</v>
      </c>
      <c r="D32" s="10" t="s">
        <v>188</v>
      </c>
      <c r="E32" s="10" t="s">
        <v>189</v>
      </c>
      <c r="F32" s="10" t="s">
        <v>54</v>
      </c>
      <c r="G32" s="10" t="s">
        <v>72</v>
      </c>
      <c r="H32" s="10" t="s">
        <v>56</v>
      </c>
      <c r="I32" s="10" t="str">
        <f>VLOOKUP(Table1[[#This Row],[Account Manager ID]],Table2[[Employee ID]:[Full Name]],4,FALSE)</f>
        <v>Gaduh Pratama</v>
      </c>
      <c r="J32" s="10" t="str">
        <f>INDEX(Employee!$D$4:$D$47,MATCH($H$4:$H$1003,Employee!$A$4:$A$47,0))</f>
        <v>Gaduh Pratama</v>
      </c>
      <c r="K32" s="10" t="s">
        <v>117</v>
      </c>
      <c r="L32" s="10" t="s">
        <v>190</v>
      </c>
      <c r="M32" s="10" t="s">
        <v>81</v>
      </c>
      <c r="N32" s="10" t="s">
        <v>60</v>
      </c>
      <c r="O32" s="10" t="s">
        <v>76</v>
      </c>
      <c r="P32" s="10">
        <v>42595</v>
      </c>
      <c r="Q32" s="15">
        <v>480300.00000000006</v>
      </c>
      <c r="R32" s="15">
        <v>2287200</v>
      </c>
      <c r="S32" s="15">
        <f>Table1[[#This Row],[Retail Price]]-Table1[[#This Row],[Cost Price]]</f>
        <v>1806900</v>
      </c>
      <c r="T32" s="10">
        <v>16</v>
      </c>
      <c r="U32" s="15">
        <f>Table1[[#This Row],[Profit Margin]]*Table1[[#This Row],[Order Quantity]]</f>
        <v>28910400</v>
      </c>
      <c r="V32" s="11">
        <v>0.1</v>
      </c>
      <c r="W32" s="15">
        <f t="shared" si="0"/>
        <v>2891040</v>
      </c>
      <c r="X32" s="15">
        <f>Table1[[#This Row],[Sub Total]]-Table1[[#This Row],[Discount Rp]]</f>
        <v>26019360</v>
      </c>
      <c r="Y32" s="15">
        <f ca="1">OFFSET(Helper!$C$3,MATCH(Data!$N$4:$N$1003,Helper!$C$4:$C$9,0),MATCH(Data!$O$4:$O$1003,Helper!$D$3:$F$3,0))</f>
        <v>30000</v>
      </c>
      <c r="Z32" s="16">
        <f ca="1">Table1[[#This Row],[Order Total]]+Table1[[#This Row],[Shipping Cost]]</f>
        <v>26049360</v>
      </c>
    </row>
    <row r="33" spans="1:26" ht="15.75" customHeight="1" x14ac:dyDescent="0.3">
      <c r="A33" s="9" t="s">
        <v>191</v>
      </c>
      <c r="B33" s="18">
        <v>42594</v>
      </c>
      <c r="C33" s="10">
        <f>YEAR(Table1[[#This Row],[Order Date]])</f>
        <v>2016</v>
      </c>
      <c r="D33" s="10" t="s">
        <v>192</v>
      </c>
      <c r="E33" s="10" t="s">
        <v>193</v>
      </c>
      <c r="F33" s="10" t="s">
        <v>71</v>
      </c>
      <c r="G33" s="10" t="s">
        <v>106</v>
      </c>
      <c r="H33" s="10" t="s">
        <v>194</v>
      </c>
      <c r="I33" s="10" t="str">
        <f>VLOOKUP(Table1[[#This Row],[Account Manager ID]],Table2[[Employee ID]:[Full Name]],4,FALSE)</f>
        <v>Nabila Prakasa</v>
      </c>
      <c r="J33" s="10" t="str">
        <f>INDEX(Employee!$D$4:$D$47,MATCH($H$4:$H$1003,Employee!$A$4:$A$47,0))</f>
        <v>Nabila Prakasa</v>
      </c>
      <c r="K33" s="10" t="s">
        <v>107</v>
      </c>
      <c r="L33" s="10" t="s">
        <v>177</v>
      </c>
      <c r="M33" s="10" t="s">
        <v>59</v>
      </c>
      <c r="N33" s="10" t="s">
        <v>60</v>
      </c>
      <c r="O33" s="10" t="s">
        <v>61</v>
      </c>
      <c r="P33" s="10">
        <v>42596</v>
      </c>
      <c r="Q33" s="15">
        <v>114150</v>
      </c>
      <c r="R33" s="15">
        <v>184200</v>
      </c>
      <c r="S33" s="15">
        <f>Table1[[#This Row],[Retail Price]]-Table1[[#This Row],[Cost Price]]</f>
        <v>70050</v>
      </c>
      <c r="T33" s="10">
        <v>27</v>
      </c>
      <c r="U33" s="15">
        <f>Table1[[#This Row],[Profit Margin]]*Table1[[#This Row],[Order Quantity]]</f>
        <v>1891350</v>
      </c>
      <c r="V33" s="11">
        <v>0.03</v>
      </c>
      <c r="W33" s="15">
        <f t="shared" si="0"/>
        <v>56740.5</v>
      </c>
      <c r="X33" s="15">
        <f>Table1[[#This Row],[Sub Total]]-Table1[[#This Row],[Discount Rp]]</f>
        <v>1834609.5</v>
      </c>
      <c r="Y33" s="15">
        <f ca="1">OFFSET(Helper!$C$3,MATCH(Data!$N$4:$N$1003,Helper!$C$4:$C$9,0),MATCH(Data!$O$4:$O$1003,Helper!$D$3:$F$3,0))</f>
        <v>15000</v>
      </c>
      <c r="Z33" s="16">
        <f ca="1">Table1[[#This Row],[Order Total]]+Table1[[#This Row],[Shipping Cost]]</f>
        <v>1849609.5</v>
      </c>
    </row>
    <row r="34" spans="1:26" ht="15.75" customHeight="1" x14ac:dyDescent="0.3">
      <c r="A34" s="9" t="s">
        <v>195</v>
      </c>
      <c r="B34" s="18">
        <v>42594</v>
      </c>
      <c r="C34" s="10">
        <f>YEAR(Table1[[#This Row],[Order Date]])</f>
        <v>2016</v>
      </c>
      <c r="D34" s="10" t="s">
        <v>196</v>
      </c>
      <c r="E34" s="10" t="s">
        <v>105</v>
      </c>
      <c r="F34" s="10" t="s">
        <v>71</v>
      </c>
      <c r="G34" s="10" t="s">
        <v>87</v>
      </c>
      <c r="H34" s="10" t="s">
        <v>73</v>
      </c>
      <c r="I34" s="10" t="str">
        <f>VLOOKUP(Table1[[#This Row],[Account Manager ID]],Table2[[Employee ID]:[Full Name]],4,FALSE)</f>
        <v>Cinthia Gunawan</v>
      </c>
      <c r="J34" s="10" t="str">
        <f>INDEX(Employee!$D$4:$D$47,MATCH($H$4:$H$1003,Employee!$A$4:$A$47,0))</f>
        <v>Cinthia Gunawan</v>
      </c>
      <c r="K34" s="10" t="s">
        <v>107</v>
      </c>
      <c r="L34" s="10" t="s">
        <v>197</v>
      </c>
      <c r="M34" s="10" t="s">
        <v>81</v>
      </c>
      <c r="N34" s="10" t="s">
        <v>60</v>
      </c>
      <c r="O34" s="10" t="s">
        <v>61</v>
      </c>
      <c r="P34" s="10">
        <v>42596</v>
      </c>
      <c r="Q34" s="15">
        <v>151050</v>
      </c>
      <c r="R34" s="15">
        <v>239700</v>
      </c>
      <c r="S34" s="15">
        <f>Table1[[#This Row],[Retail Price]]-Table1[[#This Row],[Cost Price]]</f>
        <v>88650</v>
      </c>
      <c r="T34" s="10">
        <v>39</v>
      </c>
      <c r="U34" s="15">
        <f>Table1[[#This Row],[Profit Margin]]*Table1[[#This Row],[Order Quantity]]</f>
        <v>3457350</v>
      </c>
      <c r="V34" s="11">
        <v>0.09</v>
      </c>
      <c r="W34" s="15">
        <f t="shared" si="0"/>
        <v>311161.5</v>
      </c>
      <c r="X34" s="15">
        <f>Table1[[#This Row],[Sub Total]]-Table1[[#This Row],[Discount Rp]]</f>
        <v>3146188.5</v>
      </c>
      <c r="Y34" s="15">
        <f ca="1">OFFSET(Helper!$C$3,MATCH(Data!$N$4:$N$1003,Helper!$C$4:$C$9,0),MATCH(Data!$O$4:$O$1003,Helper!$D$3:$F$3,0))</f>
        <v>15000</v>
      </c>
      <c r="Z34" s="16">
        <f ca="1">Table1[[#This Row],[Order Total]]+Table1[[#This Row],[Shipping Cost]]</f>
        <v>3161188.5</v>
      </c>
    </row>
    <row r="35" spans="1:26" ht="15.75" customHeight="1" x14ac:dyDescent="0.3">
      <c r="A35" s="9" t="s">
        <v>198</v>
      </c>
      <c r="B35" s="18">
        <v>42595</v>
      </c>
      <c r="C35" s="10">
        <f>YEAR(Table1[[#This Row],[Order Date]])</f>
        <v>2016</v>
      </c>
      <c r="D35" s="10" t="s">
        <v>199</v>
      </c>
      <c r="E35" s="10" t="s">
        <v>79</v>
      </c>
      <c r="F35" s="10" t="s">
        <v>54</v>
      </c>
      <c r="G35" s="10" t="s">
        <v>72</v>
      </c>
      <c r="H35" s="10" t="s">
        <v>56</v>
      </c>
      <c r="I35" s="10" t="str">
        <f>VLOOKUP(Table1[[#This Row],[Account Manager ID]],Table2[[Employee ID]:[Full Name]],4,FALSE)</f>
        <v>Gaduh Pratama</v>
      </c>
      <c r="J35" s="10" t="str">
        <f>INDEX(Employee!$D$4:$D$47,MATCH($H$4:$H$1003,Employee!$A$4:$A$47,0))</f>
        <v>Gaduh Pratama</v>
      </c>
      <c r="K35" s="10" t="s">
        <v>107</v>
      </c>
      <c r="L35" s="10" t="s">
        <v>200</v>
      </c>
      <c r="M35" s="10" t="s">
        <v>59</v>
      </c>
      <c r="N35" s="10" t="s">
        <v>136</v>
      </c>
      <c r="O35" s="10" t="s">
        <v>61</v>
      </c>
      <c r="P35" s="10">
        <v>42597</v>
      </c>
      <c r="Q35" s="15">
        <v>71850</v>
      </c>
      <c r="R35" s="15">
        <v>179550</v>
      </c>
      <c r="S35" s="15">
        <f>Table1[[#This Row],[Retail Price]]-Table1[[#This Row],[Cost Price]]</f>
        <v>107700</v>
      </c>
      <c r="T35" s="10">
        <v>7</v>
      </c>
      <c r="U35" s="15">
        <f>Table1[[#This Row],[Profit Margin]]*Table1[[#This Row],[Order Quantity]]</f>
        <v>753900</v>
      </c>
      <c r="V35" s="11">
        <v>0.05</v>
      </c>
      <c r="W35" s="15">
        <f t="shared" si="0"/>
        <v>37695</v>
      </c>
      <c r="X35" s="15">
        <f>Table1[[#This Row],[Sub Total]]-Table1[[#This Row],[Discount Rp]]</f>
        <v>716205</v>
      </c>
      <c r="Y35" s="15">
        <f ca="1">OFFSET(Helper!$C$3,MATCH(Data!$N$4:$N$1003,Helper!$C$4:$C$9,0),MATCH(Data!$O$4:$O$1003,Helper!$D$3:$F$3,0))</f>
        <v>10000</v>
      </c>
      <c r="Z35" s="16">
        <f ca="1">Table1[[#This Row],[Order Total]]+Table1[[#This Row],[Shipping Cost]]</f>
        <v>726205</v>
      </c>
    </row>
    <row r="36" spans="1:26" ht="15.75" customHeight="1" x14ac:dyDescent="0.3">
      <c r="A36" s="9" t="s">
        <v>201</v>
      </c>
      <c r="B36" s="18">
        <v>42596</v>
      </c>
      <c r="C36" s="10">
        <f>YEAR(Table1[[#This Row],[Order Date]])</f>
        <v>2016</v>
      </c>
      <c r="D36" s="10" t="s">
        <v>202</v>
      </c>
      <c r="E36" s="10" t="s">
        <v>189</v>
      </c>
      <c r="F36" s="10" t="s">
        <v>54</v>
      </c>
      <c r="G36" s="10" t="s">
        <v>55</v>
      </c>
      <c r="H36" s="10" t="s">
        <v>56</v>
      </c>
      <c r="I36" s="10" t="str">
        <f>VLOOKUP(Table1[[#This Row],[Account Manager ID]],Table2[[Employee ID]:[Full Name]],4,FALSE)</f>
        <v>Gaduh Pratama</v>
      </c>
      <c r="J36" s="10" t="str">
        <f>INDEX(Employee!$D$4:$D$47,MATCH($H$4:$H$1003,Employee!$A$4:$A$47,0))</f>
        <v>Gaduh Pratama</v>
      </c>
      <c r="K36" s="10" t="s">
        <v>107</v>
      </c>
      <c r="L36" s="10" t="s">
        <v>203</v>
      </c>
      <c r="M36" s="10" t="s">
        <v>59</v>
      </c>
      <c r="N36" s="10" t="s">
        <v>60</v>
      </c>
      <c r="O36" s="10" t="s">
        <v>61</v>
      </c>
      <c r="P36" s="10">
        <v>42597</v>
      </c>
      <c r="Q36" s="15">
        <v>130650.00000000001</v>
      </c>
      <c r="R36" s="15">
        <v>214200</v>
      </c>
      <c r="S36" s="15">
        <f>Table1[[#This Row],[Retail Price]]-Table1[[#This Row],[Cost Price]]</f>
        <v>83549.999999999985</v>
      </c>
      <c r="T36" s="10">
        <v>42</v>
      </c>
      <c r="U36" s="15">
        <f>Table1[[#This Row],[Profit Margin]]*Table1[[#This Row],[Order Quantity]]</f>
        <v>3509099.9999999995</v>
      </c>
      <c r="V36" s="11">
        <v>0.1</v>
      </c>
      <c r="W36" s="15">
        <f t="shared" si="0"/>
        <v>350910</v>
      </c>
      <c r="X36" s="15">
        <f>Table1[[#This Row],[Sub Total]]-Table1[[#This Row],[Discount Rp]]</f>
        <v>3158189.9999999995</v>
      </c>
      <c r="Y36" s="15">
        <f ca="1">OFFSET(Helper!$C$3,MATCH(Data!$N$4:$N$1003,Helper!$C$4:$C$9,0),MATCH(Data!$O$4:$O$1003,Helper!$D$3:$F$3,0))</f>
        <v>15000</v>
      </c>
      <c r="Z36" s="16">
        <f ca="1">Table1[[#This Row],[Order Total]]+Table1[[#This Row],[Shipping Cost]]</f>
        <v>3173189.9999999995</v>
      </c>
    </row>
    <row r="37" spans="1:26" ht="15.75" customHeight="1" x14ac:dyDescent="0.3">
      <c r="A37" s="9" t="s">
        <v>204</v>
      </c>
      <c r="B37" s="18">
        <v>42596</v>
      </c>
      <c r="C37" s="10">
        <f>YEAR(Table1[[#This Row],[Order Date]])</f>
        <v>2016</v>
      </c>
      <c r="D37" s="10" t="s">
        <v>205</v>
      </c>
      <c r="E37" s="10" t="s">
        <v>206</v>
      </c>
      <c r="F37" s="10" t="s">
        <v>71</v>
      </c>
      <c r="G37" s="10" t="s">
        <v>106</v>
      </c>
      <c r="H37" s="10" t="s">
        <v>155</v>
      </c>
      <c r="I37" s="10" t="str">
        <f>VLOOKUP(Table1[[#This Row],[Account Manager ID]],Table2[[Employee ID]:[Full Name]],4,FALSE)</f>
        <v>Puti Nadine Prakasa</v>
      </c>
      <c r="J37" s="10" t="str">
        <f>INDEX(Employee!$D$4:$D$47,MATCH($H$4:$H$1003,Employee!$A$4:$A$47,0))</f>
        <v>Puti Nadine Prakasa</v>
      </c>
      <c r="K37" s="10" t="s">
        <v>74</v>
      </c>
      <c r="L37" s="10" t="s">
        <v>108</v>
      </c>
      <c r="M37" s="10" t="s">
        <v>59</v>
      </c>
      <c r="N37" s="10" t="s">
        <v>60</v>
      </c>
      <c r="O37" s="10" t="s">
        <v>61</v>
      </c>
      <c r="P37" s="10">
        <v>42597</v>
      </c>
      <c r="Q37" s="15">
        <v>814350</v>
      </c>
      <c r="R37" s="15">
        <v>1357200</v>
      </c>
      <c r="S37" s="15">
        <f>Table1[[#This Row],[Retail Price]]-Table1[[#This Row],[Cost Price]]</f>
        <v>542850</v>
      </c>
      <c r="T37" s="10">
        <v>15</v>
      </c>
      <c r="U37" s="15">
        <f>Table1[[#This Row],[Profit Margin]]*Table1[[#This Row],[Order Quantity]]</f>
        <v>8142750</v>
      </c>
      <c r="V37" s="11">
        <v>0.05</v>
      </c>
      <c r="W37" s="15">
        <f t="shared" si="0"/>
        <v>407137.5</v>
      </c>
      <c r="X37" s="15">
        <f>Table1[[#This Row],[Sub Total]]-Table1[[#This Row],[Discount Rp]]</f>
        <v>7735612.5</v>
      </c>
      <c r="Y37" s="15">
        <f ca="1">OFFSET(Helper!$C$3,MATCH(Data!$N$4:$N$1003,Helper!$C$4:$C$9,0),MATCH(Data!$O$4:$O$1003,Helper!$D$3:$F$3,0))</f>
        <v>15000</v>
      </c>
      <c r="Z37" s="16">
        <f ca="1">Table1[[#This Row],[Order Total]]+Table1[[#This Row],[Shipping Cost]]</f>
        <v>7750612.5</v>
      </c>
    </row>
    <row r="38" spans="1:26" ht="15.75" customHeight="1" x14ac:dyDescent="0.3">
      <c r="A38" s="9" t="s">
        <v>207</v>
      </c>
      <c r="B38" s="18">
        <v>42597</v>
      </c>
      <c r="C38" s="10">
        <f>YEAR(Table1[[#This Row],[Order Date]])</f>
        <v>2016</v>
      </c>
      <c r="D38" s="10" t="s">
        <v>208</v>
      </c>
      <c r="E38" s="10" t="s">
        <v>209</v>
      </c>
      <c r="F38" s="10" t="s">
        <v>71</v>
      </c>
      <c r="G38" s="10" t="s">
        <v>106</v>
      </c>
      <c r="H38" s="10" t="s">
        <v>185</v>
      </c>
      <c r="I38" s="10" t="str">
        <f>VLOOKUP(Table1[[#This Row],[Account Manager ID]],Table2[[Employee ID]:[Full Name]],4,FALSE)</f>
        <v>Clara Prasetyo</v>
      </c>
      <c r="J38" s="10" t="str">
        <f>INDEX(Employee!$D$4:$D$47,MATCH($H$4:$H$1003,Employee!$A$4:$A$47,0))</f>
        <v>Clara Prasetyo</v>
      </c>
      <c r="K38" s="10" t="s">
        <v>74</v>
      </c>
      <c r="L38" s="10" t="s">
        <v>162</v>
      </c>
      <c r="M38" s="10" t="s">
        <v>59</v>
      </c>
      <c r="N38" s="10" t="s">
        <v>60</v>
      </c>
      <c r="O38" s="10" t="s">
        <v>61</v>
      </c>
      <c r="P38" s="10">
        <v>42599</v>
      </c>
      <c r="Q38" s="15">
        <v>52800</v>
      </c>
      <c r="R38" s="15">
        <v>85200</v>
      </c>
      <c r="S38" s="15">
        <f>Table1[[#This Row],[Retail Price]]-Table1[[#This Row],[Cost Price]]</f>
        <v>32400</v>
      </c>
      <c r="T38" s="10">
        <v>20</v>
      </c>
      <c r="U38" s="15">
        <f>Table1[[#This Row],[Profit Margin]]*Table1[[#This Row],[Order Quantity]]</f>
        <v>648000</v>
      </c>
      <c r="V38" s="11">
        <v>7.0000000000000007E-2</v>
      </c>
      <c r="W38" s="15">
        <f t="shared" si="0"/>
        <v>45360.000000000007</v>
      </c>
      <c r="X38" s="15">
        <f>Table1[[#This Row],[Sub Total]]-Table1[[#This Row],[Discount Rp]]</f>
        <v>602640</v>
      </c>
      <c r="Y38" s="15">
        <f ca="1">OFFSET(Helper!$C$3,MATCH(Data!$N$4:$N$1003,Helper!$C$4:$C$9,0),MATCH(Data!$O$4:$O$1003,Helper!$D$3:$F$3,0))</f>
        <v>15000</v>
      </c>
      <c r="Z38" s="16">
        <f ca="1">Table1[[#This Row],[Order Total]]+Table1[[#This Row],[Shipping Cost]]</f>
        <v>617640</v>
      </c>
    </row>
    <row r="39" spans="1:26" ht="15.75" customHeight="1" x14ac:dyDescent="0.3">
      <c r="A39" s="9" t="s">
        <v>210</v>
      </c>
      <c r="B39" s="18">
        <v>42598</v>
      </c>
      <c r="C39" s="10">
        <f>YEAR(Table1[[#This Row],[Order Date]])</f>
        <v>2016</v>
      </c>
      <c r="D39" s="10" t="s">
        <v>211</v>
      </c>
      <c r="E39" s="10" t="s">
        <v>121</v>
      </c>
      <c r="F39" s="10" t="s">
        <v>71</v>
      </c>
      <c r="G39" s="10" t="s">
        <v>72</v>
      </c>
      <c r="H39" s="10" t="s">
        <v>122</v>
      </c>
      <c r="I39" s="10" t="str">
        <f>VLOOKUP(Table1[[#This Row],[Account Manager ID]],Table2[[Employee ID]:[Full Name]],4,FALSE)</f>
        <v>Ophelia Mustofa</v>
      </c>
      <c r="J39" s="10" t="str">
        <f>INDEX(Employee!$D$4:$D$47,MATCH($H$4:$H$1003,Employee!$A$4:$A$47,0))</f>
        <v>Ophelia Mustofa</v>
      </c>
      <c r="K39" s="10" t="s">
        <v>74</v>
      </c>
      <c r="L39" s="10" t="s">
        <v>212</v>
      </c>
      <c r="M39" s="10" t="s">
        <v>59</v>
      </c>
      <c r="N39" s="10" t="s">
        <v>67</v>
      </c>
      <c r="O39" s="10" t="s">
        <v>61</v>
      </c>
      <c r="P39" s="10">
        <v>42600</v>
      </c>
      <c r="Q39" s="15">
        <v>52050</v>
      </c>
      <c r="R39" s="15">
        <v>100200</v>
      </c>
      <c r="S39" s="15">
        <f>Table1[[#This Row],[Retail Price]]-Table1[[#This Row],[Cost Price]]</f>
        <v>48150</v>
      </c>
      <c r="T39" s="10">
        <v>41</v>
      </c>
      <c r="U39" s="15">
        <f>Table1[[#This Row],[Profit Margin]]*Table1[[#This Row],[Order Quantity]]</f>
        <v>1974150</v>
      </c>
      <c r="V39" s="11">
        <v>0.08</v>
      </c>
      <c r="W39" s="15">
        <f t="shared" si="0"/>
        <v>157932</v>
      </c>
      <c r="X39" s="15">
        <f>Table1[[#This Row],[Sub Total]]-Table1[[#This Row],[Discount Rp]]</f>
        <v>1816218</v>
      </c>
      <c r="Y39" s="15">
        <f ca="1">OFFSET(Helper!$C$3,MATCH(Data!$N$4:$N$1003,Helper!$C$4:$C$9,0),MATCH(Data!$O$4:$O$1003,Helper!$D$3:$F$3,0))</f>
        <v>5000</v>
      </c>
      <c r="Z39" s="16">
        <f ca="1">Table1[[#This Row],[Order Total]]+Table1[[#This Row],[Shipping Cost]]</f>
        <v>1821218</v>
      </c>
    </row>
    <row r="40" spans="1:26" ht="15.75" customHeight="1" x14ac:dyDescent="0.3">
      <c r="A40" s="9" t="s">
        <v>213</v>
      </c>
      <c r="B40" s="18">
        <v>42599</v>
      </c>
      <c r="C40" s="10">
        <f>YEAR(Table1[[#This Row],[Order Date]])</f>
        <v>2016</v>
      </c>
      <c r="D40" s="10" t="s">
        <v>214</v>
      </c>
      <c r="E40" s="10" t="s">
        <v>215</v>
      </c>
      <c r="F40" s="10" t="s">
        <v>71</v>
      </c>
      <c r="G40" s="10" t="s">
        <v>72</v>
      </c>
      <c r="H40" s="10" t="s">
        <v>146</v>
      </c>
      <c r="I40" s="10" t="str">
        <f>VLOOKUP(Table1[[#This Row],[Account Manager ID]],Table2[[Employee ID]:[Full Name]],4,FALSE)</f>
        <v>Kenari Rajasa</v>
      </c>
      <c r="J40" s="10" t="str">
        <f>INDEX(Employee!$D$4:$D$47,MATCH($H$4:$H$1003,Employee!$A$4:$A$47,0))</f>
        <v>Kenari Rajasa</v>
      </c>
      <c r="K40" s="10" t="s">
        <v>117</v>
      </c>
      <c r="L40" s="10" t="s">
        <v>216</v>
      </c>
      <c r="M40" s="10" t="s">
        <v>81</v>
      </c>
      <c r="N40" s="10" t="s">
        <v>136</v>
      </c>
      <c r="O40" s="10" t="s">
        <v>61</v>
      </c>
      <c r="P40" s="10">
        <v>42600</v>
      </c>
      <c r="Q40" s="15">
        <v>28050</v>
      </c>
      <c r="R40" s="15">
        <v>33379.500000000007</v>
      </c>
      <c r="S40" s="15">
        <f>Table1[[#This Row],[Retail Price]]-Table1[[#This Row],[Cost Price]]</f>
        <v>5329.5000000000073</v>
      </c>
      <c r="T40" s="10">
        <v>41</v>
      </c>
      <c r="U40" s="15">
        <f>Table1[[#This Row],[Profit Margin]]*Table1[[#This Row],[Order Quantity]]</f>
        <v>218509.50000000029</v>
      </c>
      <c r="V40" s="11">
        <v>0.06</v>
      </c>
      <c r="W40" s="15">
        <f t="shared" si="0"/>
        <v>13110.570000000016</v>
      </c>
      <c r="X40" s="15">
        <f>Table1[[#This Row],[Sub Total]]-Table1[[#This Row],[Discount Rp]]</f>
        <v>205398.93000000028</v>
      </c>
      <c r="Y40" s="15">
        <f ca="1">OFFSET(Helper!$C$3,MATCH(Data!$N$4:$N$1003,Helper!$C$4:$C$9,0),MATCH(Data!$O$4:$O$1003,Helper!$D$3:$F$3,0))</f>
        <v>10000</v>
      </c>
      <c r="Z40" s="16">
        <f ca="1">Table1[[#This Row],[Order Total]]+Table1[[#This Row],[Shipping Cost]]</f>
        <v>215398.93000000028</v>
      </c>
    </row>
    <row r="41" spans="1:26" ht="15.75" customHeight="1" x14ac:dyDescent="0.3">
      <c r="A41" s="9" t="s">
        <v>217</v>
      </c>
      <c r="B41" s="18">
        <v>42599</v>
      </c>
      <c r="C41" s="10">
        <f>YEAR(Table1[[#This Row],[Order Date]])</f>
        <v>2016</v>
      </c>
      <c r="D41" s="10" t="s">
        <v>214</v>
      </c>
      <c r="E41" s="10" t="s">
        <v>215</v>
      </c>
      <c r="F41" s="10" t="s">
        <v>71</v>
      </c>
      <c r="G41" s="10" t="s">
        <v>72</v>
      </c>
      <c r="H41" s="10" t="s">
        <v>146</v>
      </c>
      <c r="I41" s="10" t="str">
        <f>VLOOKUP(Table1[[#This Row],[Account Manager ID]],Table2[[Employee ID]:[Full Name]],4,FALSE)</f>
        <v>Kenari Rajasa</v>
      </c>
      <c r="J41" s="10" t="str">
        <f>INDEX(Employee!$D$4:$D$47,MATCH($H$4:$H$1003,Employee!$A$4:$A$47,0))</f>
        <v>Kenari Rajasa</v>
      </c>
      <c r="K41" s="10" t="s">
        <v>117</v>
      </c>
      <c r="L41" s="10" t="s">
        <v>212</v>
      </c>
      <c r="M41" s="10" t="s">
        <v>59</v>
      </c>
      <c r="N41" s="10" t="s">
        <v>67</v>
      </c>
      <c r="O41" s="10" t="s">
        <v>61</v>
      </c>
      <c r="P41" s="10">
        <v>42600</v>
      </c>
      <c r="Q41" s="15">
        <v>52050</v>
      </c>
      <c r="R41" s="15">
        <v>100200</v>
      </c>
      <c r="S41" s="15">
        <f>Table1[[#This Row],[Retail Price]]-Table1[[#This Row],[Cost Price]]</f>
        <v>48150</v>
      </c>
      <c r="T41" s="10">
        <v>2</v>
      </c>
      <c r="U41" s="15">
        <f>Table1[[#This Row],[Profit Margin]]*Table1[[#This Row],[Order Quantity]]</f>
        <v>96300</v>
      </c>
      <c r="V41" s="11">
        <v>0.01</v>
      </c>
      <c r="W41" s="15">
        <f t="shared" si="0"/>
        <v>963</v>
      </c>
      <c r="X41" s="15">
        <f>Table1[[#This Row],[Sub Total]]-Table1[[#This Row],[Discount Rp]]</f>
        <v>95337</v>
      </c>
      <c r="Y41" s="15">
        <f ca="1">OFFSET(Helper!$C$3,MATCH(Data!$N$4:$N$1003,Helper!$C$4:$C$9,0),MATCH(Data!$O$4:$O$1003,Helper!$D$3:$F$3,0))</f>
        <v>5000</v>
      </c>
      <c r="Z41" s="16">
        <f ca="1">Table1[[#This Row],[Order Total]]+Table1[[#This Row],[Shipping Cost]]</f>
        <v>100337</v>
      </c>
    </row>
    <row r="42" spans="1:26" ht="15.75" customHeight="1" x14ac:dyDescent="0.3">
      <c r="A42" s="9" t="s">
        <v>218</v>
      </c>
      <c r="B42" s="18">
        <v>42599</v>
      </c>
      <c r="C42" s="10">
        <f>YEAR(Table1[[#This Row],[Order Date]])</f>
        <v>2016</v>
      </c>
      <c r="D42" s="10" t="s">
        <v>219</v>
      </c>
      <c r="E42" s="10" t="s">
        <v>53</v>
      </c>
      <c r="F42" s="10" t="s">
        <v>54</v>
      </c>
      <c r="G42" s="10" t="s">
        <v>72</v>
      </c>
      <c r="H42" s="10" t="s">
        <v>56</v>
      </c>
      <c r="I42" s="10" t="str">
        <f>VLOOKUP(Table1[[#This Row],[Account Manager ID]],Table2[[Employee ID]:[Full Name]],4,FALSE)</f>
        <v>Gaduh Pratama</v>
      </c>
      <c r="J42" s="10" t="str">
        <f>INDEX(Employee!$D$4:$D$47,MATCH($H$4:$H$1003,Employee!$A$4:$A$47,0))</f>
        <v>Gaduh Pratama</v>
      </c>
      <c r="K42" s="10" t="s">
        <v>92</v>
      </c>
      <c r="L42" s="10" t="s">
        <v>197</v>
      </c>
      <c r="M42" s="10" t="s">
        <v>81</v>
      </c>
      <c r="N42" s="10" t="s">
        <v>60</v>
      </c>
      <c r="O42" s="10" t="s">
        <v>61</v>
      </c>
      <c r="P42" s="10">
        <v>42604</v>
      </c>
      <c r="Q42" s="15">
        <v>151050</v>
      </c>
      <c r="R42" s="15">
        <v>239700</v>
      </c>
      <c r="S42" s="15">
        <f>Table1[[#This Row],[Retail Price]]-Table1[[#This Row],[Cost Price]]</f>
        <v>88650</v>
      </c>
      <c r="T42" s="10">
        <v>34</v>
      </c>
      <c r="U42" s="15">
        <f>Table1[[#This Row],[Profit Margin]]*Table1[[#This Row],[Order Quantity]]</f>
        <v>3014100</v>
      </c>
      <c r="V42" s="11">
        <v>0.1</v>
      </c>
      <c r="W42" s="15">
        <f t="shared" si="0"/>
        <v>301410</v>
      </c>
      <c r="X42" s="15">
        <f>Table1[[#This Row],[Sub Total]]-Table1[[#This Row],[Discount Rp]]</f>
        <v>2712690</v>
      </c>
      <c r="Y42" s="15">
        <f ca="1">OFFSET(Helper!$C$3,MATCH(Data!$N$4:$N$1003,Helper!$C$4:$C$9,0),MATCH(Data!$O$4:$O$1003,Helper!$D$3:$F$3,0))</f>
        <v>15000</v>
      </c>
      <c r="Z42" s="16">
        <f ca="1">Table1[[#This Row],[Order Total]]+Table1[[#This Row],[Shipping Cost]]</f>
        <v>2727690</v>
      </c>
    </row>
    <row r="43" spans="1:26" ht="15.75" customHeight="1" x14ac:dyDescent="0.3">
      <c r="A43" s="9" t="s">
        <v>220</v>
      </c>
      <c r="B43" s="18">
        <v>42601</v>
      </c>
      <c r="C43" s="10">
        <f>YEAR(Table1[[#This Row],[Order Date]])</f>
        <v>2016</v>
      </c>
      <c r="D43" s="10" t="s">
        <v>221</v>
      </c>
      <c r="E43" s="10" t="s">
        <v>222</v>
      </c>
      <c r="F43" s="10" t="s">
        <v>71</v>
      </c>
      <c r="G43" s="10" t="s">
        <v>106</v>
      </c>
      <c r="H43" s="10" t="s">
        <v>155</v>
      </c>
      <c r="I43" s="10" t="str">
        <f>VLOOKUP(Table1[[#This Row],[Account Manager ID]],Table2[[Employee ID]:[Full Name]],4,FALSE)</f>
        <v>Puti Nadine Prakasa</v>
      </c>
      <c r="J43" s="10" t="str">
        <f>INDEX(Employee!$D$4:$D$47,MATCH($H$4:$H$1003,Employee!$A$4:$A$47,0))</f>
        <v>Puti Nadine Prakasa</v>
      </c>
      <c r="K43" s="10" t="s">
        <v>107</v>
      </c>
      <c r="L43" s="10" t="s">
        <v>200</v>
      </c>
      <c r="M43" s="10" t="s">
        <v>59</v>
      </c>
      <c r="N43" s="10" t="s">
        <v>136</v>
      </c>
      <c r="O43" s="10" t="s">
        <v>61</v>
      </c>
      <c r="P43" s="10">
        <v>42603</v>
      </c>
      <c r="Q43" s="15">
        <v>71850</v>
      </c>
      <c r="R43" s="15">
        <v>179550</v>
      </c>
      <c r="S43" s="15">
        <f>Table1[[#This Row],[Retail Price]]-Table1[[#This Row],[Cost Price]]</f>
        <v>107700</v>
      </c>
      <c r="T43" s="10">
        <v>18</v>
      </c>
      <c r="U43" s="15">
        <f>Table1[[#This Row],[Profit Margin]]*Table1[[#This Row],[Order Quantity]]</f>
        <v>1938600</v>
      </c>
      <c r="V43" s="11">
        <v>0.08</v>
      </c>
      <c r="W43" s="15">
        <f t="shared" si="0"/>
        <v>155088</v>
      </c>
      <c r="X43" s="15">
        <f>Table1[[#This Row],[Sub Total]]-Table1[[#This Row],[Discount Rp]]</f>
        <v>1783512</v>
      </c>
      <c r="Y43" s="15">
        <f ca="1">OFFSET(Helper!$C$3,MATCH(Data!$N$4:$N$1003,Helper!$C$4:$C$9,0),MATCH(Data!$O$4:$O$1003,Helper!$D$3:$F$3,0))</f>
        <v>10000</v>
      </c>
      <c r="Z43" s="16">
        <f ca="1">Table1[[#This Row],[Order Total]]+Table1[[#This Row],[Shipping Cost]]</f>
        <v>1793512</v>
      </c>
    </row>
    <row r="44" spans="1:26" ht="15.75" customHeight="1" x14ac:dyDescent="0.3">
      <c r="A44" s="9" t="s">
        <v>223</v>
      </c>
      <c r="B44" s="18">
        <v>42603</v>
      </c>
      <c r="C44" s="10">
        <f>YEAR(Table1[[#This Row],[Order Date]])</f>
        <v>2016</v>
      </c>
      <c r="D44" s="10" t="s">
        <v>224</v>
      </c>
      <c r="E44" s="10" t="s">
        <v>225</v>
      </c>
      <c r="F44" s="10" t="s">
        <v>71</v>
      </c>
      <c r="G44" s="10" t="s">
        <v>55</v>
      </c>
      <c r="H44" s="10" t="s">
        <v>155</v>
      </c>
      <c r="I44" s="10" t="str">
        <f>VLOOKUP(Table1[[#This Row],[Account Manager ID]],Table2[[Employee ID]:[Full Name]],4,FALSE)</f>
        <v>Puti Nadine Prakasa</v>
      </c>
      <c r="J44" s="10" t="str">
        <f>INDEX(Employee!$D$4:$D$47,MATCH($H$4:$H$1003,Employee!$A$4:$A$47,0))</f>
        <v>Puti Nadine Prakasa</v>
      </c>
      <c r="K44" s="10" t="s">
        <v>74</v>
      </c>
      <c r="L44" s="10" t="s">
        <v>226</v>
      </c>
      <c r="M44" s="10" t="s">
        <v>81</v>
      </c>
      <c r="N44" s="10" t="s">
        <v>227</v>
      </c>
      <c r="O44" s="10" t="s">
        <v>76</v>
      </c>
      <c r="P44" s="10">
        <v>42604</v>
      </c>
      <c r="Q44" s="15">
        <v>132300</v>
      </c>
      <c r="R44" s="15">
        <v>314850</v>
      </c>
      <c r="S44" s="15">
        <f>Table1[[#This Row],[Retail Price]]-Table1[[#This Row],[Cost Price]]</f>
        <v>182550</v>
      </c>
      <c r="T44" s="10">
        <v>8</v>
      </c>
      <c r="U44" s="15">
        <f>Table1[[#This Row],[Profit Margin]]*Table1[[#This Row],[Order Quantity]]</f>
        <v>1460400</v>
      </c>
      <c r="V44" s="11">
        <v>0.09</v>
      </c>
      <c r="W44" s="15">
        <f t="shared" si="0"/>
        <v>131436</v>
      </c>
      <c r="X44" s="15">
        <f>Table1[[#This Row],[Sub Total]]-Table1[[#This Row],[Discount Rp]]</f>
        <v>1328964</v>
      </c>
      <c r="Y44" s="15">
        <f ca="1">OFFSET(Helper!$C$3,MATCH(Data!$N$4:$N$1003,Helper!$C$4:$C$9,0),MATCH(Data!$O$4:$O$1003,Helper!$D$3:$F$3,0))</f>
        <v>40000</v>
      </c>
      <c r="Z44" s="16">
        <f ca="1">Table1[[#This Row],[Order Total]]+Table1[[#This Row],[Shipping Cost]]</f>
        <v>1368964</v>
      </c>
    </row>
    <row r="45" spans="1:26" ht="15.75" customHeight="1" x14ac:dyDescent="0.3">
      <c r="A45" s="9" t="s">
        <v>228</v>
      </c>
      <c r="B45" s="18">
        <v>42603</v>
      </c>
      <c r="C45" s="10">
        <f>YEAR(Table1[[#This Row],[Order Date]])</f>
        <v>2016</v>
      </c>
      <c r="D45" s="10" t="s">
        <v>229</v>
      </c>
      <c r="E45" s="10" t="s">
        <v>172</v>
      </c>
      <c r="F45" s="10" t="s">
        <v>54</v>
      </c>
      <c r="G45" s="10" t="s">
        <v>87</v>
      </c>
      <c r="H45" s="10" t="s">
        <v>65</v>
      </c>
      <c r="I45" s="10" t="str">
        <f>VLOOKUP(Table1[[#This Row],[Account Manager ID]],Table2[[Employee ID]:[Full Name]],4,FALSE)</f>
        <v>Laras Nuraini</v>
      </c>
      <c r="J45" s="10" t="str">
        <f>INDEX(Employee!$D$4:$D$47,MATCH($H$4:$H$1003,Employee!$A$4:$A$47,0))</f>
        <v>Laras Nuraini</v>
      </c>
      <c r="K45" s="10" t="s">
        <v>74</v>
      </c>
      <c r="L45" s="10" t="s">
        <v>102</v>
      </c>
      <c r="M45" s="10" t="s">
        <v>59</v>
      </c>
      <c r="N45" s="10" t="s">
        <v>67</v>
      </c>
      <c r="O45" s="10" t="s">
        <v>61</v>
      </c>
      <c r="P45" s="10">
        <v>42605</v>
      </c>
      <c r="Q45" s="15">
        <v>16350.000000000002</v>
      </c>
      <c r="R45" s="15">
        <v>25200</v>
      </c>
      <c r="S45" s="15">
        <f>Table1[[#This Row],[Retail Price]]-Table1[[#This Row],[Cost Price]]</f>
        <v>8849.9999999999982</v>
      </c>
      <c r="T45" s="10">
        <v>18</v>
      </c>
      <c r="U45" s="15">
        <f>Table1[[#This Row],[Profit Margin]]*Table1[[#This Row],[Order Quantity]]</f>
        <v>159299.99999999997</v>
      </c>
      <c r="V45" s="11">
        <v>0.06</v>
      </c>
      <c r="W45" s="15">
        <f t="shared" si="0"/>
        <v>9557.9999999999982</v>
      </c>
      <c r="X45" s="15">
        <f>Table1[[#This Row],[Sub Total]]-Table1[[#This Row],[Discount Rp]]</f>
        <v>149741.99999999997</v>
      </c>
      <c r="Y45" s="15">
        <f ca="1">OFFSET(Helper!$C$3,MATCH(Data!$N$4:$N$1003,Helper!$C$4:$C$9,0),MATCH(Data!$O$4:$O$1003,Helper!$D$3:$F$3,0))</f>
        <v>5000</v>
      </c>
      <c r="Z45" s="16">
        <f ca="1">Table1[[#This Row],[Order Total]]+Table1[[#This Row],[Shipping Cost]]</f>
        <v>154741.99999999997</v>
      </c>
    </row>
    <row r="46" spans="1:26" ht="15.75" customHeight="1" x14ac:dyDescent="0.3">
      <c r="A46" s="9" t="s">
        <v>230</v>
      </c>
      <c r="B46" s="18">
        <v>42607</v>
      </c>
      <c r="C46" s="10">
        <f>YEAR(Table1[[#This Row],[Order Date]])</f>
        <v>2016</v>
      </c>
      <c r="D46" s="10" t="s">
        <v>63</v>
      </c>
      <c r="E46" s="10" t="s">
        <v>64</v>
      </c>
      <c r="F46" s="10" t="s">
        <v>54</v>
      </c>
      <c r="G46" s="10" t="s">
        <v>55</v>
      </c>
      <c r="H46" s="10" t="s">
        <v>65</v>
      </c>
      <c r="I46" s="10" t="str">
        <f>VLOOKUP(Table1[[#This Row],[Account Manager ID]],Table2[[Employee ID]:[Full Name]],4,FALSE)</f>
        <v>Laras Nuraini</v>
      </c>
      <c r="J46" s="10" t="str">
        <f>INDEX(Employee!$D$4:$D$47,MATCH($H$4:$H$1003,Employee!$A$4:$A$47,0))</f>
        <v>Laras Nuraini</v>
      </c>
      <c r="K46" s="10" t="s">
        <v>117</v>
      </c>
      <c r="L46" s="10" t="s">
        <v>173</v>
      </c>
      <c r="M46" s="10" t="s">
        <v>59</v>
      </c>
      <c r="N46" s="10" t="s">
        <v>67</v>
      </c>
      <c r="O46" s="10" t="s">
        <v>76</v>
      </c>
      <c r="P46" s="10">
        <v>42609</v>
      </c>
      <c r="Q46" s="15">
        <v>37800</v>
      </c>
      <c r="R46" s="15">
        <v>60000</v>
      </c>
      <c r="S46" s="15">
        <f>Table1[[#This Row],[Retail Price]]-Table1[[#This Row],[Cost Price]]</f>
        <v>22200</v>
      </c>
      <c r="T46" s="10">
        <v>19</v>
      </c>
      <c r="U46" s="15">
        <f>Table1[[#This Row],[Profit Margin]]*Table1[[#This Row],[Order Quantity]]</f>
        <v>421800</v>
      </c>
      <c r="V46" s="11">
        <v>0.09</v>
      </c>
      <c r="W46" s="15">
        <f t="shared" si="0"/>
        <v>37962</v>
      </c>
      <c r="X46" s="15">
        <f>Table1[[#This Row],[Sub Total]]-Table1[[#This Row],[Discount Rp]]</f>
        <v>383838</v>
      </c>
      <c r="Y46" s="15">
        <f ca="1">OFFSET(Helper!$C$3,MATCH(Data!$N$4:$N$1003,Helper!$C$4:$C$9,0),MATCH(Data!$O$4:$O$1003,Helper!$D$3:$F$3,0))</f>
        <v>10000</v>
      </c>
      <c r="Z46" s="16">
        <f ca="1">Table1[[#This Row],[Order Total]]+Table1[[#This Row],[Shipping Cost]]</f>
        <v>393838</v>
      </c>
    </row>
    <row r="47" spans="1:26" ht="15.75" customHeight="1" x14ac:dyDescent="0.3">
      <c r="A47" s="9" t="s">
        <v>231</v>
      </c>
      <c r="B47" s="18">
        <v>42608</v>
      </c>
      <c r="C47" s="10">
        <f>YEAR(Table1[[#This Row],[Order Date]])</f>
        <v>2016</v>
      </c>
      <c r="D47" s="10" t="s">
        <v>232</v>
      </c>
      <c r="E47" s="10" t="s">
        <v>233</v>
      </c>
      <c r="F47" s="10" t="s">
        <v>54</v>
      </c>
      <c r="G47" s="10" t="s">
        <v>55</v>
      </c>
      <c r="H47" s="10" t="s">
        <v>65</v>
      </c>
      <c r="I47" s="10" t="str">
        <f>VLOOKUP(Table1[[#This Row],[Account Manager ID]],Table2[[Employee ID]:[Full Name]],4,FALSE)</f>
        <v>Laras Nuraini</v>
      </c>
      <c r="J47" s="10" t="str">
        <f>INDEX(Employee!$D$4:$D$47,MATCH($H$4:$H$1003,Employee!$A$4:$A$47,0))</f>
        <v>Laras Nuraini</v>
      </c>
      <c r="K47" s="10" t="s">
        <v>57</v>
      </c>
      <c r="L47" s="10" t="s">
        <v>234</v>
      </c>
      <c r="M47" s="10" t="s">
        <v>59</v>
      </c>
      <c r="N47" s="10" t="s">
        <v>60</v>
      </c>
      <c r="O47" s="10" t="s">
        <v>61</v>
      </c>
      <c r="P47" s="10">
        <v>42609</v>
      </c>
      <c r="Q47" s="15">
        <v>208200</v>
      </c>
      <c r="R47" s="15">
        <v>335700</v>
      </c>
      <c r="S47" s="15">
        <f>Table1[[#This Row],[Retail Price]]-Table1[[#This Row],[Cost Price]]</f>
        <v>127500</v>
      </c>
      <c r="T47" s="10">
        <v>26</v>
      </c>
      <c r="U47" s="15">
        <f>Table1[[#This Row],[Profit Margin]]*Table1[[#This Row],[Order Quantity]]</f>
        <v>3315000</v>
      </c>
      <c r="V47" s="11">
        <v>0.1</v>
      </c>
      <c r="W47" s="15">
        <f t="shared" si="0"/>
        <v>331500</v>
      </c>
      <c r="X47" s="15">
        <f>Table1[[#This Row],[Sub Total]]-Table1[[#This Row],[Discount Rp]]</f>
        <v>2983500</v>
      </c>
      <c r="Y47" s="15">
        <f ca="1">OFFSET(Helper!$C$3,MATCH(Data!$N$4:$N$1003,Helper!$C$4:$C$9,0),MATCH(Data!$O$4:$O$1003,Helper!$D$3:$F$3,0))</f>
        <v>15000</v>
      </c>
      <c r="Z47" s="16">
        <f ca="1">Table1[[#This Row],[Order Total]]+Table1[[#This Row],[Shipping Cost]]</f>
        <v>2998500</v>
      </c>
    </row>
    <row r="48" spans="1:26" ht="15.75" customHeight="1" x14ac:dyDescent="0.3">
      <c r="A48" s="9" t="s">
        <v>235</v>
      </c>
      <c r="B48" s="18">
        <v>42608</v>
      </c>
      <c r="C48" s="10">
        <f>YEAR(Table1[[#This Row],[Order Date]])</f>
        <v>2016</v>
      </c>
      <c r="D48" s="10" t="s">
        <v>236</v>
      </c>
      <c r="E48" s="10" t="s">
        <v>237</v>
      </c>
      <c r="F48" s="10" t="s">
        <v>71</v>
      </c>
      <c r="G48" s="10" t="s">
        <v>72</v>
      </c>
      <c r="H48" s="10" t="s">
        <v>112</v>
      </c>
      <c r="I48" s="10" t="str">
        <f>VLOOKUP(Table1[[#This Row],[Account Manager ID]],Table2[[Employee ID]:[Full Name]],4,FALSE)</f>
        <v>Paiman Firgantoro</v>
      </c>
      <c r="J48" s="10" t="str">
        <f>INDEX(Employee!$D$4:$D$47,MATCH($H$4:$H$1003,Employee!$A$4:$A$47,0))</f>
        <v>Paiman Firgantoro</v>
      </c>
      <c r="K48" s="10" t="s">
        <v>107</v>
      </c>
      <c r="L48" s="10" t="s">
        <v>238</v>
      </c>
      <c r="M48" s="10" t="s">
        <v>59</v>
      </c>
      <c r="N48" s="10" t="s">
        <v>67</v>
      </c>
      <c r="O48" s="10" t="s">
        <v>61</v>
      </c>
      <c r="P48" s="10">
        <v>42610</v>
      </c>
      <c r="Q48" s="15">
        <v>323400</v>
      </c>
      <c r="R48" s="15">
        <v>548250</v>
      </c>
      <c r="S48" s="15">
        <f>Table1[[#This Row],[Retail Price]]-Table1[[#This Row],[Cost Price]]</f>
        <v>224850</v>
      </c>
      <c r="T48" s="10">
        <v>45</v>
      </c>
      <c r="U48" s="15">
        <f>Table1[[#This Row],[Profit Margin]]*Table1[[#This Row],[Order Quantity]]</f>
        <v>10118250</v>
      </c>
      <c r="V48" s="11">
        <v>0.1</v>
      </c>
      <c r="W48" s="15">
        <f t="shared" si="0"/>
        <v>1011825</v>
      </c>
      <c r="X48" s="15">
        <f>Table1[[#This Row],[Sub Total]]-Table1[[#This Row],[Discount Rp]]</f>
        <v>9106425</v>
      </c>
      <c r="Y48" s="15">
        <f ca="1">OFFSET(Helper!$C$3,MATCH(Data!$N$4:$N$1003,Helper!$C$4:$C$9,0),MATCH(Data!$O$4:$O$1003,Helper!$D$3:$F$3,0))</f>
        <v>5000</v>
      </c>
      <c r="Z48" s="16">
        <f ca="1">Table1[[#This Row],[Order Total]]+Table1[[#This Row],[Shipping Cost]]</f>
        <v>9111425</v>
      </c>
    </row>
    <row r="49" spans="1:26" ht="15.75" customHeight="1" x14ac:dyDescent="0.3">
      <c r="A49" s="9" t="s">
        <v>239</v>
      </c>
      <c r="B49" s="18">
        <v>42609</v>
      </c>
      <c r="C49" s="10">
        <f>YEAR(Table1[[#This Row],[Order Date]])</f>
        <v>2016</v>
      </c>
      <c r="D49" s="10" t="s">
        <v>240</v>
      </c>
      <c r="E49" s="10" t="s">
        <v>241</v>
      </c>
      <c r="F49" s="10" t="s">
        <v>71</v>
      </c>
      <c r="G49" s="10" t="s">
        <v>87</v>
      </c>
      <c r="H49" s="10" t="s">
        <v>146</v>
      </c>
      <c r="I49" s="10" t="str">
        <f>VLOOKUP(Table1[[#This Row],[Account Manager ID]],Table2[[Employee ID]:[Full Name]],4,FALSE)</f>
        <v>Kenari Rajasa</v>
      </c>
      <c r="J49" s="10" t="str">
        <f>INDEX(Employee!$D$4:$D$47,MATCH($H$4:$H$1003,Employee!$A$4:$A$47,0))</f>
        <v>Kenari Rajasa</v>
      </c>
      <c r="K49" s="10" t="s">
        <v>57</v>
      </c>
      <c r="L49" s="10" t="s">
        <v>242</v>
      </c>
      <c r="M49" s="10" t="s">
        <v>81</v>
      </c>
      <c r="N49" s="10" t="s">
        <v>60</v>
      </c>
      <c r="O49" s="10" t="s">
        <v>76</v>
      </c>
      <c r="P49" s="10">
        <v>42610</v>
      </c>
      <c r="Q49" s="15">
        <v>296700</v>
      </c>
      <c r="R49" s="15">
        <v>689850</v>
      </c>
      <c r="S49" s="15">
        <f>Table1[[#This Row],[Retail Price]]-Table1[[#This Row],[Cost Price]]</f>
        <v>393150</v>
      </c>
      <c r="T49" s="10">
        <v>14</v>
      </c>
      <c r="U49" s="15">
        <f>Table1[[#This Row],[Profit Margin]]*Table1[[#This Row],[Order Quantity]]</f>
        <v>5504100</v>
      </c>
      <c r="V49" s="11">
        <v>0.02</v>
      </c>
      <c r="W49" s="15">
        <f t="shared" si="0"/>
        <v>110082</v>
      </c>
      <c r="X49" s="15">
        <f>Table1[[#This Row],[Sub Total]]-Table1[[#This Row],[Discount Rp]]</f>
        <v>5394018</v>
      </c>
      <c r="Y49" s="15">
        <f ca="1">OFFSET(Helper!$C$3,MATCH(Data!$N$4:$N$1003,Helper!$C$4:$C$9,0),MATCH(Data!$O$4:$O$1003,Helper!$D$3:$F$3,0))</f>
        <v>30000</v>
      </c>
      <c r="Z49" s="16">
        <f ca="1">Table1[[#This Row],[Order Total]]+Table1[[#This Row],[Shipping Cost]]</f>
        <v>5424018</v>
      </c>
    </row>
    <row r="50" spans="1:26" ht="15.75" customHeight="1" x14ac:dyDescent="0.3">
      <c r="A50" s="9" t="s">
        <v>243</v>
      </c>
      <c r="B50" s="18">
        <v>42613</v>
      </c>
      <c r="C50" s="10">
        <f>YEAR(Table1[[#This Row],[Order Date]])</f>
        <v>2016</v>
      </c>
      <c r="D50" s="10" t="s">
        <v>244</v>
      </c>
      <c r="E50" s="10" t="s">
        <v>245</v>
      </c>
      <c r="F50" s="10" t="s">
        <v>71</v>
      </c>
      <c r="G50" s="10" t="s">
        <v>55</v>
      </c>
      <c r="H50" s="10" t="s">
        <v>146</v>
      </c>
      <c r="I50" s="10" t="str">
        <f>VLOOKUP(Table1[[#This Row],[Account Manager ID]],Table2[[Employee ID]:[Full Name]],4,FALSE)</f>
        <v>Kenari Rajasa</v>
      </c>
      <c r="J50" s="10" t="str">
        <f>INDEX(Employee!$D$4:$D$47,MATCH($H$4:$H$1003,Employee!$A$4:$A$47,0))</f>
        <v>Kenari Rajasa</v>
      </c>
      <c r="K50" s="10" t="s">
        <v>57</v>
      </c>
      <c r="L50" s="10" t="s">
        <v>246</v>
      </c>
      <c r="M50" s="10" t="s">
        <v>81</v>
      </c>
      <c r="N50" s="10" t="s">
        <v>227</v>
      </c>
      <c r="O50" s="10" t="s">
        <v>61</v>
      </c>
      <c r="P50" s="10">
        <v>42614</v>
      </c>
      <c r="Q50" s="15">
        <v>148650</v>
      </c>
      <c r="R50" s="15">
        <v>239850</v>
      </c>
      <c r="S50" s="15">
        <f>Table1[[#This Row],[Retail Price]]-Table1[[#This Row],[Cost Price]]</f>
        <v>91200</v>
      </c>
      <c r="T50" s="10">
        <v>7</v>
      </c>
      <c r="U50" s="15">
        <f>Table1[[#This Row],[Profit Margin]]*Table1[[#This Row],[Order Quantity]]</f>
        <v>638400</v>
      </c>
      <c r="V50" s="11">
        <v>0.03</v>
      </c>
      <c r="W50" s="15">
        <f t="shared" si="0"/>
        <v>19152</v>
      </c>
      <c r="X50" s="15">
        <f>Table1[[#This Row],[Sub Total]]-Table1[[#This Row],[Discount Rp]]</f>
        <v>619248</v>
      </c>
      <c r="Y50" s="15">
        <f ca="1">OFFSET(Helper!$C$3,MATCH(Data!$N$4:$N$1003,Helper!$C$4:$C$9,0),MATCH(Data!$O$4:$O$1003,Helper!$D$3:$F$3,0))</f>
        <v>20000</v>
      </c>
      <c r="Z50" s="16">
        <f ca="1">Table1[[#This Row],[Order Total]]+Table1[[#This Row],[Shipping Cost]]</f>
        <v>639248</v>
      </c>
    </row>
    <row r="51" spans="1:26" ht="15.75" customHeight="1" x14ac:dyDescent="0.3">
      <c r="A51" s="9" t="s">
        <v>247</v>
      </c>
      <c r="B51" s="18">
        <v>42613</v>
      </c>
      <c r="C51" s="10">
        <f>YEAR(Table1[[#This Row],[Order Date]])</f>
        <v>2016</v>
      </c>
      <c r="D51" s="10" t="s">
        <v>202</v>
      </c>
      <c r="E51" s="10" t="s">
        <v>189</v>
      </c>
      <c r="F51" s="10" t="s">
        <v>54</v>
      </c>
      <c r="G51" s="10" t="s">
        <v>55</v>
      </c>
      <c r="H51" s="10" t="s">
        <v>56</v>
      </c>
      <c r="I51" s="10" t="str">
        <f>VLOOKUP(Table1[[#This Row],[Account Manager ID]],Table2[[Employee ID]:[Full Name]],4,FALSE)</f>
        <v>Gaduh Pratama</v>
      </c>
      <c r="J51" s="10" t="str">
        <f>INDEX(Employee!$D$4:$D$47,MATCH($H$4:$H$1003,Employee!$A$4:$A$47,0))</f>
        <v>Gaduh Pratama</v>
      </c>
      <c r="K51" s="10" t="s">
        <v>107</v>
      </c>
      <c r="L51" s="10" t="s">
        <v>248</v>
      </c>
      <c r="M51" s="10" t="s">
        <v>59</v>
      </c>
      <c r="N51" s="10" t="s">
        <v>67</v>
      </c>
      <c r="O51" s="10" t="s">
        <v>61</v>
      </c>
      <c r="P51" s="10">
        <v>42614</v>
      </c>
      <c r="Q51" s="15">
        <v>56250</v>
      </c>
      <c r="R51" s="15">
        <v>106200</v>
      </c>
      <c r="S51" s="15">
        <f>Table1[[#This Row],[Retail Price]]-Table1[[#This Row],[Cost Price]]</f>
        <v>49950</v>
      </c>
      <c r="T51" s="10">
        <v>29</v>
      </c>
      <c r="U51" s="15">
        <f>Table1[[#This Row],[Profit Margin]]*Table1[[#This Row],[Order Quantity]]</f>
        <v>1448550</v>
      </c>
      <c r="V51" s="11">
        <v>0.04</v>
      </c>
      <c r="W51" s="15">
        <f t="shared" si="0"/>
        <v>57942</v>
      </c>
      <c r="X51" s="15">
        <f>Table1[[#This Row],[Sub Total]]-Table1[[#This Row],[Discount Rp]]</f>
        <v>1390608</v>
      </c>
      <c r="Y51" s="15">
        <f ca="1">OFFSET(Helper!$C$3,MATCH(Data!$N$4:$N$1003,Helper!$C$4:$C$9,0),MATCH(Data!$O$4:$O$1003,Helper!$D$3:$F$3,0))</f>
        <v>5000</v>
      </c>
      <c r="Z51" s="16">
        <f ca="1">Table1[[#This Row],[Order Total]]+Table1[[#This Row],[Shipping Cost]]</f>
        <v>1395608</v>
      </c>
    </row>
    <row r="52" spans="1:26" ht="15.75" customHeight="1" x14ac:dyDescent="0.3">
      <c r="A52" s="9" t="s">
        <v>249</v>
      </c>
      <c r="B52" s="18">
        <v>42614</v>
      </c>
      <c r="C52" s="10">
        <f>YEAR(Table1[[#This Row],[Order Date]])</f>
        <v>2016</v>
      </c>
      <c r="D52" s="10" t="s">
        <v>250</v>
      </c>
      <c r="E52" s="10" t="s">
        <v>251</v>
      </c>
      <c r="F52" s="10" t="s">
        <v>71</v>
      </c>
      <c r="G52" s="10" t="s">
        <v>72</v>
      </c>
      <c r="H52" s="10" t="s">
        <v>122</v>
      </c>
      <c r="I52" s="10" t="str">
        <f>VLOOKUP(Table1[[#This Row],[Account Manager ID]],Table2[[Employee ID]:[Full Name]],4,FALSE)</f>
        <v>Ophelia Mustofa</v>
      </c>
      <c r="J52" s="10" t="str">
        <f>INDEX(Employee!$D$4:$D$47,MATCH($H$4:$H$1003,Employee!$A$4:$A$47,0))</f>
        <v>Ophelia Mustofa</v>
      </c>
      <c r="K52" s="10" t="s">
        <v>57</v>
      </c>
      <c r="L52" s="10" t="s">
        <v>252</v>
      </c>
      <c r="M52" s="10" t="s">
        <v>253</v>
      </c>
      <c r="N52" s="10" t="s">
        <v>136</v>
      </c>
      <c r="O52" s="10" t="s">
        <v>61</v>
      </c>
      <c r="P52" s="10">
        <v>42615</v>
      </c>
      <c r="Q52" s="15">
        <v>82500</v>
      </c>
      <c r="R52" s="15">
        <v>183300</v>
      </c>
      <c r="S52" s="15">
        <f>Table1[[#This Row],[Retail Price]]-Table1[[#This Row],[Cost Price]]</f>
        <v>100800</v>
      </c>
      <c r="T52" s="10">
        <v>35</v>
      </c>
      <c r="U52" s="15">
        <f>Table1[[#This Row],[Profit Margin]]*Table1[[#This Row],[Order Quantity]]</f>
        <v>3528000</v>
      </c>
      <c r="V52" s="11">
        <v>0</v>
      </c>
      <c r="W52" s="15">
        <f t="shared" si="0"/>
        <v>0</v>
      </c>
      <c r="X52" s="15">
        <f>Table1[[#This Row],[Sub Total]]-Table1[[#This Row],[Discount Rp]]</f>
        <v>3528000</v>
      </c>
      <c r="Y52" s="15">
        <f ca="1">OFFSET(Helper!$C$3,MATCH(Data!$N$4:$N$1003,Helper!$C$4:$C$9,0),MATCH(Data!$O$4:$O$1003,Helper!$D$3:$F$3,0))</f>
        <v>10000</v>
      </c>
      <c r="Z52" s="16">
        <f ca="1">Table1[[#This Row],[Order Total]]+Table1[[#This Row],[Shipping Cost]]</f>
        <v>3538000</v>
      </c>
    </row>
    <row r="53" spans="1:26" ht="15.75" customHeight="1" x14ac:dyDescent="0.3">
      <c r="A53" s="9" t="s">
        <v>254</v>
      </c>
      <c r="B53" s="18">
        <v>42614</v>
      </c>
      <c r="C53" s="10">
        <f>YEAR(Table1[[#This Row],[Order Date]])</f>
        <v>2016</v>
      </c>
      <c r="D53" s="10" t="s">
        <v>255</v>
      </c>
      <c r="E53" s="10" t="s">
        <v>150</v>
      </c>
      <c r="F53" s="10" t="s">
        <v>71</v>
      </c>
      <c r="G53" s="10" t="s">
        <v>106</v>
      </c>
      <c r="H53" s="10" t="s">
        <v>88</v>
      </c>
      <c r="I53" s="10" t="str">
        <f>VLOOKUP(Table1[[#This Row],[Account Manager ID]],Table2[[Employee ID]:[Full Name]],4,FALSE)</f>
        <v>Bagiya Sihombing</v>
      </c>
      <c r="J53" s="10" t="str">
        <f>INDEX(Employee!$D$4:$D$47,MATCH($H$4:$H$1003,Employee!$A$4:$A$47,0))</f>
        <v>Bagiya Sihombing</v>
      </c>
      <c r="K53" s="10" t="s">
        <v>107</v>
      </c>
      <c r="L53" s="10" t="s">
        <v>256</v>
      </c>
      <c r="M53" s="10" t="s">
        <v>59</v>
      </c>
      <c r="N53" s="10" t="s">
        <v>60</v>
      </c>
      <c r="O53" s="10" t="s">
        <v>61</v>
      </c>
      <c r="P53" s="10">
        <v>42616</v>
      </c>
      <c r="Q53" s="15">
        <v>204600</v>
      </c>
      <c r="R53" s="15">
        <v>314700</v>
      </c>
      <c r="S53" s="15">
        <f>Table1[[#This Row],[Retail Price]]-Table1[[#This Row],[Cost Price]]</f>
        <v>110100</v>
      </c>
      <c r="T53" s="10">
        <v>47</v>
      </c>
      <c r="U53" s="15">
        <f>Table1[[#This Row],[Profit Margin]]*Table1[[#This Row],[Order Quantity]]</f>
        <v>5174700</v>
      </c>
      <c r="V53" s="11">
        <v>0.1</v>
      </c>
      <c r="W53" s="15">
        <f t="shared" si="0"/>
        <v>517470</v>
      </c>
      <c r="X53" s="15">
        <f>Table1[[#This Row],[Sub Total]]-Table1[[#This Row],[Discount Rp]]</f>
        <v>4657230</v>
      </c>
      <c r="Y53" s="15">
        <f ca="1">OFFSET(Helper!$C$3,MATCH(Data!$N$4:$N$1003,Helper!$C$4:$C$9,0),MATCH(Data!$O$4:$O$1003,Helper!$D$3:$F$3,0))</f>
        <v>15000</v>
      </c>
      <c r="Z53" s="16">
        <f ca="1">Table1[[#This Row],[Order Total]]+Table1[[#This Row],[Shipping Cost]]</f>
        <v>4672230</v>
      </c>
    </row>
    <row r="54" spans="1:26" ht="15.75" customHeight="1" x14ac:dyDescent="0.3">
      <c r="A54" s="9" t="s">
        <v>257</v>
      </c>
      <c r="B54" s="18">
        <v>42615</v>
      </c>
      <c r="C54" s="10">
        <f>YEAR(Table1[[#This Row],[Order Date]])</f>
        <v>2016</v>
      </c>
      <c r="D54" s="10" t="s">
        <v>219</v>
      </c>
      <c r="E54" s="10" t="s">
        <v>53</v>
      </c>
      <c r="F54" s="10" t="s">
        <v>54</v>
      </c>
      <c r="G54" s="10" t="s">
        <v>87</v>
      </c>
      <c r="H54" s="10" t="s">
        <v>56</v>
      </c>
      <c r="I54" s="10" t="str">
        <f>VLOOKUP(Table1[[#This Row],[Account Manager ID]],Table2[[Employee ID]:[Full Name]],4,FALSE)</f>
        <v>Gaduh Pratama</v>
      </c>
      <c r="J54" s="10" t="str">
        <f>INDEX(Employee!$D$4:$D$47,MATCH($H$4:$H$1003,Employee!$A$4:$A$47,0))</f>
        <v>Gaduh Pratama</v>
      </c>
      <c r="K54" s="10" t="s">
        <v>57</v>
      </c>
      <c r="L54" s="10" t="s">
        <v>135</v>
      </c>
      <c r="M54" s="10" t="s">
        <v>59</v>
      </c>
      <c r="N54" s="10" t="s">
        <v>136</v>
      </c>
      <c r="O54" s="10" t="s">
        <v>61</v>
      </c>
      <c r="P54" s="10">
        <v>42615</v>
      </c>
      <c r="Q54" s="15">
        <v>51300</v>
      </c>
      <c r="R54" s="15">
        <v>125100</v>
      </c>
      <c r="S54" s="15">
        <f>Table1[[#This Row],[Retail Price]]-Table1[[#This Row],[Cost Price]]</f>
        <v>73800</v>
      </c>
      <c r="T54" s="10">
        <v>24</v>
      </c>
      <c r="U54" s="15">
        <f>Table1[[#This Row],[Profit Margin]]*Table1[[#This Row],[Order Quantity]]</f>
        <v>1771200</v>
      </c>
      <c r="V54" s="11">
        <v>0.1</v>
      </c>
      <c r="W54" s="15">
        <f t="shared" si="0"/>
        <v>177120</v>
      </c>
      <c r="X54" s="15">
        <f>Table1[[#This Row],[Sub Total]]-Table1[[#This Row],[Discount Rp]]</f>
        <v>1594080</v>
      </c>
      <c r="Y54" s="15">
        <f ca="1">OFFSET(Helper!$C$3,MATCH(Data!$N$4:$N$1003,Helper!$C$4:$C$9,0),MATCH(Data!$O$4:$O$1003,Helper!$D$3:$F$3,0))</f>
        <v>10000</v>
      </c>
      <c r="Z54" s="16">
        <f ca="1">Table1[[#This Row],[Order Total]]+Table1[[#This Row],[Shipping Cost]]</f>
        <v>1604080</v>
      </c>
    </row>
    <row r="55" spans="1:26" ht="15.75" customHeight="1" x14ac:dyDescent="0.3">
      <c r="A55" s="9" t="s">
        <v>258</v>
      </c>
      <c r="B55" s="18">
        <v>42616</v>
      </c>
      <c r="C55" s="10">
        <f>YEAR(Table1[[#This Row],[Order Date]])</f>
        <v>2016</v>
      </c>
      <c r="D55" s="10" t="s">
        <v>259</v>
      </c>
      <c r="E55" s="10" t="s">
        <v>260</v>
      </c>
      <c r="F55" s="10" t="s">
        <v>261</v>
      </c>
      <c r="G55" s="10" t="s">
        <v>106</v>
      </c>
      <c r="H55" s="10" t="s">
        <v>146</v>
      </c>
      <c r="I55" s="10" t="str">
        <f>VLOOKUP(Table1[[#This Row],[Account Manager ID]],Table2[[Employee ID]:[Full Name]],4,FALSE)</f>
        <v>Kenari Rajasa</v>
      </c>
      <c r="J55" s="10" t="str">
        <f>INDEX(Employee!$D$4:$D$47,MATCH($H$4:$H$1003,Employee!$A$4:$A$47,0))</f>
        <v>Kenari Rajasa</v>
      </c>
      <c r="K55" s="10" t="s">
        <v>74</v>
      </c>
      <c r="L55" s="10" t="s">
        <v>142</v>
      </c>
      <c r="M55" s="10" t="s">
        <v>59</v>
      </c>
      <c r="N55" s="10" t="s">
        <v>60</v>
      </c>
      <c r="O55" s="10" t="s">
        <v>76</v>
      </c>
      <c r="P55" s="10">
        <v>42617</v>
      </c>
      <c r="Q55" s="15">
        <v>68850</v>
      </c>
      <c r="R55" s="15">
        <v>109200</v>
      </c>
      <c r="S55" s="15">
        <f>Table1[[#This Row],[Retail Price]]-Table1[[#This Row],[Cost Price]]</f>
        <v>40350</v>
      </c>
      <c r="T55" s="10">
        <v>2</v>
      </c>
      <c r="U55" s="15">
        <f>Table1[[#This Row],[Profit Margin]]*Table1[[#This Row],[Order Quantity]]</f>
        <v>80700</v>
      </c>
      <c r="V55" s="11">
        <v>0.08</v>
      </c>
      <c r="W55" s="15">
        <f t="shared" si="0"/>
        <v>6456</v>
      </c>
      <c r="X55" s="15">
        <f>Table1[[#This Row],[Sub Total]]-Table1[[#This Row],[Discount Rp]]</f>
        <v>74244</v>
      </c>
      <c r="Y55" s="15">
        <f ca="1">OFFSET(Helper!$C$3,MATCH(Data!$N$4:$N$1003,Helper!$C$4:$C$9,0),MATCH(Data!$O$4:$O$1003,Helper!$D$3:$F$3,0))</f>
        <v>30000</v>
      </c>
      <c r="Z55" s="16">
        <f ca="1">Table1[[#This Row],[Order Total]]+Table1[[#This Row],[Shipping Cost]]</f>
        <v>104244</v>
      </c>
    </row>
    <row r="56" spans="1:26" ht="15.75" customHeight="1" x14ac:dyDescent="0.3">
      <c r="A56" s="9" t="s">
        <v>262</v>
      </c>
      <c r="B56" s="18">
        <v>42616</v>
      </c>
      <c r="C56" s="10">
        <f>YEAR(Table1[[#This Row],[Order Date]])</f>
        <v>2016</v>
      </c>
      <c r="D56" s="10" t="s">
        <v>263</v>
      </c>
      <c r="E56" s="10" t="s">
        <v>264</v>
      </c>
      <c r="F56" s="10" t="s">
        <v>54</v>
      </c>
      <c r="G56" s="10" t="s">
        <v>72</v>
      </c>
      <c r="H56" s="10" t="s">
        <v>56</v>
      </c>
      <c r="I56" s="10" t="str">
        <f>VLOOKUP(Table1[[#This Row],[Account Manager ID]],Table2[[Employee ID]:[Full Name]],4,FALSE)</f>
        <v>Gaduh Pratama</v>
      </c>
      <c r="J56" s="10" t="str">
        <f>INDEX(Employee!$D$4:$D$47,MATCH($H$4:$H$1003,Employee!$A$4:$A$47,0))</f>
        <v>Gaduh Pratama</v>
      </c>
      <c r="K56" s="10" t="s">
        <v>74</v>
      </c>
      <c r="L56" s="10" t="s">
        <v>265</v>
      </c>
      <c r="M56" s="10" t="s">
        <v>59</v>
      </c>
      <c r="N56" s="10" t="s">
        <v>60</v>
      </c>
      <c r="O56" s="10" t="s">
        <v>61</v>
      </c>
      <c r="P56" s="10">
        <v>42618</v>
      </c>
      <c r="Q56" s="15">
        <v>17700</v>
      </c>
      <c r="R56" s="15">
        <v>28200</v>
      </c>
      <c r="S56" s="15">
        <f>Table1[[#This Row],[Retail Price]]-Table1[[#This Row],[Cost Price]]</f>
        <v>10500</v>
      </c>
      <c r="T56" s="10">
        <v>1</v>
      </c>
      <c r="U56" s="15">
        <f>Table1[[#This Row],[Profit Margin]]*Table1[[#This Row],[Order Quantity]]</f>
        <v>10500</v>
      </c>
      <c r="V56" s="11">
        <v>0.05</v>
      </c>
      <c r="W56" s="15">
        <f t="shared" si="0"/>
        <v>525</v>
      </c>
      <c r="X56" s="15">
        <f>Table1[[#This Row],[Sub Total]]-Table1[[#This Row],[Discount Rp]]</f>
        <v>9975</v>
      </c>
      <c r="Y56" s="15">
        <f ca="1">OFFSET(Helper!$C$3,MATCH(Data!$N$4:$N$1003,Helper!$C$4:$C$9,0),MATCH(Data!$O$4:$O$1003,Helper!$D$3:$F$3,0))</f>
        <v>15000</v>
      </c>
      <c r="Z56" s="16">
        <f ca="1">Table1[[#This Row],[Order Total]]+Table1[[#This Row],[Shipping Cost]]</f>
        <v>24975</v>
      </c>
    </row>
    <row r="57" spans="1:26" ht="15.75" customHeight="1" x14ac:dyDescent="0.3">
      <c r="A57" s="9" t="s">
        <v>266</v>
      </c>
      <c r="B57" s="18">
        <v>42617</v>
      </c>
      <c r="C57" s="10">
        <f>YEAR(Table1[[#This Row],[Order Date]])</f>
        <v>2016</v>
      </c>
      <c r="D57" s="10" t="s">
        <v>267</v>
      </c>
      <c r="E57" s="10" t="s">
        <v>268</v>
      </c>
      <c r="F57" s="10" t="s">
        <v>71</v>
      </c>
      <c r="G57" s="10" t="s">
        <v>55</v>
      </c>
      <c r="H57" s="10" t="s">
        <v>146</v>
      </c>
      <c r="I57" s="10" t="str">
        <f>VLOOKUP(Table1[[#This Row],[Account Manager ID]],Table2[[Employee ID]:[Full Name]],4,FALSE)</f>
        <v>Kenari Rajasa</v>
      </c>
      <c r="J57" s="10" t="str">
        <f>INDEX(Employee!$D$4:$D$47,MATCH($H$4:$H$1003,Employee!$A$4:$A$47,0))</f>
        <v>Kenari Rajasa</v>
      </c>
      <c r="K57" s="10" t="s">
        <v>117</v>
      </c>
      <c r="L57" s="10" t="s">
        <v>269</v>
      </c>
      <c r="M57" s="10" t="s">
        <v>81</v>
      </c>
      <c r="N57" s="10" t="s">
        <v>60</v>
      </c>
      <c r="O57" s="10" t="s">
        <v>76</v>
      </c>
      <c r="P57" s="10">
        <v>42619</v>
      </c>
      <c r="Q57" s="15">
        <v>96000</v>
      </c>
      <c r="R57" s="15">
        <v>436500</v>
      </c>
      <c r="S57" s="15">
        <f>Table1[[#This Row],[Retail Price]]-Table1[[#This Row],[Cost Price]]</f>
        <v>340500</v>
      </c>
      <c r="T57" s="10">
        <v>33</v>
      </c>
      <c r="U57" s="15">
        <f>Table1[[#This Row],[Profit Margin]]*Table1[[#This Row],[Order Quantity]]</f>
        <v>11236500</v>
      </c>
      <c r="V57" s="11">
        <v>0.01</v>
      </c>
      <c r="W57" s="15">
        <f t="shared" si="0"/>
        <v>112365</v>
      </c>
      <c r="X57" s="15">
        <f>Table1[[#This Row],[Sub Total]]-Table1[[#This Row],[Discount Rp]]</f>
        <v>11124135</v>
      </c>
      <c r="Y57" s="15">
        <f ca="1">OFFSET(Helper!$C$3,MATCH(Data!$N$4:$N$1003,Helper!$C$4:$C$9,0),MATCH(Data!$O$4:$O$1003,Helper!$D$3:$F$3,0))</f>
        <v>30000</v>
      </c>
      <c r="Z57" s="16">
        <f ca="1">Table1[[#This Row],[Order Total]]+Table1[[#This Row],[Shipping Cost]]</f>
        <v>11154135</v>
      </c>
    </row>
    <row r="58" spans="1:26" ht="15.75" customHeight="1" x14ac:dyDescent="0.3">
      <c r="A58" s="9" t="s">
        <v>270</v>
      </c>
      <c r="B58" s="18">
        <v>42620</v>
      </c>
      <c r="C58" s="10">
        <f>YEAR(Table1[[#This Row],[Order Date]])</f>
        <v>2016</v>
      </c>
      <c r="D58" s="10" t="s">
        <v>271</v>
      </c>
      <c r="E58" s="10" t="s">
        <v>154</v>
      </c>
      <c r="F58" s="10" t="s">
        <v>71</v>
      </c>
      <c r="G58" s="10" t="s">
        <v>106</v>
      </c>
      <c r="H58" s="10" t="s">
        <v>155</v>
      </c>
      <c r="I58" s="10" t="str">
        <f>VLOOKUP(Table1[[#This Row],[Account Manager ID]],Table2[[Employee ID]:[Full Name]],4,FALSE)</f>
        <v>Puti Nadine Prakasa</v>
      </c>
      <c r="J58" s="10" t="str">
        <f>INDEX(Employee!$D$4:$D$47,MATCH($H$4:$H$1003,Employee!$A$4:$A$47,0))</f>
        <v>Puti Nadine Prakasa</v>
      </c>
      <c r="K58" s="10" t="s">
        <v>74</v>
      </c>
      <c r="L58" s="10" t="s">
        <v>272</v>
      </c>
      <c r="M58" s="10" t="s">
        <v>59</v>
      </c>
      <c r="N58" s="10" t="s">
        <v>60</v>
      </c>
      <c r="O58" s="10" t="s">
        <v>61</v>
      </c>
      <c r="P58" s="10">
        <v>42620</v>
      </c>
      <c r="Q58" s="15">
        <v>57600</v>
      </c>
      <c r="R58" s="15">
        <v>94500</v>
      </c>
      <c r="S58" s="15">
        <f>Table1[[#This Row],[Retail Price]]-Table1[[#This Row],[Cost Price]]</f>
        <v>36900</v>
      </c>
      <c r="T58" s="10">
        <v>42</v>
      </c>
      <c r="U58" s="15">
        <f>Table1[[#This Row],[Profit Margin]]*Table1[[#This Row],[Order Quantity]]</f>
        <v>1549800</v>
      </c>
      <c r="V58" s="11">
        <v>7.0000000000000007E-2</v>
      </c>
      <c r="W58" s="15">
        <f t="shared" si="0"/>
        <v>108486.00000000001</v>
      </c>
      <c r="X58" s="15">
        <f>Table1[[#This Row],[Sub Total]]-Table1[[#This Row],[Discount Rp]]</f>
        <v>1441314</v>
      </c>
      <c r="Y58" s="15">
        <f ca="1">OFFSET(Helper!$C$3,MATCH(Data!$N$4:$N$1003,Helper!$C$4:$C$9,0),MATCH(Data!$O$4:$O$1003,Helper!$D$3:$F$3,0))</f>
        <v>15000</v>
      </c>
      <c r="Z58" s="16">
        <f ca="1">Table1[[#This Row],[Order Total]]+Table1[[#This Row],[Shipping Cost]]</f>
        <v>1456314</v>
      </c>
    </row>
    <row r="59" spans="1:26" ht="15.75" customHeight="1" x14ac:dyDescent="0.3">
      <c r="A59" s="9" t="s">
        <v>273</v>
      </c>
      <c r="B59" s="18">
        <v>42621</v>
      </c>
      <c r="C59" s="10">
        <f>YEAR(Table1[[#This Row],[Order Date]])</f>
        <v>2016</v>
      </c>
      <c r="D59" s="10" t="s">
        <v>274</v>
      </c>
      <c r="E59" s="10" t="s">
        <v>275</v>
      </c>
      <c r="F59" s="10" t="s">
        <v>71</v>
      </c>
      <c r="G59" s="10" t="s">
        <v>55</v>
      </c>
      <c r="H59" s="10" t="s">
        <v>146</v>
      </c>
      <c r="I59" s="10" t="str">
        <f>VLOOKUP(Table1[[#This Row],[Account Manager ID]],Table2[[Employee ID]:[Full Name]],4,FALSE)</f>
        <v>Kenari Rajasa</v>
      </c>
      <c r="J59" s="10" t="str">
        <f>INDEX(Employee!$D$4:$D$47,MATCH($H$4:$H$1003,Employee!$A$4:$A$47,0))</f>
        <v>Kenari Rajasa</v>
      </c>
      <c r="K59" s="10" t="s">
        <v>117</v>
      </c>
      <c r="L59" s="10" t="s">
        <v>276</v>
      </c>
      <c r="M59" s="10" t="s">
        <v>81</v>
      </c>
      <c r="N59" s="10" t="s">
        <v>60</v>
      </c>
      <c r="O59" s="10" t="s">
        <v>61</v>
      </c>
      <c r="P59" s="10">
        <v>42622</v>
      </c>
      <c r="Q59" s="15">
        <v>2347500</v>
      </c>
      <c r="R59" s="15">
        <v>4514550</v>
      </c>
      <c r="S59" s="15">
        <f>Table1[[#This Row],[Retail Price]]-Table1[[#This Row],[Cost Price]]</f>
        <v>2167050</v>
      </c>
      <c r="T59" s="10">
        <v>14</v>
      </c>
      <c r="U59" s="15">
        <f>Table1[[#This Row],[Profit Margin]]*Table1[[#This Row],[Order Quantity]]</f>
        <v>30338700</v>
      </c>
      <c r="V59" s="11">
        <v>0.1</v>
      </c>
      <c r="W59" s="15">
        <f t="shared" si="0"/>
        <v>3033870</v>
      </c>
      <c r="X59" s="15">
        <f>Table1[[#This Row],[Sub Total]]-Table1[[#This Row],[Discount Rp]]</f>
        <v>27304830</v>
      </c>
      <c r="Y59" s="15">
        <f ca="1">OFFSET(Helper!$C$3,MATCH(Data!$N$4:$N$1003,Helper!$C$4:$C$9,0),MATCH(Data!$O$4:$O$1003,Helper!$D$3:$F$3,0))</f>
        <v>15000</v>
      </c>
      <c r="Z59" s="16">
        <f ca="1">Table1[[#This Row],[Order Total]]+Table1[[#This Row],[Shipping Cost]]</f>
        <v>27319830</v>
      </c>
    </row>
    <row r="60" spans="1:26" ht="15.75" customHeight="1" x14ac:dyDescent="0.3">
      <c r="A60" s="9" t="s">
        <v>277</v>
      </c>
      <c r="B60" s="18">
        <v>42622</v>
      </c>
      <c r="C60" s="10">
        <f>YEAR(Table1[[#This Row],[Order Date]])</f>
        <v>2016</v>
      </c>
      <c r="D60" s="10" t="s">
        <v>278</v>
      </c>
      <c r="E60" s="10" t="s">
        <v>279</v>
      </c>
      <c r="F60" s="10" t="s">
        <v>71</v>
      </c>
      <c r="G60" s="10" t="s">
        <v>72</v>
      </c>
      <c r="H60" s="10" t="s">
        <v>155</v>
      </c>
      <c r="I60" s="10" t="str">
        <f>VLOOKUP(Table1[[#This Row],[Account Manager ID]],Table2[[Employee ID]:[Full Name]],4,FALSE)</f>
        <v>Puti Nadine Prakasa</v>
      </c>
      <c r="J60" s="10" t="str">
        <f>INDEX(Employee!$D$4:$D$47,MATCH($H$4:$H$1003,Employee!$A$4:$A$47,0))</f>
        <v>Puti Nadine Prakasa</v>
      </c>
      <c r="K60" s="10" t="s">
        <v>92</v>
      </c>
      <c r="L60" s="10" t="s">
        <v>280</v>
      </c>
      <c r="M60" s="10" t="s">
        <v>59</v>
      </c>
      <c r="N60" s="10" t="s">
        <v>67</v>
      </c>
      <c r="O60" s="10" t="s">
        <v>61</v>
      </c>
      <c r="P60" s="10">
        <v>42626</v>
      </c>
      <c r="Q60" s="15">
        <v>34350</v>
      </c>
      <c r="R60" s="15">
        <v>53700</v>
      </c>
      <c r="S60" s="15">
        <f>Table1[[#This Row],[Retail Price]]-Table1[[#This Row],[Cost Price]]</f>
        <v>19350</v>
      </c>
      <c r="T60" s="10">
        <v>38</v>
      </c>
      <c r="U60" s="15">
        <f>Table1[[#This Row],[Profit Margin]]*Table1[[#This Row],[Order Quantity]]</f>
        <v>735300</v>
      </c>
      <c r="V60" s="11">
        <v>0.06</v>
      </c>
      <c r="W60" s="15">
        <f t="shared" si="0"/>
        <v>44118</v>
      </c>
      <c r="X60" s="15">
        <f>Table1[[#This Row],[Sub Total]]-Table1[[#This Row],[Discount Rp]]</f>
        <v>691182</v>
      </c>
      <c r="Y60" s="15">
        <f ca="1">OFFSET(Helper!$C$3,MATCH(Data!$N$4:$N$1003,Helper!$C$4:$C$9,0),MATCH(Data!$O$4:$O$1003,Helper!$D$3:$F$3,0))</f>
        <v>5000</v>
      </c>
      <c r="Z60" s="16">
        <f ca="1">Table1[[#This Row],[Order Total]]+Table1[[#This Row],[Shipping Cost]]</f>
        <v>696182</v>
      </c>
    </row>
    <row r="61" spans="1:26" ht="15.75" customHeight="1" x14ac:dyDescent="0.3">
      <c r="A61" s="9" t="s">
        <v>281</v>
      </c>
      <c r="B61" s="18">
        <v>42623</v>
      </c>
      <c r="C61" s="10">
        <f>YEAR(Table1[[#This Row],[Order Date]])</f>
        <v>2016</v>
      </c>
      <c r="D61" s="10" t="s">
        <v>282</v>
      </c>
      <c r="E61" s="10" t="s">
        <v>283</v>
      </c>
      <c r="F61" s="10" t="s">
        <v>261</v>
      </c>
      <c r="G61" s="10" t="s">
        <v>55</v>
      </c>
      <c r="H61" s="10" t="s">
        <v>194</v>
      </c>
      <c r="I61" s="10" t="str">
        <f>VLOOKUP(Table1[[#This Row],[Account Manager ID]],Table2[[Employee ID]:[Full Name]],4,FALSE)</f>
        <v>Nabila Prakasa</v>
      </c>
      <c r="J61" s="10" t="str">
        <f>INDEX(Employee!$D$4:$D$47,MATCH($H$4:$H$1003,Employee!$A$4:$A$47,0))</f>
        <v>Nabila Prakasa</v>
      </c>
      <c r="K61" s="10" t="s">
        <v>57</v>
      </c>
      <c r="L61" s="10" t="s">
        <v>284</v>
      </c>
      <c r="M61" s="10" t="s">
        <v>59</v>
      </c>
      <c r="N61" s="10" t="s">
        <v>60</v>
      </c>
      <c r="O61" s="10" t="s">
        <v>76</v>
      </c>
      <c r="P61" s="10">
        <v>42623</v>
      </c>
      <c r="Q61" s="15">
        <v>33750</v>
      </c>
      <c r="R61" s="15">
        <v>55350</v>
      </c>
      <c r="S61" s="15">
        <f>Table1[[#This Row],[Retail Price]]-Table1[[#This Row],[Cost Price]]</f>
        <v>21600</v>
      </c>
      <c r="T61" s="10">
        <v>35</v>
      </c>
      <c r="U61" s="15">
        <f>Table1[[#This Row],[Profit Margin]]*Table1[[#This Row],[Order Quantity]]</f>
        <v>756000</v>
      </c>
      <c r="V61" s="11">
        <v>0.03</v>
      </c>
      <c r="W61" s="15">
        <f t="shared" si="0"/>
        <v>22680</v>
      </c>
      <c r="X61" s="15">
        <f>Table1[[#This Row],[Sub Total]]-Table1[[#This Row],[Discount Rp]]</f>
        <v>733320</v>
      </c>
      <c r="Y61" s="15">
        <f ca="1">OFFSET(Helper!$C$3,MATCH(Data!$N$4:$N$1003,Helper!$C$4:$C$9,0),MATCH(Data!$O$4:$O$1003,Helper!$D$3:$F$3,0))</f>
        <v>30000</v>
      </c>
      <c r="Z61" s="16">
        <f ca="1">Table1[[#This Row],[Order Total]]+Table1[[#This Row],[Shipping Cost]]</f>
        <v>763320</v>
      </c>
    </row>
    <row r="62" spans="1:26" ht="15.75" customHeight="1" x14ac:dyDescent="0.3">
      <c r="A62" s="9" t="s">
        <v>285</v>
      </c>
      <c r="B62" s="18">
        <v>42623</v>
      </c>
      <c r="C62" s="10">
        <f>YEAR(Table1[[#This Row],[Order Date]])</f>
        <v>2016</v>
      </c>
      <c r="D62" s="10" t="s">
        <v>286</v>
      </c>
      <c r="E62" s="10" t="s">
        <v>133</v>
      </c>
      <c r="F62" s="10" t="s">
        <v>261</v>
      </c>
      <c r="G62" s="10" t="s">
        <v>106</v>
      </c>
      <c r="H62" s="10" t="s">
        <v>194</v>
      </c>
      <c r="I62" s="10" t="str">
        <f>VLOOKUP(Table1[[#This Row],[Account Manager ID]],Table2[[Employee ID]:[Full Name]],4,FALSE)</f>
        <v>Nabila Prakasa</v>
      </c>
      <c r="J62" s="10" t="str">
        <f>INDEX(Employee!$D$4:$D$47,MATCH($H$4:$H$1003,Employee!$A$4:$A$47,0))</f>
        <v>Nabila Prakasa</v>
      </c>
      <c r="K62" s="10" t="s">
        <v>117</v>
      </c>
      <c r="L62" s="10" t="s">
        <v>287</v>
      </c>
      <c r="M62" s="10" t="s">
        <v>59</v>
      </c>
      <c r="N62" s="10" t="s">
        <v>60</v>
      </c>
      <c r="O62" s="10" t="s">
        <v>76</v>
      </c>
      <c r="P62" s="10">
        <v>42623</v>
      </c>
      <c r="Q62" s="15">
        <v>185850</v>
      </c>
      <c r="R62" s="15">
        <v>299700</v>
      </c>
      <c r="S62" s="15">
        <f>Table1[[#This Row],[Retail Price]]-Table1[[#This Row],[Cost Price]]</f>
        <v>113850</v>
      </c>
      <c r="T62" s="10">
        <v>13</v>
      </c>
      <c r="U62" s="15">
        <f>Table1[[#This Row],[Profit Margin]]*Table1[[#This Row],[Order Quantity]]</f>
        <v>1480050</v>
      </c>
      <c r="V62" s="11">
        <v>0.1</v>
      </c>
      <c r="W62" s="15">
        <f t="shared" si="0"/>
        <v>148005</v>
      </c>
      <c r="X62" s="15">
        <f>Table1[[#This Row],[Sub Total]]-Table1[[#This Row],[Discount Rp]]</f>
        <v>1332045</v>
      </c>
      <c r="Y62" s="15">
        <f ca="1">OFFSET(Helper!$C$3,MATCH(Data!$N$4:$N$1003,Helper!$C$4:$C$9,0),MATCH(Data!$O$4:$O$1003,Helper!$D$3:$F$3,0))</f>
        <v>30000</v>
      </c>
      <c r="Z62" s="16">
        <f ca="1">Table1[[#This Row],[Order Total]]+Table1[[#This Row],[Shipping Cost]]</f>
        <v>1362045</v>
      </c>
    </row>
    <row r="63" spans="1:26" ht="15.75" customHeight="1" x14ac:dyDescent="0.3">
      <c r="A63" s="9" t="s">
        <v>288</v>
      </c>
      <c r="B63" s="18">
        <v>42625</v>
      </c>
      <c r="C63" s="10">
        <f>YEAR(Table1[[#This Row],[Order Date]])</f>
        <v>2016</v>
      </c>
      <c r="D63" s="10" t="s">
        <v>289</v>
      </c>
      <c r="E63" s="10" t="s">
        <v>290</v>
      </c>
      <c r="F63" s="10" t="s">
        <v>71</v>
      </c>
      <c r="G63" s="10" t="s">
        <v>72</v>
      </c>
      <c r="H63" s="10" t="s">
        <v>88</v>
      </c>
      <c r="I63" s="10" t="str">
        <f>VLOOKUP(Table1[[#This Row],[Account Manager ID]],Table2[[Employee ID]:[Full Name]],4,FALSE)</f>
        <v>Bagiya Sihombing</v>
      </c>
      <c r="J63" s="10" t="str">
        <f>INDEX(Employee!$D$4:$D$47,MATCH($H$4:$H$1003,Employee!$A$4:$A$47,0))</f>
        <v>Bagiya Sihombing</v>
      </c>
      <c r="K63" s="10" t="s">
        <v>117</v>
      </c>
      <c r="L63" s="10" t="s">
        <v>291</v>
      </c>
      <c r="M63" s="10" t="s">
        <v>59</v>
      </c>
      <c r="N63" s="10" t="s">
        <v>60</v>
      </c>
      <c r="O63" s="10" t="s">
        <v>61</v>
      </c>
      <c r="P63" s="10">
        <v>42625</v>
      </c>
      <c r="Q63" s="15">
        <v>133800</v>
      </c>
      <c r="R63" s="15">
        <v>446100</v>
      </c>
      <c r="S63" s="15">
        <f>Table1[[#This Row],[Retail Price]]-Table1[[#This Row],[Cost Price]]</f>
        <v>312300</v>
      </c>
      <c r="T63" s="10">
        <v>14</v>
      </c>
      <c r="U63" s="15">
        <f>Table1[[#This Row],[Profit Margin]]*Table1[[#This Row],[Order Quantity]]</f>
        <v>4372200</v>
      </c>
      <c r="V63" s="11">
        <v>0.02</v>
      </c>
      <c r="W63" s="15">
        <f t="shared" si="0"/>
        <v>87444</v>
      </c>
      <c r="X63" s="15">
        <f>Table1[[#This Row],[Sub Total]]-Table1[[#This Row],[Discount Rp]]</f>
        <v>4284756</v>
      </c>
      <c r="Y63" s="15">
        <f ca="1">OFFSET(Helper!$C$3,MATCH(Data!$N$4:$N$1003,Helper!$C$4:$C$9,0),MATCH(Data!$O$4:$O$1003,Helper!$D$3:$F$3,0))</f>
        <v>15000</v>
      </c>
      <c r="Z63" s="16">
        <f ca="1">Table1[[#This Row],[Order Total]]+Table1[[#This Row],[Shipping Cost]]</f>
        <v>4299756</v>
      </c>
    </row>
    <row r="64" spans="1:26" ht="15.75" customHeight="1" x14ac:dyDescent="0.3">
      <c r="A64" s="9" t="s">
        <v>292</v>
      </c>
      <c r="B64" s="18">
        <v>42625</v>
      </c>
      <c r="C64" s="10">
        <f>YEAR(Table1[[#This Row],[Order Date]])</f>
        <v>2016</v>
      </c>
      <c r="D64" s="10" t="s">
        <v>293</v>
      </c>
      <c r="E64" s="10" t="s">
        <v>145</v>
      </c>
      <c r="F64" s="10" t="s">
        <v>71</v>
      </c>
      <c r="G64" s="10" t="s">
        <v>106</v>
      </c>
      <c r="H64" s="10" t="s">
        <v>146</v>
      </c>
      <c r="I64" s="10" t="str">
        <f>VLOOKUP(Table1[[#This Row],[Account Manager ID]],Table2[[Employee ID]:[Full Name]],4,FALSE)</f>
        <v>Kenari Rajasa</v>
      </c>
      <c r="J64" s="10" t="str">
        <f>INDEX(Employee!$D$4:$D$47,MATCH($H$4:$H$1003,Employee!$A$4:$A$47,0))</f>
        <v>Kenari Rajasa</v>
      </c>
      <c r="K64" s="10" t="s">
        <v>107</v>
      </c>
      <c r="L64" s="10" t="s">
        <v>294</v>
      </c>
      <c r="M64" s="10" t="s">
        <v>81</v>
      </c>
      <c r="N64" s="10" t="s">
        <v>60</v>
      </c>
      <c r="O64" s="10" t="s">
        <v>61</v>
      </c>
      <c r="P64" s="10">
        <v>42627</v>
      </c>
      <c r="Q64" s="15">
        <v>908850</v>
      </c>
      <c r="R64" s="15">
        <v>1514700</v>
      </c>
      <c r="S64" s="15">
        <f>Table1[[#This Row],[Retail Price]]-Table1[[#This Row],[Cost Price]]</f>
        <v>605850</v>
      </c>
      <c r="T64" s="10">
        <v>33</v>
      </c>
      <c r="U64" s="15">
        <f>Table1[[#This Row],[Profit Margin]]*Table1[[#This Row],[Order Quantity]]</f>
        <v>19993050</v>
      </c>
      <c r="V64" s="11">
        <v>0.05</v>
      </c>
      <c r="W64" s="15">
        <f t="shared" si="0"/>
        <v>999652.5</v>
      </c>
      <c r="X64" s="15">
        <f>Table1[[#This Row],[Sub Total]]-Table1[[#This Row],[Discount Rp]]</f>
        <v>18993397.5</v>
      </c>
      <c r="Y64" s="15">
        <f ca="1">OFFSET(Helper!$C$3,MATCH(Data!$N$4:$N$1003,Helper!$C$4:$C$9,0),MATCH(Data!$O$4:$O$1003,Helper!$D$3:$F$3,0))</f>
        <v>15000</v>
      </c>
      <c r="Z64" s="16">
        <f ca="1">Table1[[#This Row],[Order Total]]+Table1[[#This Row],[Shipping Cost]]</f>
        <v>19008397.5</v>
      </c>
    </row>
    <row r="65" spans="1:26" ht="15.75" customHeight="1" x14ac:dyDescent="0.3">
      <c r="A65" s="9" t="s">
        <v>295</v>
      </c>
      <c r="B65" s="18">
        <v>42625</v>
      </c>
      <c r="C65" s="10">
        <f>YEAR(Table1[[#This Row],[Order Date]])</f>
        <v>2016</v>
      </c>
      <c r="D65" s="10" t="s">
        <v>296</v>
      </c>
      <c r="E65" s="10" t="s">
        <v>53</v>
      </c>
      <c r="F65" s="10" t="s">
        <v>54</v>
      </c>
      <c r="G65" s="10" t="s">
        <v>87</v>
      </c>
      <c r="H65" s="10" t="s">
        <v>56</v>
      </c>
      <c r="I65" s="10" t="str">
        <f>VLOOKUP(Table1[[#This Row],[Account Manager ID]],Table2[[Employee ID]:[Full Name]],4,FALSE)</f>
        <v>Gaduh Pratama</v>
      </c>
      <c r="J65" s="10" t="str">
        <f>INDEX(Employee!$D$4:$D$47,MATCH($H$4:$H$1003,Employee!$A$4:$A$47,0))</f>
        <v>Gaduh Pratama</v>
      </c>
      <c r="K65" s="10" t="s">
        <v>92</v>
      </c>
      <c r="L65" s="10" t="s">
        <v>297</v>
      </c>
      <c r="M65" s="10" t="s">
        <v>59</v>
      </c>
      <c r="N65" s="10" t="s">
        <v>67</v>
      </c>
      <c r="O65" s="10" t="s">
        <v>61</v>
      </c>
      <c r="P65" s="10">
        <v>42629</v>
      </c>
      <c r="Q65" s="15">
        <v>52200</v>
      </c>
      <c r="R65" s="15">
        <v>81450</v>
      </c>
      <c r="S65" s="15">
        <f>Table1[[#This Row],[Retail Price]]-Table1[[#This Row],[Cost Price]]</f>
        <v>29250</v>
      </c>
      <c r="T65" s="10">
        <v>29</v>
      </c>
      <c r="U65" s="15">
        <f>Table1[[#This Row],[Profit Margin]]*Table1[[#This Row],[Order Quantity]]</f>
        <v>848250</v>
      </c>
      <c r="V65" s="11">
        <v>7.0000000000000007E-2</v>
      </c>
      <c r="W65" s="15">
        <f t="shared" si="0"/>
        <v>59377.500000000007</v>
      </c>
      <c r="X65" s="15">
        <f>Table1[[#This Row],[Sub Total]]-Table1[[#This Row],[Discount Rp]]</f>
        <v>788872.5</v>
      </c>
      <c r="Y65" s="15">
        <f ca="1">OFFSET(Helper!$C$3,MATCH(Data!$N$4:$N$1003,Helper!$C$4:$C$9,0),MATCH(Data!$O$4:$O$1003,Helper!$D$3:$F$3,0))</f>
        <v>5000</v>
      </c>
      <c r="Z65" s="16">
        <f ca="1">Table1[[#This Row],[Order Total]]+Table1[[#This Row],[Shipping Cost]]</f>
        <v>793872.5</v>
      </c>
    </row>
    <row r="66" spans="1:26" ht="15.75" customHeight="1" x14ac:dyDescent="0.3">
      <c r="A66" s="9" t="s">
        <v>298</v>
      </c>
      <c r="B66" s="18">
        <v>42627</v>
      </c>
      <c r="C66" s="10">
        <f>YEAR(Table1[[#This Row],[Order Date]])</f>
        <v>2016</v>
      </c>
      <c r="D66" s="10" t="s">
        <v>299</v>
      </c>
      <c r="E66" s="10" t="s">
        <v>165</v>
      </c>
      <c r="F66" s="10" t="s">
        <v>71</v>
      </c>
      <c r="G66" s="10" t="s">
        <v>106</v>
      </c>
      <c r="H66" s="10" t="s">
        <v>88</v>
      </c>
      <c r="I66" s="10" t="str">
        <f>VLOOKUP(Table1[[#This Row],[Account Manager ID]],Table2[[Employee ID]:[Full Name]],4,FALSE)</f>
        <v>Bagiya Sihombing</v>
      </c>
      <c r="J66" s="10" t="str">
        <f>INDEX(Employee!$D$4:$D$47,MATCH($H$4:$H$1003,Employee!$A$4:$A$47,0))</f>
        <v>Bagiya Sihombing</v>
      </c>
      <c r="K66" s="10" t="s">
        <v>92</v>
      </c>
      <c r="L66" s="10" t="s">
        <v>300</v>
      </c>
      <c r="M66" s="10" t="s">
        <v>81</v>
      </c>
      <c r="N66" s="10" t="s">
        <v>136</v>
      </c>
      <c r="O66" s="10" t="s">
        <v>61</v>
      </c>
      <c r="P66" s="10">
        <v>42629</v>
      </c>
      <c r="Q66" s="15">
        <v>302700</v>
      </c>
      <c r="R66" s="15">
        <v>531150</v>
      </c>
      <c r="S66" s="15">
        <f>Table1[[#This Row],[Retail Price]]-Table1[[#This Row],[Cost Price]]</f>
        <v>228450</v>
      </c>
      <c r="T66" s="10">
        <v>38</v>
      </c>
      <c r="U66" s="15">
        <f>Table1[[#This Row],[Profit Margin]]*Table1[[#This Row],[Order Quantity]]</f>
        <v>8681100</v>
      </c>
      <c r="V66" s="11">
        <v>0.03</v>
      </c>
      <c r="W66" s="15">
        <f t="shared" si="0"/>
        <v>260433</v>
      </c>
      <c r="X66" s="15">
        <f>Table1[[#This Row],[Sub Total]]-Table1[[#This Row],[Discount Rp]]</f>
        <v>8420667</v>
      </c>
      <c r="Y66" s="15">
        <f ca="1">OFFSET(Helper!$C$3,MATCH(Data!$N$4:$N$1003,Helper!$C$4:$C$9,0),MATCH(Data!$O$4:$O$1003,Helper!$D$3:$F$3,0))</f>
        <v>10000</v>
      </c>
      <c r="Z66" s="16">
        <f ca="1">Table1[[#This Row],[Order Total]]+Table1[[#This Row],[Shipping Cost]]</f>
        <v>8430667</v>
      </c>
    </row>
    <row r="67" spans="1:26" ht="15.75" customHeight="1" x14ac:dyDescent="0.3">
      <c r="A67" s="9" t="s">
        <v>301</v>
      </c>
      <c r="B67" s="18">
        <v>42629</v>
      </c>
      <c r="C67" s="10">
        <f>YEAR(Table1[[#This Row],[Order Date]])</f>
        <v>2016</v>
      </c>
      <c r="D67" s="10" t="s">
        <v>302</v>
      </c>
      <c r="E67" s="10" t="s">
        <v>303</v>
      </c>
      <c r="F67" s="10" t="s">
        <v>71</v>
      </c>
      <c r="G67" s="10" t="s">
        <v>106</v>
      </c>
      <c r="H67" s="10" t="s">
        <v>304</v>
      </c>
      <c r="I67" s="10" t="str">
        <f>VLOOKUP(Table1[[#This Row],[Account Manager ID]],Table2[[Employee ID]:[Full Name]],4,FALSE)</f>
        <v>Sutan Tirtayasa Wasita</v>
      </c>
      <c r="J67" s="10" t="str">
        <f>INDEX(Employee!$D$4:$D$47,MATCH($H$4:$H$1003,Employee!$A$4:$A$47,0))</f>
        <v>Sutan Tirtayasa Wasita</v>
      </c>
      <c r="K67" s="10" t="s">
        <v>107</v>
      </c>
      <c r="L67" s="10" t="s">
        <v>305</v>
      </c>
      <c r="M67" s="10" t="s">
        <v>59</v>
      </c>
      <c r="N67" s="10" t="s">
        <v>67</v>
      </c>
      <c r="O67" s="10" t="s">
        <v>61</v>
      </c>
      <c r="P67" s="10">
        <v>42631</v>
      </c>
      <c r="Q67" s="15">
        <v>26400</v>
      </c>
      <c r="R67" s="15">
        <v>50700</v>
      </c>
      <c r="S67" s="15">
        <f>Table1[[#This Row],[Retail Price]]-Table1[[#This Row],[Cost Price]]</f>
        <v>24300</v>
      </c>
      <c r="T67" s="10">
        <v>34</v>
      </c>
      <c r="U67" s="15">
        <f>Table1[[#This Row],[Profit Margin]]*Table1[[#This Row],[Order Quantity]]</f>
        <v>826200</v>
      </c>
      <c r="V67" s="11">
        <v>7.0000000000000007E-2</v>
      </c>
      <c r="W67" s="15">
        <f t="shared" si="0"/>
        <v>57834.000000000007</v>
      </c>
      <c r="X67" s="15">
        <f>Table1[[#This Row],[Sub Total]]-Table1[[#This Row],[Discount Rp]]</f>
        <v>768366</v>
      </c>
      <c r="Y67" s="15">
        <f ca="1">OFFSET(Helper!$C$3,MATCH(Data!$N$4:$N$1003,Helper!$C$4:$C$9,0),MATCH(Data!$O$4:$O$1003,Helper!$D$3:$F$3,0))</f>
        <v>5000</v>
      </c>
      <c r="Z67" s="16">
        <f ca="1">Table1[[#This Row],[Order Total]]+Table1[[#This Row],[Shipping Cost]]</f>
        <v>773366</v>
      </c>
    </row>
    <row r="68" spans="1:26" ht="15.75" customHeight="1" x14ac:dyDescent="0.3">
      <c r="A68" s="9" t="s">
        <v>306</v>
      </c>
      <c r="B68" s="18">
        <v>42630</v>
      </c>
      <c r="C68" s="10">
        <f>YEAR(Table1[[#This Row],[Order Date]])</f>
        <v>2016</v>
      </c>
      <c r="D68" s="10" t="s">
        <v>307</v>
      </c>
      <c r="E68" s="10" t="s">
        <v>215</v>
      </c>
      <c r="F68" s="10" t="s">
        <v>71</v>
      </c>
      <c r="G68" s="10" t="s">
        <v>55</v>
      </c>
      <c r="H68" s="10" t="s">
        <v>146</v>
      </c>
      <c r="I68" s="10" t="str">
        <f>VLOOKUP(Table1[[#This Row],[Account Manager ID]],Table2[[Employee ID]:[Full Name]],4,FALSE)</f>
        <v>Kenari Rajasa</v>
      </c>
      <c r="J68" s="10" t="str">
        <f>INDEX(Employee!$D$4:$D$47,MATCH($H$4:$H$1003,Employee!$A$4:$A$47,0))</f>
        <v>Kenari Rajasa</v>
      </c>
      <c r="K68" s="10" t="s">
        <v>74</v>
      </c>
      <c r="L68" s="10" t="s">
        <v>126</v>
      </c>
      <c r="M68" s="10" t="s">
        <v>59</v>
      </c>
      <c r="N68" s="10" t="s">
        <v>60</v>
      </c>
      <c r="O68" s="10" t="s">
        <v>76</v>
      </c>
      <c r="P68" s="10">
        <v>42632</v>
      </c>
      <c r="Q68" s="15">
        <v>540300</v>
      </c>
      <c r="R68" s="15">
        <v>871500</v>
      </c>
      <c r="S68" s="15">
        <f>Table1[[#This Row],[Retail Price]]-Table1[[#This Row],[Cost Price]]</f>
        <v>331200</v>
      </c>
      <c r="T68" s="10">
        <v>10</v>
      </c>
      <c r="U68" s="15">
        <f>Table1[[#This Row],[Profit Margin]]*Table1[[#This Row],[Order Quantity]]</f>
        <v>3312000</v>
      </c>
      <c r="V68" s="11">
        <v>0.09</v>
      </c>
      <c r="W68" s="15">
        <f t="shared" ref="W68:W131" si="1">V68*U68</f>
        <v>298080</v>
      </c>
      <c r="X68" s="15">
        <f>Table1[[#This Row],[Sub Total]]-Table1[[#This Row],[Discount Rp]]</f>
        <v>3013920</v>
      </c>
      <c r="Y68" s="15">
        <f ca="1">OFFSET(Helper!$C$3,MATCH(Data!$N$4:$N$1003,Helper!$C$4:$C$9,0),MATCH(Data!$O$4:$O$1003,Helper!$D$3:$F$3,0))</f>
        <v>30000</v>
      </c>
      <c r="Z68" s="16">
        <f ca="1">Table1[[#This Row],[Order Total]]+Table1[[#This Row],[Shipping Cost]]</f>
        <v>3043920</v>
      </c>
    </row>
    <row r="69" spans="1:26" ht="15.75" customHeight="1" x14ac:dyDescent="0.3">
      <c r="A69" s="9" t="s">
        <v>308</v>
      </c>
      <c r="B69" s="18">
        <v>42630</v>
      </c>
      <c r="C69" s="10">
        <f>YEAR(Table1[[#This Row],[Order Date]])</f>
        <v>2016</v>
      </c>
      <c r="D69" s="10" t="s">
        <v>309</v>
      </c>
      <c r="E69" s="10" t="s">
        <v>159</v>
      </c>
      <c r="F69" s="10" t="s">
        <v>71</v>
      </c>
      <c r="G69" s="10" t="s">
        <v>72</v>
      </c>
      <c r="H69" s="10" t="s">
        <v>122</v>
      </c>
      <c r="I69" s="10" t="str">
        <f>VLOOKUP(Table1[[#This Row],[Account Manager ID]],Table2[[Employee ID]:[Full Name]],4,FALSE)</f>
        <v>Ophelia Mustofa</v>
      </c>
      <c r="J69" s="10" t="str">
        <f>INDEX(Employee!$D$4:$D$47,MATCH($H$4:$H$1003,Employee!$A$4:$A$47,0))</f>
        <v>Ophelia Mustofa</v>
      </c>
      <c r="K69" s="10" t="s">
        <v>92</v>
      </c>
      <c r="L69" s="10" t="s">
        <v>276</v>
      </c>
      <c r="M69" s="10" t="s">
        <v>81</v>
      </c>
      <c r="N69" s="10" t="s">
        <v>60</v>
      </c>
      <c r="O69" s="10" t="s">
        <v>61</v>
      </c>
      <c r="P69" s="10">
        <v>42630</v>
      </c>
      <c r="Q69" s="15">
        <v>2347500</v>
      </c>
      <c r="R69" s="15">
        <v>4514550</v>
      </c>
      <c r="S69" s="15">
        <f>Table1[[#This Row],[Retail Price]]-Table1[[#This Row],[Cost Price]]</f>
        <v>2167050</v>
      </c>
      <c r="T69" s="10">
        <v>38</v>
      </c>
      <c r="U69" s="15">
        <f>Table1[[#This Row],[Profit Margin]]*Table1[[#This Row],[Order Quantity]]</f>
        <v>82347900</v>
      </c>
      <c r="V69" s="11">
        <v>0.09</v>
      </c>
      <c r="W69" s="15">
        <f t="shared" si="1"/>
        <v>7411311</v>
      </c>
      <c r="X69" s="15">
        <f>Table1[[#This Row],[Sub Total]]-Table1[[#This Row],[Discount Rp]]</f>
        <v>74936589</v>
      </c>
      <c r="Y69" s="15">
        <f ca="1">OFFSET(Helper!$C$3,MATCH(Data!$N$4:$N$1003,Helper!$C$4:$C$9,0),MATCH(Data!$O$4:$O$1003,Helper!$D$3:$F$3,0))</f>
        <v>15000</v>
      </c>
      <c r="Z69" s="16">
        <f ca="1">Table1[[#This Row],[Order Total]]+Table1[[#This Row],[Shipping Cost]]</f>
        <v>74951589</v>
      </c>
    </row>
    <row r="70" spans="1:26" ht="15.75" customHeight="1" x14ac:dyDescent="0.3">
      <c r="A70" s="9" t="s">
        <v>310</v>
      </c>
      <c r="B70" s="18">
        <v>42631</v>
      </c>
      <c r="C70" s="10">
        <f>YEAR(Table1[[#This Row],[Order Date]])</f>
        <v>2016</v>
      </c>
      <c r="D70" s="10" t="s">
        <v>311</v>
      </c>
      <c r="E70" s="10" t="s">
        <v>312</v>
      </c>
      <c r="F70" s="10" t="s">
        <v>71</v>
      </c>
      <c r="G70" s="10" t="s">
        <v>106</v>
      </c>
      <c r="H70" s="10" t="s">
        <v>88</v>
      </c>
      <c r="I70" s="10" t="str">
        <f>VLOOKUP(Table1[[#This Row],[Account Manager ID]],Table2[[Employee ID]:[Full Name]],4,FALSE)</f>
        <v>Bagiya Sihombing</v>
      </c>
      <c r="J70" s="10" t="str">
        <f>INDEX(Employee!$D$4:$D$47,MATCH($H$4:$H$1003,Employee!$A$4:$A$47,0))</f>
        <v>Bagiya Sihombing</v>
      </c>
      <c r="K70" s="10" t="s">
        <v>117</v>
      </c>
      <c r="L70" s="10" t="s">
        <v>135</v>
      </c>
      <c r="M70" s="10" t="s">
        <v>59</v>
      </c>
      <c r="N70" s="10" t="s">
        <v>136</v>
      </c>
      <c r="O70" s="10" t="s">
        <v>61</v>
      </c>
      <c r="P70" s="10">
        <v>42633</v>
      </c>
      <c r="Q70" s="15">
        <v>51300</v>
      </c>
      <c r="R70" s="15">
        <v>125100</v>
      </c>
      <c r="S70" s="15">
        <f>Table1[[#This Row],[Retail Price]]-Table1[[#This Row],[Cost Price]]</f>
        <v>73800</v>
      </c>
      <c r="T70" s="10">
        <v>30</v>
      </c>
      <c r="U70" s="15">
        <f>Table1[[#This Row],[Profit Margin]]*Table1[[#This Row],[Order Quantity]]</f>
        <v>2214000</v>
      </c>
      <c r="V70" s="11">
        <v>0.02</v>
      </c>
      <c r="W70" s="15">
        <f t="shared" si="1"/>
        <v>44280</v>
      </c>
      <c r="X70" s="15">
        <f>Table1[[#This Row],[Sub Total]]-Table1[[#This Row],[Discount Rp]]</f>
        <v>2169720</v>
      </c>
      <c r="Y70" s="15">
        <f ca="1">OFFSET(Helper!$C$3,MATCH(Data!$N$4:$N$1003,Helper!$C$4:$C$9,0),MATCH(Data!$O$4:$O$1003,Helper!$D$3:$F$3,0))</f>
        <v>10000</v>
      </c>
      <c r="Z70" s="16">
        <f ca="1">Table1[[#This Row],[Order Total]]+Table1[[#This Row],[Shipping Cost]]</f>
        <v>2179720</v>
      </c>
    </row>
    <row r="71" spans="1:26" ht="15.75" customHeight="1" x14ac:dyDescent="0.3">
      <c r="A71" s="9" t="s">
        <v>313</v>
      </c>
      <c r="B71" s="18">
        <v>42632</v>
      </c>
      <c r="C71" s="10">
        <f>YEAR(Table1[[#This Row],[Order Date]])</f>
        <v>2016</v>
      </c>
      <c r="D71" s="10" t="s">
        <v>314</v>
      </c>
      <c r="E71" s="10" t="s">
        <v>315</v>
      </c>
      <c r="F71" s="10" t="s">
        <v>71</v>
      </c>
      <c r="G71" s="10" t="s">
        <v>72</v>
      </c>
      <c r="H71" s="10" t="s">
        <v>316</v>
      </c>
      <c r="I71" s="10" t="str">
        <f>VLOOKUP(Table1[[#This Row],[Account Manager ID]],Table2[[Employee ID]:[Full Name]],4,FALSE)</f>
        <v>Sari Winarno</v>
      </c>
      <c r="J71" s="10" t="str">
        <f>INDEX(Employee!$D$4:$D$47,MATCH($H$4:$H$1003,Employee!$A$4:$A$47,0))</f>
        <v>Sari Winarno</v>
      </c>
      <c r="K71" s="10" t="s">
        <v>107</v>
      </c>
      <c r="L71" s="10" t="s">
        <v>294</v>
      </c>
      <c r="M71" s="10" t="s">
        <v>81</v>
      </c>
      <c r="N71" s="10" t="s">
        <v>60</v>
      </c>
      <c r="O71" s="10" t="s">
        <v>61</v>
      </c>
      <c r="P71" s="10">
        <v>42633</v>
      </c>
      <c r="Q71" s="15">
        <v>908850</v>
      </c>
      <c r="R71" s="15">
        <v>1514700</v>
      </c>
      <c r="S71" s="15">
        <f>Table1[[#This Row],[Retail Price]]-Table1[[#This Row],[Cost Price]]</f>
        <v>605850</v>
      </c>
      <c r="T71" s="10">
        <v>29</v>
      </c>
      <c r="U71" s="15">
        <f>Table1[[#This Row],[Profit Margin]]*Table1[[#This Row],[Order Quantity]]</f>
        <v>17569650</v>
      </c>
      <c r="V71" s="11">
        <v>0.03</v>
      </c>
      <c r="W71" s="15">
        <f t="shared" si="1"/>
        <v>527089.5</v>
      </c>
      <c r="X71" s="15">
        <f>Table1[[#This Row],[Sub Total]]-Table1[[#This Row],[Discount Rp]]</f>
        <v>17042560.5</v>
      </c>
      <c r="Y71" s="15">
        <f ca="1">OFFSET(Helper!$C$3,MATCH(Data!$N$4:$N$1003,Helper!$C$4:$C$9,0),MATCH(Data!$O$4:$O$1003,Helper!$D$3:$F$3,0))</f>
        <v>15000</v>
      </c>
      <c r="Z71" s="16">
        <f ca="1">Table1[[#This Row],[Order Total]]+Table1[[#This Row],[Shipping Cost]]</f>
        <v>17057560.5</v>
      </c>
    </row>
    <row r="72" spans="1:26" ht="15.75" customHeight="1" x14ac:dyDescent="0.3">
      <c r="A72" s="9" t="s">
        <v>317</v>
      </c>
      <c r="B72" s="18">
        <v>42634</v>
      </c>
      <c r="C72" s="10">
        <f>YEAR(Table1[[#This Row],[Order Date]])</f>
        <v>2016</v>
      </c>
      <c r="D72" s="10" t="s">
        <v>318</v>
      </c>
      <c r="E72" s="10" t="s">
        <v>319</v>
      </c>
      <c r="F72" s="10" t="s">
        <v>71</v>
      </c>
      <c r="G72" s="10" t="s">
        <v>72</v>
      </c>
      <c r="H72" s="10" t="s">
        <v>194</v>
      </c>
      <c r="I72" s="10" t="str">
        <f>VLOOKUP(Table1[[#This Row],[Account Manager ID]],Table2[[Employee ID]:[Full Name]],4,FALSE)</f>
        <v>Nabila Prakasa</v>
      </c>
      <c r="J72" s="10" t="str">
        <f>INDEX(Employee!$D$4:$D$47,MATCH($H$4:$H$1003,Employee!$A$4:$A$47,0))</f>
        <v>Nabila Prakasa</v>
      </c>
      <c r="K72" s="10" t="s">
        <v>107</v>
      </c>
      <c r="L72" s="10" t="s">
        <v>320</v>
      </c>
      <c r="M72" s="10" t="s">
        <v>59</v>
      </c>
      <c r="N72" s="10" t="s">
        <v>60</v>
      </c>
      <c r="O72" s="10" t="s">
        <v>61</v>
      </c>
      <c r="P72" s="10">
        <v>42634</v>
      </c>
      <c r="Q72" s="15">
        <v>2682450</v>
      </c>
      <c r="R72" s="15">
        <v>6238200</v>
      </c>
      <c r="S72" s="15">
        <f>Table1[[#This Row],[Retail Price]]-Table1[[#This Row],[Cost Price]]</f>
        <v>3555750</v>
      </c>
      <c r="T72" s="10">
        <v>2</v>
      </c>
      <c r="U72" s="15">
        <f>Table1[[#This Row],[Profit Margin]]*Table1[[#This Row],[Order Quantity]]</f>
        <v>7111500</v>
      </c>
      <c r="V72" s="11">
        <v>7.0000000000000007E-2</v>
      </c>
      <c r="W72" s="15">
        <f t="shared" si="1"/>
        <v>497805.00000000006</v>
      </c>
      <c r="X72" s="15">
        <f>Table1[[#This Row],[Sub Total]]-Table1[[#This Row],[Discount Rp]]</f>
        <v>6613695</v>
      </c>
      <c r="Y72" s="15">
        <f ca="1">OFFSET(Helper!$C$3,MATCH(Data!$N$4:$N$1003,Helper!$C$4:$C$9,0),MATCH(Data!$O$4:$O$1003,Helper!$D$3:$F$3,0))</f>
        <v>15000</v>
      </c>
      <c r="Z72" s="16">
        <f ca="1">Table1[[#This Row],[Order Total]]+Table1[[#This Row],[Shipping Cost]]</f>
        <v>6628695</v>
      </c>
    </row>
    <row r="73" spans="1:26" ht="15.75" customHeight="1" x14ac:dyDescent="0.3">
      <c r="A73" s="9" t="s">
        <v>321</v>
      </c>
      <c r="B73" s="18">
        <v>42635</v>
      </c>
      <c r="C73" s="10">
        <f>YEAR(Table1[[#This Row],[Order Date]])</f>
        <v>2016</v>
      </c>
      <c r="D73" s="10" t="s">
        <v>322</v>
      </c>
      <c r="E73" s="10" t="s">
        <v>323</v>
      </c>
      <c r="F73" s="10" t="s">
        <v>71</v>
      </c>
      <c r="G73" s="10" t="s">
        <v>106</v>
      </c>
      <c r="H73" s="10" t="s">
        <v>194</v>
      </c>
      <c r="I73" s="10" t="str">
        <f>VLOOKUP(Table1[[#This Row],[Account Manager ID]],Table2[[Employee ID]:[Full Name]],4,FALSE)</f>
        <v>Nabila Prakasa</v>
      </c>
      <c r="J73" s="10" t="str">
        <f>INDEX(Employee!$D$4:$D$47,MATCH($H$4:$H$1003,Employee!$A$4:$A$47,0))</f>
        <v>Nabila Prakasa</v>
      </c>
      <c r="K73" s="10" t="s">
        <v>117</v>
      </c>
      <c r="L73" s="10" t="s">
        <v>173</v>
      </c>
      <c r="M73" s="10" t="s">
        <v>59</v>
      </c>
      <c r="N73" s="10" t="s">
        <v>67</v>
      </c>
      <c r="O73" s="10" t="s">
        <v>61</v>
      </c>
      <c r="P73" s="10">
        <v>42637</v>
      </c>
      <c r="Q73" s="15">
        <v>37800</v>
      </c>
      <c r="R73" s="15">
        <v>60000</v>
      </c>
      <c r="S73" s="15">
        <f>Table1[[#This Row],[Retail Price]]-Table1[[#This Row],[Cost Price]]</f>
        <v>22200</v>
      </c>
      <c r="T73" s="10">
        <v>39</v>
      </c>
      <c r="U73" s="15">
        <f>Table1[[#This Row],[Profit Margin]]*Table1[[#This Row],[Order Quantity]]</f>
        <v>865800</v>
      </c>
      <c r="V73" s="11">
        <v>0.08</v>
      </c>
      <c r="W73" s="15">
        <f t="shared" si="1"/>
        <v>69264</v>
      </c>
      <c r="X73" s="15">
        <f>Table1[[#This Row],[Sub Total]]-Table1[[#This Row],[Discount Rp]]</f>
        <v>796536</v>
      </c>
      <c r="Y73" s="15">
        <f ca="1">OFFSET(Helper!$C$3,MATCH(Data!$N$4:$N$1003,Helper!$C$4:$C$9,0),MATCH(Data!$O$4:$O$1003,Helper!$D$3:$F$3,0))</f>
        <v>5000</v>
      </c>
      <c r="Z73" s="16">
        <f ca="1">Table1[[#This Row],[Order Total]]+Table1[[#This Row],[Shipping Cost]]</f>
        <v>801536</v>
      </c>
    </row>
    <row r="74" spans="1:26" ht="15.75" customHeight="1" x14ac:dyDescent="0.3">
      <c r="A74" s="9" t="s">
        <v>324</v>
      </c>
      <c r="B74" s="18">
        <v>42636</v>
      </c>
      <c r="C74" s="10">
        <f>YEAR(Table1[[#This Row],[Order Date]])</f>
        <v>2016</v>
      </c>
      <c r="D74" s="10" t="s">
        <v>325</v>
      </c>
      <c r="E74" s="10" t="s">
        <v>323</v>
      </c>
      <c r="F74" s="10" t="s">
        <v>71</v>
      </c>
      <c r="G74" s="10" t="s">
        <v>87</v>
      </c>
      <c r="H74" s="10" t="s">
        <v>194</v>
      </c>
      <c r="I74" s="10" t="str">
        <f>VLOOKUP(Table1[[#This Row],[Account Manager ID]],Table2[[Employee ID]:[Full Name]],4,FALSE)</f>
        <v>Nabila Prakasa</v>
      </c>
      <c r="J74" s="10" t="str">
        <f>INDEX(Employee!$D$4:$D$47,MATCH($H$4:$H$1003,Employee!$A$4:$A$47,0))</f>
        <v>Nabila Prakasa</v>
      </c>
      <c r="K74" s="10" t="s">
        <v>92</v>
      </c>
      <c r="L74" s="10" t="s">
        <v>326</v>
      </c>
      <c r="M74" s="10" t="s">
        <v>59</v>
      </c>
      <c r="N74" s="10" t="s">
        <v>60</v>
      </c>
      <c r="O74" s="10" t="s">
        <v>61</v>
      </c>
      <c r="P74" s="10">
        <v>42638</v>
      </c>
      <c r="Q74" s="15">
        <v>297450</v>
      </c>
      <c r="R74" s="15">
        <v>464700</v>
      </c>
      <c r="S74" s="15">
        <f>Table1[[#This Row],[Retail Price]]-Table1[[#This Row],[Cost Price]]</f>
        <v>167250</v>
      </c>
      <c r="T74" s="10">
        <v>49</v>
      </c>
      <c r="U74" s="15">
        <f>Table1[[#This Row],[Profit Margin]]*Table1[[#This Row],[Order Quantity]]</f>
        <v>8195250</v>
      </c>
      <c r="V74" s="11">
        <v>0.09</v>
      </c>
      <c r="W74" s="15">
        <f t="shared" si="1"/>
        <v>737572.5</v>
      </c>
      <c r="X74" s="15">
        <f>Table1[[#This Row],[Sub Total]]-Table1[[#This Row],[Discount Rp]]</f>
        <v>7457677.5</v>
      </c>
      <c r="Y74" s="15">
        <f ca="1">OFFSET(Helper!$C$3,MATCH(Data!$N$4:$N$1003,Helper!$C$4:$C$9,0),MATCH(Data!$O$4:$O$1003,Helper!$D$3:$F$3,0))</f>
        <v>15000</v>
      </c>
      <c r="Z74" s="16">
        <f ca="1">Table1[[#This Row],[Order Total]]+Table1[[#This Row],[Shipping Cost]]</f>
        <v>7472677.5</v>
      </c>
    </row>
    <row r="75" spans="1:26" ht="15.75" customHeight="1" x14ac:dyDescent="0.3">
      <c r="A75" s="9" t="s">
        <v>327</v>
      </c>
      <c r="B75" s="18">
        <v>42640</v>
      </c>
      <c r="C75" s="10">
        <f>YEAR(Table1[[#This Row],[Order Date]])</f>
        <v>2016</v>
      </c>
      <c r="D75" s="10" t="s">
        <v>328</v>
      </c>
      <c r="E75" s="10" t="s">
        <v>70</v>
      </c>
      <c r="F75" s="10" t="s">
        <v>71</v>
      </c>
      <c r="G75" s="10" t="s">
        <v>106</v>
      </c>
      <c r="H75" s="10" t="s">
        <v>73</v>
      </c>
      <c r="I75" s="10" t="str">
        <f>VLOOKUP(Table1[[#This Row],[Account Manager ID]],Table2[[Employee ID]:[Full Name]],4,FALSE)</f>
        <v>Cinthia Gunawan</v>
      </c>
      <c r="J75" s="10" t="str">
        <f>INDEX(Employee!$D$4:$D$47,MATCH($H$4:$H$1003,Employee!$A$4:$A$47,0))</f>
        <v>Cinthia Gunawan</v>
      </c>
      <c r="K75" s="10" t="s">
        <v>117</v>
      </c>
      <c r="L75" s="10" t="s">
        <v>276</v>
      </c>
      <c r="M75" s="10" t="s">
        <v>81</v>
      </c>
      <c r="N75" s="10" t="s">
        <v>60</v>
      </c>
      <c r="O75" s="10" t="s">
        <v>61</v>
      </c>
      <c r="P75" s="10">
        <v>42642</v>
      </c>
      <c r="Q75" s="15">
        <v>2347500</v>
      </c>
      <c r="R75" s="15">
        <v>4514550</v>
      </c>
      <c r="S75" s="15">
        <f>Table1[[#This Row],[Retail Price]]-Table1[[#This Row],[Cost Price]]</f>
        <v>2167050</v>
      </c>
      <c r="T75" s="10">
        <v>5</v>
      </c>
      <c r="U75" s="15">
        <f>Table1[[#This Row],[Profit Margin]]*Table1[[#This Row],[Order Quantity]]</f>
        <v>10835250</v>
      </c>
      <c r="V75" s="11">
        <v>7.0000000000000007E-2</v>
      </c>
      <c r="W75" s="15">
        <f t="shared" si="1"/>
        <v>758467.50000000012</v>
      </c>
      <c r="X75" s="15">
        <f>Table1[[#This Row],[Sub Total]]-Table1[[#This Row],[Discount Rp]]</f>
        <v>10076782.5</v>
      </c>
      <c r="Y75" s="15">
        <f ca="1">OFFSET(Helper!$C$3,MATCH(Data!$N$4:$N$1003,Helper!$C$4:$C$9,0),MATCH(Data!$O$4:$O$1003,Helper!$D$3:$F$3,0))</f>
        <v>15000</v>
      </c>
      <c r="Z75" s="16">
        <f ca="1">Table1[[#This Row],[Order Total]]+Table1[[#This Row],[Shipping Cost]]</f>
        <v>10091782.5</v>
      </c>
    </row>
    <row r="76" spans="1:26" ht="15.75" customHeight="1" x14ac:dyDescent="0.3">
      <c r="A76" s="9" t="s">
        <v>329</v>
      </c>
      <c r="B76" s="18">
        <v>42640</v>
      </c>
      <c r="C76" s="10">
        <f>YEAR(Table1[[#This Row],[Order Date]])</f>
        <v>2016</v>
      </c>
      <c r="D76" s="10" t="s">
        <v>330</v>
      </c>
      <c r="E76" s="10" t="s">
        <v>172</v>
      </c>
      <c r="F76" s="10" t="s">
        <v>54</v>
      </c>
      <c r="G76" s="10" t="s">
        <v>87</v>
      </c>
      <c r="H76" s="10" t="s">
        <v>65</v>
      </c>
      <c r="I76" s="10" t="str">
        <f>VLOOKUP(Table1[[#This Row],[Account Manager ID]],Table2[[Employee ID]:[Full Name]],4,FALSE)</f>
        <v>Laras Nuraini</v>
      </c>
      <c r="J76" s="10" t="str">
        <f>INDEX(Employee!$D$4:$D$47,MATCH($H$4:$H$1003,Employee!$A$4:$A$47,0))</f>
        <v>Laras Nuraini</v>
      </c>
      <c r="K76" s="10" t="s">
        <v>57</v>
      </c>
      <c r="L76" s="10" t="s">
        <v>331</v>
      </c>
      <c r="M76" s="10" t="s">
        <v>59</v>
      </c>
      <c r="N76" s="10" t="s">
        <v>67</v>
      </c>
      <c r="O76" s="10" t="s">
        <v>76</v>
      </c>
      <c r="P76" s="10">
        <v>42642</v>
      </c>
      <c r="Q76" s="15">
        <v>43500</v>
      </c>
      <c r="R76" s="15">
        <v>71400</v>
      </c>
      <c r="S76" s="15">
        <f>Table1[[#This Row],[Retail Price]]-Table1[[#This Row],[Cost Price]]</f>
        <v>27900</v>
      </c>
      <c r="T76" s="10">
        <v>27</v>
      </c>
      <c r="U76" s="15">
        <f>Table1[[#This Row],[Profit Margin]]*Table1[[#This Row],[Order Quantity]]</f>
        <v>753300</v>
      </c>
      <c r="V76" s="11">
        <v>7.0000000000000007E-2</v>
      </c>
      <c r="W76" s="15">
        <f t="shared" si="1"/>
        <v>52731.000000000007</v>
      </c>
      <c r="X76" s="15">
        <f>Table1[[#This Row],[Sub Total]]-Table1[[#This Row],[Discount Rp]]</f>
        <v>700569</v>
      </c>
      <c r="Y76" s="15">
        <f ca="1">OFFSET(Helper!$C$3,MATCH(Data!$N$4:$N$1003,Helper!$C$4:$C$9,0),MATCH(Data!$O$4:$O$1003,Helper!$D$3:$F$3,0))</f>
        <v>10000</v>
      </c>
      <c r="Z76" s="16">
        <f ca="1">Table1[[#This Row],[Order Total]]+Table1[[#This Row],[Shipping Cost]]</f>
        <v>710569</v>
      </c>
    </row>
    <row r="77" spans="1:26" ht="15.75" customHeight="1" x14ac:dyDescent="0.3">
      <c r="A77" s="9" t="s">
        <v>332</v>
      </c>
      <c r="B77" s="18">
        <v>42641</v>
      </c>
      <c r="C77" s="10">
        <f>YEAR(Table1[[#This Row],[Order Date]])</f>
        <v>2016</v>
      </c>
      <c r="D77" s="10" t="s">
        <v>333</v>
      </c>
      <c r="E77" s="10" t="s">
        <v>334</v>
      </c>
      <c r="F77" s="10" t="s">
        <v>54</v>
      </c>
      <c r="G77" s="10" t="s">
        <v>72</v>
      </c>
      <c r="H77" s="10" t="s">
        <v>65</v>
      </c>
      <c r="I77" s="10" t="str">
        <f>VLOOKUP(Table1[[#This Row],[Account Manager ID]],Table2[[Employee ID]:[Full Name]],4,FALSE)</f>
        <v>Laras Nuraini</v>
      </c>
      <c r="J77" s="10" t="str">
        <f>INDEX(Employee!$D$4:$D$47,MATCH($H$4:$H$1003,Employee!$A$4:$A$47,0))</f>
        <v>Laras Nuraini</v>
      </c>
      <c r="K77" s="10" t="s">
        <v>92</v>
      </c>
      <c r="L77" s="10" t="s">
        <v>276</v>
      </c>
      <c r="M77" s="10" t="s">
        <v>81</v>
      </c>
      <c r="N77" s="10" t="s">
        <v>60</v>
      </c>
      <c r="O77" s="10" t="s">
        <v>61</v>
      </c>
      <c r="P77" s="10">
        <v>42641</v>
      </c>
      <c r="Q77" s="15">
        <v>2347500</v>
      </c>
      <c r="R77" s="15">
        <v>4514550</v>
      </c>
      <c r="S77" s="15">
        <f>Table1[[#This Row],[Retail Price]]-Table1[[#This Row],[Cost Price]]</f>
        <v>2167050</v>
      </c>
      <c r="T77" s="10">
        <v>1</v>
      </c>
      <c r="U77" s="15">
        <f>Table1[[#This Row],[Profit Margin]]*Table1[[#This Row],[Order Quantity]]</f>
        <v>2167050</v>
      </c>
      <c r="V77" s="11">
        <v>0.06</v>
      </c>
      <c r="W77" s="15">
        <f t="shared" si="1"/>
        <v>130023</v>
      </c>
      <c r="X77" s="15">
        <f>Table1[[#This Row],[Sub Total]]-Table1[[#This Row],[Discount Rp]]</f>
        <v>2037027</v>
      </c>
      <c r="Y77" s="15">
        <f ca="1">OFFSET(Helper!$C$3,MATCH(Data!$N$4:$N$1003,Helper!$C$4:$C$9,0),MATCH(Data!$O$4:$O$1003,Helper!$D$3:$F$3,0))</f>
        <v>15000</v>
      </c>
      <c r="Z77" s="16">
        <f ca="1">Table1[[#This Row],[Order Total]]+Table1[[#This Row],[Shipping Cost]]</f>
        <v>2052027</v>
      </c>
    </row>
    <row r="78" spans="1:26" ht="15.75" customHeight="1" x14ac:dyDescent="0.3">
      <c r="A78" s="9" t="s">
        <v>335</v>
      </c>
      <c r="B78" s="18">
        <v>42645</v>
      </c>
      <c r="C78" s="10">
        <f>YEAR(Table1[[#This Row],[Order Date]])</f>
        <v>2016</v>
      </c>
      <c r="D78" s="10" t="s">
        <v>149</v>
      </c>
      <c r="E78" s="10" t="s">
        <v>150</v>
      </c>
      <c r="F78" s="10" t="s">
        <v>71</v>
      </c>
      <c r="G78" s="10" t="s">
        <v>106</v>
      </c>
      <c r="H78" s="10" t="s">
        <v>88</v>
      </c>
      <c r="I78" s="10" t="str">
        <f>VLOOKUP(Table1[[#This Row],[Account Manager ID]],Table2[[Employee ID]:[Full Name]],4,FALSE)</f>
        <v>Bagiya Sihombing</v>
      </c>
      <c r="J78" s="10" t="str">
        <f>INDEX(Employee!$D$4:$D$47,MATCH($H$4:$H$1003,Employee!$A$4:$A$47,0))</f>
        <v>Bagiya Sihombing</v>
      </c>
      <c r="K78" s="10" t="s">
        <v>117</v>
      </c>
      <c r="L78" s="10" t="s">
        <v>280</v>
      </c>
      <c r="M78" s="10" t="s">
        <v>59</v>
      </c>
      <c r="N78" s="10" t="s">
        <v>67</v>
      </c>
      <c r="O78" s="10" t="s">
        <v>61</v>
      </c>
      <c r="P78" s="10">
        <v>42646</v>
      </c>
      <c r="Q78" s="15">
        <v>34350</v>
      </c>
      <c r="R78" s="15">
        <v>53700</v>
      </c>
      <c r="S78" s="15">
        <f>Table1[[#This Row],[Retail Price]]-Table1[[#This Row],[Cost Price]]</f>
        <v>19350</v>
      </c>
      <c r="T78" s="10">
        <v>10</v>
      </c>
      <c r="U78" s="15">
        <f>Table1[[#This Row],[Profit Margin]]*Table1[[#This Row],[Order Quantity]]</f>
        <v>193500</v>
      </c>
      <c r="V78" s="11">
        <v>0.05</v>
      </c>
      <c r="W78" s="15">
        <f t="shared" si="1"/>
        <v>9675</v>
      </c>
      <c r="X78" s="15">
        <f>Table1[[#This Row],[Sub Total]]-Table1[[#This Row],[Discount Rp]]</f>
        <v>183825</v>
      </c>
      <c r="Y78" s="15">
        <f ca="1">OFFSET(Helper!$C$3,MATCH(Data!$N$4:$N$1003,Helper!$C$4:$C$9,0),MATCH(Data!$O$4:$O$1003,Helper!$D$3:$F$3,0))</f>
        <v>5000</v>
      </c>
      <c r="Z78" s="16">
        <f ca="1">Table1[[#This Row],[Order Total]]+Table1[[#This Row],[Shipping Cost]]</f>
        <v>188825</v>
      </c>
    </row>
    <row r="79" spans="1:26" ht="15.75" customHeight="1" x14ac:dyDescent="0.3">
      <c r="A79" s="9" t="s">
        <v>336</v>
      </c>
      <c r="B79" s="18">
        <v>42646</v>
      </c>
      <c r="C79" s="10">
        <f>YEAR(Table1[[#This Row],[Order Date]])</f>
        <v>2016</v>
      </c>
      <c r="D79" s="10" t="s">
        <v>337</v>
      </c>
      <c r="E79" s="10" t="s">
        <v>245</v>
      </c>
      <c r="F79" s="10" t="s">
        <v>71</v>
      </c>
      <c r="G79" s="10" t="s">
        <v>72</v>
      </c>
      <c r="H79" s="10" t="s">
        <v>146</v>
      </c>
      <c r="I79" s="10" t="str">
        <f>VLOOKUP(Table1[[#This Row],[Account Manager ID]],Table2[[Employee ID]:[Full Name]],4,FALSE)</f>
        <v>Kenari Rajasa</v>
      </c>
      <c r="J79" s="10" t="str">
        <f>INDEX(Employee!$D$4:$D$47,MATCH($H$4:$H$1003,Employee!$A$4:$A$47,0))</f>
        <v>Kenari Rajasa</v>
      </c>
      <c r="K79" s="10" t="s">
        <v>117</v>
      </c>
      <c r="L79" s="10" t="s">
        <v>98</v>
      </c>
      <c r="M79" s="10" t="s">
        <v>59</v>
      </c>
      <c r="N79" s="10" t="s">
        <v>60</v>
      </c>
      <c r="O79" s="10" t="s">
        <v>61</v>
      </c>
      <c r="P79" s="10">
        <v>42647</v>
      </c>
      <c r="Q79" s="15">
        <v>1490850</v>
      </c>
      <c r="R79" s="15">
        <v>2443950</v>
      </c>
      <c r="S79" s="15">
        <f>Table1[[#This Row],[Retail Price]]-Table1[[#This Row],[Cost Price]]</f>
        <v>953100</v>
      </c>
      <c r="T79" s="10">
        <v>7</v>
      </c>
      <c r="U79" s="15">
        <f>Table1[[#This Row],[Profit Margin]]*Table1[[#This Row],[Order Quantity]]</f>
        <v>6671700</v>
      </c>
      <c r="V79" s="11">
        <v>0.03</v>
      </c>
      <c r="W79" s="15">
        <f t="shared" si="1"/>
        <v>200151</v>
      </c>
      <c r="X79" s="15">
        <f>Table1[[#This Row],[Sub Total]]-Table1[[#This Row],[Discount Rp]]</f>
        <v>6471549</v>
      </c>
      <c r="Y79" s="15">
        <f ca="1">OFFSET(Helper!$C$3,MATCH(Data!$N$4:$N$1003,Helper!$C$4:$C$9,0),MATCH(Data!$O$4:$O$1003,Helper!$D$3:$F$3,0))</f>
        <v>15000</v>
      </c>
      <c r="Z79" s="16">
        <f ca="1">Table1[[#This Row],[Order Total]]+Table1[[#This Row],[Shipping Cost]]</f>
        <v>6486549</v>
      </c>
    </row>
    <row r="80" spans="1:26" ht="15.75" customHeight="1" x14ac:dyDescent="0.3">
      <c r="A80" s="9" t="s">
        <v>338</v>
      </c>
      <c r="B80" s="18">
        <v>42646</v>
      </c>
      <c r="C80" s="10">
        <f>YEAR(Table1[[#This Row],[Order Date]])</f>
        <v>2016</v>
      </c>
      <c r="D80" s="10" t="s">
        <v>339</v>
      </c>
      <c r="E80" s="10" t="s">
        <v>340</v>
      </c>
      <c r="F80" s="10" t="s">
        <v>54</v>
      </c>
      <c r="G80" s="10" t="s">
        <v>106</v>
      </c>
      <c r="H80" s="10" t="s">
        <v>65</v>
      </c>
      <c r="I80" s="10" t="str">
        <f>VLOOKUP(Table1[[#This Row],[Account Manager ID]],Table2[[Employee ID]:[Full Name]],4,FALSE)</f>
        <v>Laras Nuraini</v>
      </c>
      <c r="J80" s="10" t="str">
        <f>INDEX(Employee!$D$4:$D$47,MATCH($H$4:$H$1003,Employee!$A$4:$A$47,0))</f>
        <v>Laras Nuraini</v>
      </c>
      <c r="K80" s="10" t="s">
        <v>57</v>
      </c>
      <c r="L80" s="10" t="s">
        <v>341</v>
      </c>
      <c r="M80" s="10" t="s">
        <v>59</v>
      </c>
      <c r="N80" s="10" t="s">
        <v>67</v>
      </c>
      <c r="O80" s="10" t="s">
        <v>76</v>
      </c>
      <c r="P80" s="10">
        <v>42648</v>
      </c>
      <c r="Q80" s="15">
        <v>24000</v>
      </c>
      <c r="R80" s="15">
        <v>39300</v>
      </c>
      <c r="S80" s="15">
        <f>Table1[[#This Row],[Retail Price]]-Table1[[#This Row],[Cost Price]]</f>
        <v>15300</v>
      </c>
      <c r="T80" s="10">
        <v>34</v>
      </c>
      <c r="U80" s="15">
        <f>Table1[[#This Row],[Profit Margin]]*Table1[[#This Row],[Order Quantity]]</f>
        <v>520200</v>
      </c>
      <c r="V80" s="11">
        <v>0.08</v>
      </c>
      <c r="W80" s="15">
        <f t="shared" si="1"/>
        <v>41616</v>
      </c>
      <c r="X80" s="15">
        <f>Table1[[#This Row],[Sub Total]]-Table1[[#This Row],[Discount Rp]]</f>
        <v>478584</v>
      </c>
      <c r="Y80" s="15">
        <f ca="1">OFFSET(Helper!$C$3,MATCH(Data!$N$4:$N$1003,Helper!$C$4:$C$9,0),MATCH(Data!$O$4:$O$1003,Helper!$D$3:$F$3,0))</f>
        <v>10000</v>
      </c>
      <c r="Z80" s="16">
        <f ca="1">Table1[[#This Row],[Order Total]]+Table1[[#This Row],[Shipping Cost]]</f>
        <v>488584</v>
      </c>
    </row>
    <row r="81" spans="1:26" ht="15.75" customHeight="1" x14ac:dyDescent="0.3">
      <c r="A81" s="9" t="s">
        <v>342</v>
      </c>
      <c r="B81" s="18">
        <v>42649</v>
      </c>
      <c r="C81" s="10">
        <f>YEAR(Table1[[#This Row],[Order Date]])</f>
        <v>2016</v>
      </c>
      <c r="D81" s="10" t="s">
        <v>343</v>
      </c>
      <c r="E81" s="10" t="s">
        <v>344</v>
      </c>
      <c r="F81" s="10" t="s">
        <v>71</v>
      </c>
      <c r="G81" s="10" t="s">
        <v>72</v>
      </c>
      <c r="H81" s="10" t="s">
        <v>73</v>
      </c>
      <c r="I81" s="10" t="str">
        <f>VLOOKUP(Table1[[#This Row],[Account Manager ID]],Table2[[Employee ID]:[Full Name]],4,FALSE)</f>
        <v>Cinthia Gunawan</v>
      </c>
      <c r="J81" s="10" t="str">
        <f>INDEX(Employee!$D$4:$D$47,MATCH($H$4:$H$1003,Employee!$A$4:$A$47,0))</f>
        <v>Cinthia Gunawan</v>
      </c>
      <c r="K81" s="10" t="s">
        <v>57</v>
      </c>
      <c r="L81" s="10" t="s">
        <v>345</v>
      </c>
      <c r="M81" s="10" t="s">
        <v>59</v>
      </c>
      <c r="N81" s="10" t="s">
        <v>60</v>
      </c>
      <c r="O81" s="10" t="s">
        <v>61</v>
      </c>
      <c r="P81" s="10">
        <v>42650</v>
      </c>
      <c r="Q81" s="15">
        <v>51000</v>
      </c>
      <c r="R81" s="15">
        <v>81000</v>
      </c>
      <c r="S81" s="15">
        <f>Table1[[#This Row],[Retail Price]]-Table1[[#This Row],[Cost Price]]</f>
        <v>30000</v>
      </c>
      <c r="T81" s="10">
        <v>25</v>
      </c>
      <c r="U81" s="15">
        <f>Table1[[#This Row],[Profit Margin]]*Table1[[#This Row],[Order Quantity]]</f>
        <v>750000</v>
      </c>
      <c r="V81" s="11">
        <v>0.09</v>
      </c>
      <c r="W81" s="15">
        <f t="shared" si="1"/>
        <v>67500</v>
      </c>
      <c r="X81" s="15">
        <f>Table1[[#This Row],[Sub Total]]-Table1[[#This Row],[Discount Rp]]</f>
        <v>682500</v>
      </c>
      <c r="Y81" s="15">
        <f ca="1">OFFSET(Helper!$C$3,MATCH(Data!$N$4:$N$1003,Helper!$C$4:$C$9,0),MATCH(Data!$O$4:$O$1003,Helper!$D$3:$F$3,0))</f>
        <v>15000</v>
      </c>
      <c r="Z81" s="16">
        <f ca="1">Table1[[#This Row],[Order Total]]+Table1[[#This Row],[Shipping Cost]]</f>
        <v>697500</v>
      </c>
    </row>
    <row r="82" spans="1:26" ht="15.75" customHeight="1" x14ac:dyDescent="0.3">
      <c r="A82" s="9" t="s">
        <v>346</v>
      </c>
      <c r="B82" s="18">
        <v>42650</v>
      </c>
      <c r="C82" s="10">
        <f>YEAR(Table1[[#This Row],[Order Date]])</f>
        <v>2016</v>
      </c>
      <c r="D82" s="10" t="s">
        <v>347</v>
      </c>
      <c r="E82" s="10" t="s">
        <v>348</v>
      </c>
      <c r="F82" s="10" t="s">
        <v>261</v>
      </c>
      <c r="G82" s="10" t="s">
        <v>55</v>
      </c>
      <c r="H82" s="10" t="s">
        <v>146</v>
      </c>
      <c r="I82" s="10" t="str">
        <f>VLOOKUP(Table1[[#This Row],[Account Manager ID]],Table2[[Employee ID]:[Full Name]],4,FALSE)</f>
        <v>Kenari Rajasa</v>
      </c>
      <c r="J82" s="10" t="str">
        <f>INDEX(Employee!$D$4:$D$47,MATCH($H$4:$H$1003,Employee!$A$4:$A$47,0))</f>
        <v>Kenari Rajasa</v>
      </c>
      <c r="K82" s="10" t="s">
        <v>57</v>
      </c>
      <c r="L82" s="10" t="s">
        <v>349</v>
      </c>
      <c r="M82" s="10" t="s">
        <v>59</v>
      </c>
      <c r="N82" s="10" t="s">
        <v>67</v>
      </c>
      <c r="O82" s="10" t="s">
        <v>61</v>
      </c>
      <c r="P82" s="10">
        <v>42651</v>
      </c>
      <c r="Q82" s="15">
        <v>166650</v>
      </c>
      <c r="R82" s="15">
        <v>297600</v>
      </c>
      <c r="S82" s="15">
        <f>Table1[[#This Row],[Retail Price]]-Table1[[#This Row],[Cost Price]]</f>
        <v>130950</v>
      </c>
      <c r="T82" s="10">
        <v>26</v>
      </c>
      <c r="U82" s="15">
        <f>Table1[[#This Row],[Profit Margin]]*Table1[[#This Row],[Order Quantity]]</f>
        <v>3404700</v>
      </c>
      <c r="V82" s="11">
        <v>7.0000000000000007E-2</v>
      </c>
      <c r="W82" s="15">
        <f t="shared" si="1"/>
        <v>238329.00000000003</v>
      </c>
      <c r="X82" s="15">
        <f>Table1[[#This Row],[Sub Total]]-Table1[[#This Row],[Discount Rp]]</f>
        <v>3166371</v>
      </c>
      <c r="Y82" s="15">
        <f ca="1">OFFSET(Helper!$C$3,MATCH(Data!$N$4:$N$1003,Helper!$C$4:$C$9,0),MATCH(Data!$O$4:$O$1003,Helper!$D$3:$F$3,0))</f>
        <v>5000</v>
      </c>
      <c r="Z82" s="16">
        <f ca="1">Table1[[#This Row],[Order Total]]+Table1[[#This Row],[Shipping Cost]]</f>
        <v>3171371</v>
      </c>
    </row>
    <row r="83" spans="1:26" ht="15.75" customHeight="1" x14ac:dyDescent="0.3">
      <c r="A83" s="9" t="s">
        <v>350</v>
      </c>
      <c r="B83" s="18">
        <v>42651</v>
      </c>
      <c r="C83" s="10">
        <f>YEAR(Table1[[#This Row],[Order Date]])</f>
        <v>2016</v>
      </c>
      <c r="D83" s="10" t="s">
        <v>351</v>
      </c>
      <c r="E83" s="10" t="s">
        <v>352</v>
      </c>
      <c r="F83" s="10" t="s">
        <v>261</v>
      </c>
      <c r="G83" s="10" t="s">
        <v>72</v>
      </c>
      <c r="H83" s="10" t="s">
        <v>112</v>
      </c>
      <c r="I83" s="10" t="str">
        <f>VLOOKUP(Table1[[#This Row],[Account Manager ID]],Table2[[Employee ID]:[Full Name]],4,FALSE)</f>
        <v>Paiman Firgantoro</v>
      </c>
      <c r="J83" s="10" t="str">
        <f>INDEX(Employee!$D$4:$D$47,MATCH($H$4:$H$1003,Employee!$A$4:$A$47,0))</f>
        <v>Paiman Firgantoro</v>
      </c>
      <c r="K83" s="10" t="s">
        <v>74</v>
      </c>
      <c r="L83" s="10" t="s">
        <v>151</v>
      </c>
      <c r="M83" s="10" t="s">
        <v>59</v>
      </c>
      <c r="N83" s="10" t="s">
        <v>67</v>
      </c>
      <c r="O83" s="10" t="s">
        <v>61</v>
      </c>
      <c r="P83" s="10">
        <v>42652</v>
      </c>
      <c r="Q83" s="15">
        <v>27300</v>
      </c>
      <c r="R83" s="15">
        <v>44700</v>
      </c>
      <c r="S83" s="15">
        <f>Table1[[#This Row],[Retail Price]]-Table1[[#This Row],[Cost Price]]</f>
        <v>17400</v>
      </c>
      <c r="T83" s="10">
        <v>3</v>
      </c>
      <c r="U83" s="15">
        <f>Table1[[#This Row],[Profit Margin]]*Table1[[#This Row],[Order Quantity]]</f>
        <v>52200</v>
      </c>
      <c r="V83" s="11">
        <v>0.09</v>
      </c>
      <c r="W83" s="15">
        <f t="shared" si="1"/>
        <v>4698</v>
      </c>
      <c r="X83" s="15">
        <f>Table1[[#This Row],[Sub Total]]-Table1[[#This Row],[Discount Rp]]</f>
        <v>47502</v>
      </c>
      <c r="Y83" s="15">
        <f ca="1">OFFSET(Helper!$C$3,MATCH(Data!$N$4:$N$1003,Helper!$C$4:$C$9,0),MATCH(Data!$O$4:$O$1003,Helper!$D$3:$F$3,0))</f>
        <v>5000</v>
      </c>
      <c r="Z83" s="16">
        <f ca="1">Table1[[#This Row],[Order Total]]+Table1[[#This Row],[Shipping Cost]]</f>
        <v>52502</v>
      </c>
    </row>
    <row r="84" spans="1:26" ht="15.75" customHeight="1" x14ac:dyDescent="0.3">
      <c r="A84" s="9" t="s">
        <v>353</v>
      </c>
      <c r="B84" s="18">
        <v>42654</v>
      </c>
      <c r="C84" s="10">
        <f>YEAR(Table1[[#This Row],[Order Date]])</f>
        <v>2016</v>
      </c>
      <c r="D84" s="10" t="s">
        <v>354</v>
      </c>
      <c r="E84" s="10" t="s">
        <v>116</v>
      </c>
      <c r="F84" s="10" t="s">
        <v>54</v>
      </c>
      <c r="G84" s="10" t="s">
        <v>55</v>
      </c>
      <c r="H84" s="10" t="s">
        <v>56</v>
      </c>
      <c r="I84" s="10" t="str">
        <f>VLOOKUP(Table1[[#This Row],[Account Manager ID]],Table2[[Employee ID]:[Full Name]],4,FALSE)</f>
        <v>Gaduh Pratama</v>
      </c>
      <c r="J84" s="10" t="str">
        <f>INDEX(Employee!$D$4:$D$47,MATCH($H$4:$H$1003,Employee!$A$4:$A$47,0))</f>
        <v>Gaduh Pratama</v>
      </c>
      <c r="K84" s="10" t="s">
        <v>117</v>
      </c>
      <c r="L84" s="10" t="s">
        <v>355</v>
      </c>
      <c r="M84" s="10" t="s">
        <v>59</v>
      </c>
      <c r="N84" s="10" t="s">
        <v>60</v>
      </c>
      <c r="O84" s="10" t="s">
        <v>61</v>
      </c>
      <c r="P84" s="10">
        <v>42656</v>
      </c>
      <c r="Q84" s="15">
        <v>19950</v>
      </c>
      <c r="R84" s="15">
        <v>31200</v>
      </c>
      <c r="S84" s="15">
        <f>Table1[[#This Row],[Retail Price]]-Table1[[#This Row],[Cost Price]]</f>
        <v>11250</v>
      </c>
      <c r="T84" s="10">
        <v>44</v>
      </c>
      <c r="U84" s="15">
        <f>Table1[[#This Row],[Profit Margin]]*Table1[[#This Row],[Order Quantity]]</f>
        <v>495000</v>
      </c>
      <c r="V84" s="11">
        <v>0.04</v>
      </c>
      <c r="W84" s="15">
        <f t="shared" si="1"/>
        <v>19800</v>
      </c>
      <c r="X84" s="15">
        <f>Table1[[#This Row],[Sub Total]]-Table1[[#This Row],[Discount Rp]]</f>
        <v>475200</v>
      </c>
      <c r="Y84" s="15">
        <f ca="1">OFFSET(Helper!$C$3,MATCH(Data!$N$4:$N$1003,Helper!$C$4:$C$9,0),MATCH(Data!$O$4:$O$1003,Helper!$D$3:$F$3,0))</f>
        <v>15000</v>
      </c>
      <c r="Z84" s="16">
        <f ca="1">Table1[[#This Row],[Order Total]]+Table1[[#This Row],[Shipping Cost]]</f>
        <v>490200</v>
      </c>
    </row>
    <row r="85" spans="1:26" ht="15.75" customHeight="1" x14ac:dyDescent="0.3">
      <c r="A85" s="9" t="s">
        <v>356</v>
      </c>
      <c r="B85" s="18">
        <v>42654</v>
      </c>
      <c r="C85" s="10">
        <f>YEAR(Table1[[#This Row],[Order Date]])</f>
        <v>2016</v>
      </c>
      <c r="D85" s="10" t="s">
        <v>357</v>
      </c>
      <c r="E85" s="10" t="s">
        <v>358</v>
      </c>
      <c r="F85" s="10" t="s">
        <v>71</v>
      </c>
      <c r="G85" s="10" t="s">
        <v>106</v>
      </c>
      <c r="H85" s="10" t="s">
        <v>73</v>
      </c>
      <c r="I85" s="10" t="str">
        <f>VLOOKUP(Table1[[#This Row],[Account Manager ID]],Table2[[Employee ID]:[Full Name]],4,FALSE)</f>
        <v>Cinthia Gunawan</v>
      </c>
      <c r="J85" s="10" t="str">
        <f>INDEX(Employee!$D$4:$D$47,MATCH($H$4:$H$1003,Employee!$A$4:$A$47,0))</f>
        <v>Cinthia Gunawan</v>
      </c>
      <c r="K85" s="10" t="s">
        <v>107</v>
      </c>
      <c r="L85" s="10" t="s">
        <v>359</v>
      </c>
      <c r="M85" s="10" t="s">
        <v>81</v>
      </c>
      <c r="N85" s="10" t="s">
        <v>227</v>
      </c>
      <c r="O85" s="10" t="s">
        <v>61</v>
      </c>
      <c r="P85" s="10">
        <v>42656</v>
      </c>
      <c r="Q85" s="15">
        <v>118800</v>
      </c>
      <c r="R85" s="15">
        <v>194850</v>
      </c>
      <c r="S85" s="15">
        <f>Table1[[#This Row],[Retail Price]]-Table1[[#This Row],[Cost Price]]</f>
        <v>76050</v>
      </c>
      <c r="T85" s="10">
        <v>49</v>
      </c>
      <c r="U85" s="15">
        <f>Table1[[#This Row],[Profit Margin]]*Table1[[#This Row],[Order Quantity]]</f>
        <v>3726450</v>
      </c>
      <c r="V85" s="11">
        <v>7.0000000000000007E-2</v>
      </c>
      <c r="W85" s="15">
        <f t="shared" si="1"/>
        <v>260851.50000000003</v>
      </c>
      <c r="X85" s="15">
        <f>Table1[[#This Row],[Sub Total]]-Table1[[#This Row],[Discount Rp]]</f>
        <v>3465598.5</v>
      </c>
      <c r="Y85" s="15">
        <f ca="1">OFFSET(Helper!$C$3,MATCH(Data!$N$4:$N$1003,Helper!$C$4:$C$9,0),MATCH(Data!$O$4:$O$1003,Helper!$D$3:$F$3,0))</f>
        <v>20000</v>
      </c>
      <c r="Z85" s="16">
        <f ca="1">Table1[[#This Row],[Order Total]]+Table1[[#This Row],[Shipping Cost]]</f>
        <v>3485598.5</v>
      </c>
    </row>
    <row r="86" spans="1:26" ht="15.75" customHeight="1" x14ac:dyDescent="0.3">
      <c r="A86" s="9" t="s">
        <v>360</v>
      </c>
      <c r="B86" s="18">
        <v>42655</v>
      </c>
      <c r="C86" s="10">
        <f>YEAR(Table1[[#This Row],[Order Date]])</f>
        <v>2016</v>
      </c>
      <c r="D86" s="10" t="s">
        <v>361</v>
      </c>
      <c r="E86" s="10" t="s">
        <v>193</v>
      </c>
      <c r="F86" s="10" t="s">
        <v>71</v>
      </c>
      <c r="G86" s="10" t="s">
        <v>106</v>
      </c>
      <c r="H86" s="10" t="s">
        <v>194</v>
      </c>
      <c r="I86" s="10" t="str">
        <f>VLOOKUP(Table1[[#This Row],[Account Manager ID]],Table2[[Employee ID]:[Full Name]],4,FALSE)</f>
        <v>Nabila Prakasa</v>
      </c>
      <c r="J86" s="10" t="str">
        <f>INDEX(Employee!$D$4:$D$47,MATCH($H$4:$H$1003,Employee!$A$4:$A$47,0))</f>
        <v>Nabila Prakasa</v>
      </c>
      <c r="K86" s="10" t="s">
        <v>92</v>
      </c>
      <c r="L86" s="10" t="s">
        <v>186</v>
      </c>
      <c r="M86" s="10" t="s">
        <v>81</v>
      </c>
      <c r="N86" s="10" t="s">
        <v>60</v>
      </c>
      <c r="O86" s="10" t="s">
        <v>61</v>
      </c>
      <c r="P86" s="10">
        <v>42659</v>
      </c>
      <c r="Q86" s="15">
        <v>95850</v>
      </c>
      <c r="R86" s="15">
        <v>299700</v>
      </c>
      <c r="S86" s="15">
        <f>Table1[[#This Row],[Retail Price]]-Table1[[#This Row],[Cost Price]]</f>
        <v>203850</v>
      </c>
      <c r="T86" s="10">
        <v>19</v>
      </c>
      <c r="U86" s="15">
        <f>Table1[[#This Row],[Profit Margin]]*Table1[[#This Row],[Order Quantity]]</f>
        <v>3873150</v>
      </c>
      <c r="V86" s="11">
        <v>0.08</v>
      </c>
      <c r="W86" s="15">
        <f t="shared" si="1"/>
        <v>309852</v>
      </c>
      <c r="X86" s="15">
        <f>Table1[[#This Row],[Sub Total]]-Table1[[#This Row],[Discount Rp]]</f>
        <v>3563298</v>
      </c>
      <c r="Y86" s="15">
        <f ca="1">OFFSET(Helper!$C$3,MATCH(Data!$N$4:$N$1003,Helper!$C$4:$C$9,0),MATCH(Data!$O$4:$O$1003,Helper!$D$3:$F$3,0))</f>
        <v>15000</v>
      </c>
      <c r="Z86" s="16">
        <f ca="1">Table1[[#This Row],[Order Total]]+Table1[[#This Row],[Shipping Cost]]</f>
        <v>3578298</v>
      </c>
    </row>
    <row r="87" spans="1:26" ht="15.75" customHeight="1" x14ac:dyDescent="0.3">
      <c r="A87" s="9" t="s">
        <v>362</v>
      </c>
      <c r="B87" s="18">
        <v>42657</v>
      </c>
      <c r="C87" s="10">
        <f>YEAR(Table1[[#This Row],[Order Date]])</f>
        <v>2016</v>
      </c>
      <c r="D87" s="10" t="s">
        <v>363</v>
      </c>
      <c r="E87" s="10" t="s">
        <v>364</v>
      </c>
      <c r="F87" s="10" t="s">
        <v>71</v>
      </c>
      <c r="G87" s="10" t="s">
        <v>87</v>
      </c>
      <c r="H87" s="10" t="s">
        <v>97</v>
      </c>
      <c r="I87" s="10" t="str">
        <f>VLOOKUP(Table1[[#This Row],[Account Manager ID]],Table2[[Employee ID]:[Full Name]],4,FALSE)</f>
        <v>Violet Mentari</v>
      </c>
      <c r="J87" s="10" t="str">
        <f>INDEX(Employee!$D$4:$D$47,MATCH($H$4:$H$1003,Employee!$A$4:$A$47,0))</f>
        <v>Violet Mentari</v>
      </c>
      <c r="K87" s="10" t="s">
        <v>57</v>
      </c>
      <c r="L87" s="10" t="s">
        <v>216</v>
      </c>
      <c r="M87" s="10" t="s">
        <v>81</v>
      </c>
      <c r="N87" s="10" t="s">
        <v>136</v>
      </c>
      <c r="O87" s="10" t="s">
        <v>76</v>
      </c>
      <c r="P87" s="10">
        <v>42658</v>
      </c>
      <c r="Q87" s="15">
        <v>28050</v>
      </c>
      <c r="R87" s="15">
        <v>121799.99999999999</v>
      </c>
      <c r="S87" s="15">
        <f>Table1[[#This Row],[Retail Price]]-Table1[[#This Row],[Cost Price]]</f>
        <v>93749.999999999985</v>
      </c>
      <c r="T87" s="10">
        <v>32</v>
      </c>
      <c r="U87" s="15">
        <f>Table1[[#This Row],[Profit Margin]]*Table1[[#This Row],[Order Quantity]]</f>
        <v>2999999.9999999995</v>
      </c>
      <c r="V87" s="11">
        <v>0.08</v>
      </c>
      <c r="W87" s="15">
        <f t="shared" si="1"/>
        <v>239999.99999999997</v>
      </c>
      <c r="X87" s="15">
        <f>Table1[[#This Row],[Sub Total]]-Table1[[#This Row],[Discount Rp]]</f>
        <v>2759999.9999999995</v>
      </c>
      <c r="Y87" s="15">
        <f ca="1">OFFSET(Helper!$C$3,MATCH(Data!$N$4:$N$1003,Helper!$C$4:$C$9,0),MATCH(Data!$O$4:$O$1003,Helper!$D$3:$F$3,0))</f>
        <v>20000</v>
      </c>
      <c r="Z87" s="16">
        <f ca="1">Table1[[#This Row],[Order Total]]+Table1[[#This Row],[Shipping Cost]]</f>
        <v>2779999.9999999995</v>
      </c>
    </row>
    <row r="88" spans="1:26" ht="15.75" customHeight="1" x14ac:dyDescent="0.3">
      <c r="A88" s="9" t="s">
        <v>365</v>
      </c>
      <c r="B88" s="18">
        <v>42658</v>
      </c>
      <c r="C88" s="10">
        <f>YEAR(Table1[[#This Row],[Order Date]])</f>
        <v>2016</v>
      </c>
      <c r="D88" s="10" t="s">
        <v>366</v>
      </c>
      <c r="E88" s="10" t="s">
        <v>180</v>
      </c>
      <c r="F88" s="10" t="s">
        <v>54</v>
      </c>
      <c r="G88" s="10" t="s">
        <v>55</v>
      </c>
      <c r="H88" s="10" t="s">
        <v>65</v>
      </c>
      <c r="I88" s="10" t="str">
        <f>VLOOKUP(Table1[[#This Row],[Account Manager ID]],Table2[[Employee ID]:[Full Name]],4,FALSE)</f>
        <v>Laras Nuraini</v>
      </c>
      <c r="J88" s="10" t="str">
        <f>INDEX(Employee!$D$4:$D$47,MATCH($H$4:$H$1003,Employee!$A$4:$A$47,0))</f>
        <v>Laras Nuraini</v>
      </c>
      <c r="K88" s="10" t="s">
        <v>57</v>
      </c>
      <c r="L88" s="10" t="s">
        <v>367</v>
      </c>
      <c r="M88" s="10" t="s">
        <v>59</v>
      </c>
      <c r="N88" s="10" t="s">
        <v>60</v>
      </c>
      <c r="O88" s="10" t="s">
        <v>61</v>
      </c>
      <c r="P88" s="10">
        <v>42660</v>
      </c>
      <c r="Q88" s="15">
        <v>29700</v>
      </c>
      <c r="R88" s="15">
        <v>47250</v>
      </c>
      <c r="S88" s="15">
        <f>Table1[[#This Row],[Retail Price]]-Table1[[#This Row],[Cost Price]]</f>
        <v>17550</v>
      </c>
      <c r="T88" s="10">
        <v>23</v>
      </c>
      <c r="U88" s="15">
        <f>Table1[[#This Row],[Profit Margin]]*Table1[[#This Row],[Order Quantity]]</f>
        <v>403650</v>
      </c>
      <c r="V88" s="11">
        <v>0.01</v>
      </c>
      <c r="W88" s="15">
        <f t="shared" si="1"/>
        <v>4036.5</v>
      </c>
      <c r="X88" s="15">
        <f>Table1[[#This Row],[Sub Total]]-Table1[[#This Row],[Discount Rp]]</f>
        <v>399613.5</v>
      </c>
      <c r="Y88" s="15">
        <f ca="1">OFFSET(Helper!$C$3,MATCH(Data!$N$4:$N$1003,Helper!$C$4:$C$9,0),MATCH(Data!$O$4:$O$1003,Helper!$D$3:$F$3,0))</f>
        <v>15000</v>
      </c>
      <c r="Z88" s="16">
        <f ca="1">Table1[[#This Row],[Order Total]]+Table1[[#This Row],[Shipping Cost]]</f>
        <v>414613.5</v>
      </c>
    </row>
    <row r="89" spans="1:26" ht="15.75" customHeight="1" x14ac:dyDescent="0.3">
      <c r="A89" s="9" t="s">
        <v>368</v>
      </c>
      <c r="B89" s="18">
        <v>42658</v>
      </c>
      <c r="C89" s="10">
        <f>YEAR(Table1[[#This Row],[Order Date]])</f>
        <v>2016</v>
      </c>
      <c r="D89" s="10" t="s">
        <v>369</v>
      </c>
      <c r="E89" s="10" t="s">
        <v>370</v>
      </c>
      <c r="F89" s="10" t="s">
        <v>71</v>
      </c>
      <c r="G89" s="10" t="s">
        <v>72</v>
      </c>
      <c r="H89" s="10" t="s">
        <v>146</v>
      </c>
      <c r="I89" s="10" t="str">
        <f>VLOOKUP(Table1[[#This Row],[Account Manager ID]],Table2[[Employee ID]:[Full Name]],4,FALSE)</f>
        <v>Kenari Rajasa</v>
      </c>
      <c r="J89" s="10" t="str">
        <f>INDEX(Employee!$D$4:$D$47,MATCH($H$4:$H$1003,Employee!$A$4:$A$47,0))</f>
        <v>Kenari Rajasa</v>
      </c>
      <c r="K89" s="10" t="s">
        <v>107</v>
      </c>
      <c r="L89" s="10" t="s">
        <v>371</v>
      </c>
      <c r="M89" s="10" t="s">
        <v>59</v>
      </c>
      <c r="N89" s="10" t="s">
        <v>60</v>
      </c>
      <c r="O89" s="10" t="s">
        <v>61</v>
      </c>
      <c r="P89" s="10">
        <v>42660</v>
      </c>
      <c r="Q89" s="15">
        <v>252750.00000000003</v>
      </c>
      <c r="R89" s="15">
        <v>407700</v>
      </c>
      <c r="S89" s="15">
        <f>Table1[[#This Row],[Retail Price]]-Table1[[#This Row],[Cost Price]]</f>
        <v>154949.99999999997</v>
      </c>
      <c r="T89" s="10">
        <v>34</v>
      </c>
      <c r="U89" s="15">
        <f>Table1[[#This Row],[Profit Margin]]*Table1[[#This Row],[Order Quantity]]</f>
        <v>5268299.9999999991</v>
      </c>
      <c r="V89" s="11">
        <v>0.1</v>
      </c>
      <c r="W89" s="15">
        <f t="shared" si="1"/>
        <v>526829.99999999988</v>
      </c>
      <c r="X89" s="15">
        <f>Table1[[#This Row],[Sub Total]]-Table1[[#This Row],[Discount Rp]]</f>
        <v>4741469.9999999991</v>
      </c>
      <c r="Y89" s="15">
        <f ca="1">OFFSET(Helper!$C$3,MATCH(Data!$N$4:$N$1003,Helper!$C$4:$C$9,0),MATCH(Data!$O$4:$O$1003,Helper!$D$3:$F$3,0))</f>
        <v>15000</v>
      </c>
      <c r="Z89" s="16">
        <f ca="1">Table1[[#This Row],[Order Total]]+Table1[[#This Row],[Shipping Cost]]</f>
        <v>4756469.9999999991</v>
      </c>
    </row>
    <row r="90" spans="1:26" ht="15.75" customHeight="1" x14ac:dyDescent="0.3">
      <c r="A90" s="9" t="s">
        <v>372</v>
      </c>
      <c r="B90" s="18">
        <v>42659</v>
      </c>
      <c r="C90" s="10">
        <f>YEAR(Table1[[#This Row],[Order Date]])</f>
        <v>2016</v>
      </c>
      <c r="D90" s="10" t="s">
        <v>373</v>
      </c>
      <c r="E90" s="10" t="s">
        <v>340</v>
      </c>
      <c r="F90" s="10" t="s">
        <v>54</v>
      </c>
      <c r="G90" s="10" t="s">
        <v>106</v>
      </c>
      <c r="H90" s="10" t="s">
        <v>65</v>
      </c>
      <c r="I90" s="10" t="str">
        <f>VLOOKUP(Table1[[#This Row],[Account Manager ID]],Table2[[Employee ID]:[Full Name]],4,FALSE)</f>
        <v>Laras Nuraini</v>
      </c>
      <c r="J90" s="10" t="str">
        <f>INDEX(Employee!$D$4:$D$47,MATCH($H$4:$H$1003,Employee!$A$4:$A$47,0))</f>
        <v>Laras Nuraini</v>
      </c>
      <c r="K90" s="10" t="s">
        <v>74</v>
      </c>
      <c r="L90" s="10" t="s">
        <v>341</v>
      </c>
      <c r="M90" s="10" t="s">
        <v>59</v>
      </c>
      <c r="N90" s="10" t="s">
        <v>67</v>
      </c>
      <c r="O90" s="10" t="s">
        <v>61</v>
      </c>
      <c r="P90" s="10">
        <v>42660</v>
      </c>
      <c r="Q90" s="15">
        <v>24000</v>
      </c>
      <c r="R90" s="15">
        <v>39300</v>
      </c>
      <c r="S90" s="15">
        <f>Table1[[#This Row],[Retail Price]]-Table1[[#This Row],[Cost Price]]</f>
        <v>15300</v>
      </c>
      <c r="T90" s="10">
        <v>21</v>
      </c>
      <c r="U90" s="15">
        <f>Table1[[#This Row],[Profit Margin]]*Table1[[#This Row],[Order Quantity]]</f>
        <v>321300</v>
      </c>
      <c r="V90" s="11">
        <v>0.05</v>
      </c>
      <c r="W90" s="15">
        <f t="shared" si="1"/>
        <v>16065</v>
      </c>
      <c r="X90" s="15">
        <f>Table1[[#This Row],[Sub Total]]-Table1[[#This Row],[Discount Rp]]</f>
        <v>305235</v>
      </c>
      <c r="Y90" s="15">
        <f ca="1">OFFSET(Helper!$C$3,MATCH(Data!$N$4:$N$1003,Helper!$C$4:$C$9,0),MATCH(Data!$O$4:$O$1003,Helper!$D$3:$F$3,0))</f>
        <v>5000</v>
      </c>
      <c r="Z90" s="16">
        <f ca="1">Table1[[#This Row],[Order Total]]+Table1[[#This Row],[Shipping Cost]]</f>
        <v>310235</v>
      </c>
    </row>
    <row r="91" spans="1:26" ht="15.75" customHeight="1" x14ac:dyDescent="0.3">
      <c r="A91" s="9" t="s">
        <v>374</v>
      </c>
      <c r="B91" s="18">
        <v>42660</v>
      </c>
      <c r="C91" s="10">
        <f>YEAR(Table1[[#This Row],[Order Date]])</f>
        <v>2016</v>
      </c>
      <c r="D91" s="10" t="s">
        <v>375</v>
      </c>
      <c r="E91" s="10" t="s">
        <v>376</v>
      </c>
      <c r="F91" s="10" t="s">
        <v>54</v>
      </c>
      <c r="G91" s="10" t="s">
        <v>72</v>
      </c>
      <c r="H91" s="10" t="s">
        <v>65</v>
      </c>
      <c r="I91" s="10" t="str">
        <f>VLOOKUP(Table1[[#This Row],[Account Manager ID]],Table2[[Employee ID]:[Full Name]],4,FALSE)</f>
        <v>Laras Nuraini</v>
      </c>
      <c r="J91" s="10" t="str">
        <f>INDEX(Employee!$D$4:$D$47,MATCH($H$4:$H$1003,Employee!$A$4:$A$47,0))</f>
        <v>Laras Nuraini</v>
      </c>
      <c r="K91" s="10" t="s">
        <v>107</v>
      </c>
      <c r="L91" s="10" t="s">
        <v>226</v>
      </c>
      <c r="M91" s="10" t="s">
        <v>81</v>
      </c>
      <c r="N91" s="10" t="s">
        <v>227</v>
      </c>
      <c r="O91" s="10" t="s">
        <v>61</v>
      </c>
      <c r="P91" s="10">
        <v>42662</v>
      </c>
      <c r="Q91" s="15">
        <v>132300</v>
      </c>
      <c r="R91" s="15">
        <v>314850</v>
      </c>
      <c r="S91" s="15">
        <f>Table1[[#This Row],[Retail Price]]-Table1[[#This Row],[Cost Price]]</f>
        <v>182550</v>
      </c>
      <c r="T91" s="10">
        <v>41</v>
      </c>
      <c r="U91" s="15">
        <f>Table1[[#This Row],[Profit Margin]]*Table1[[#This Row],[Order Quantity]]</f>
        <v>7484550</v>
      </c>
      <c r="V91" s="11">
        <v>0.02</v>
      </c>
      <c r="W91" s="15">
        <f t="shared" si="1"/>
        <v>149691</v>
      </c>
      <c r="X91" s="15">
        <f>Table1[[#This Row],[Sub Total]]-Table1[[#This Row],[Discount Rp]]</f>
        <v>7334859</v>
      </c>
      <c r="Y91" s="15">
        <f ca="1">OFFSET(Helper!$C$3,MATCH(Data!$N$4:$N$1003,Helper!$C$4:$C$9,0),MATCH(Data!$O$4:$O$1003,Helper!$D$3:$F$3,0))</f>
        <v>20000</v>
      </c>
      <c r="Z91" s="16">
        <f ca="1">Table1[[#This Row],[Order Total]]+Table1[[#This Row],[Shipping Cost]]</f>
        <v>7354859</v>
      </c>
    </row>
    <row r="92" spans="1:26" ht="15.75" customHeight="1" x14ac:dyDescent="0.3">
      <c r="A92" s="9" t="s">
        <v>377</v>
      </c>
      <c r="B92" s="18">
        <v>42660</v>
      </c>
      <c r="C92" s="10">
        <f>YEAR(Table1[[#This Row],[Order Date]])</f>
        <v>2016</v>
      </c>
      <c r="D92" s="10" t="s">
        <v>375</v>
      </c>
      <c r="E92" s="10" t="s">
        <v>376</v>
      </c>
      <c r="F92" s="10" t="s">
        <v>54</v>
      </c>
      <c r="G92" s="10" t="s">
        <v>72</v>
      </c>
      <c r="H92" s="10" t="s">
        <v>65</v>
      </c>
      <c r="I92" s="10" t="str">
        <f>VLOOKUP(Table1[[#This Row],[Account Manager ID]],Table2[[Employee ID]:[Full Name]],4,FALSE)</f>
        <v>Laras Nuraini</v>
      </c>
      <c r="J92" s="10" t="str">
        <f>INDEX(Employee!$D$4:$D$47,MATCH($H$4:$H$1003,Employee!$A$4:$A$47,0))</f>
        <v>Laras Nuraini</v>
      </c>
      <c r="K92" s="10" t="s">
        <v>107</v>
      </c>
      <c r="L92" s="10" t="s">
        <v>345</v>
      </c>
      <c r="M92" s="10" t="s">
        <v>59</v>
      </c>
      <c r="N92" s="10" t="s">
        <v>60</v>
      </c>
      <c r="O92" s="10" t="s">
        <v>76</v>
      </c>
      <c r="P92" s="10">
        <v>42662</v>
      </c>
      <c r="Q92" s="15">
        <v>51000</v>
      </c>
      <c r="R92" s="15">
        <v>81000</v>
      </c>
      <c r="S92" s="15">
        <f>Table1[[#This Row],[Retail Price]]-Table1[[#This Row],[Cost Price]]</f>
        <v>30000</v>
      </c>
      <c r="T92" s="10">
        <v>26</v>
      </c>
      <c r="U92" s="15">
        <f>Table1[[#This Row],[Profit Margin]]*Table1[[#This Row],[Order Quantity]]</f>
        <v>780000</v>
      </c>
      <c r="V92" s="11">
        <v>0.05</v>
      </c>
      <c r="W92" s="15">
        <f t="shared" si="1"/>
        <v>39000</v>
      </c>
      <c r="X92" s="15">
        <f>Table1[[#This Row],[Sub Total]]-Table1[[#This Row],[Discount Rp]]</f>
        <v>741000</v>
      </c>
      <c r="Y92" s="15">
        <f ca="1">OFFSET(Helper!$C$3,MATCH(Data!$N$4:$N$1003,Helper!$C$4:$C$9,0),MATCH(Data!$O$4:$O$1003,Helper!$D$3:$F$3,0))</f>
        <v>30000</v>
      </c>
      <c r="Z92" s="16">
        <f ca="1">Table1[[#This Row],[Order Total]]+Table1[[#This Row],[Shipping Cost]]</f>
        <v>771000</v>
      </c>
    </row>
    <row r="93" spans="1:26" ht="15.75" customHeight="1" x14ac:dyDescent="0.3">
      <c r="A93" s="9" t="s">
        <v>378</v>
      </c>
      <c r="B93" s="18">
        <v>42661</v>
      </c>
      <c r="C93" s="10">
        <f>YEAR(Table1[[#This Row],[Order Date]])</f>
        <v>2016</v>
      </c>
      <c r="D93" s="10" t="s">
        <v>149</v>
      </c>
      <c r="E93" s="10" t="s">
        <v>150</v>
      </c>
      <c r="F93" s="10" t="s">
        <v>71</v>
      </c>
      <c r="G93" s="10" t="s">
        <v>106</v>
      </c>
      <c r="H93" s="10" t="s">
        <v>88</v>
      </c>
      <c r="I93" s="10" t="str">
        <f>VLOOKUP(Table1[[#This Row],[Account Manager ID]],Table2[[Employee ID]:[Full Name]],4,FALSE)</f>
        <v>Bagiya Sihombing</v>
      </c>
      <c r="J93" s="10" t="str">
        <f>INDEX(Employee!$D$4:$D$47,MATCH($H$4:$H$1003,Employee!$A$4:$A$47,0))</f>
        <v>Bagiya Sihombing</v>
      </c>
      <c r="K93" s="10" t="s">
        <v>117</v>
      </c>
      <c r="L93" s="10" t="s">
        <v>379</v>
      </c>
      <c r="M93" s="10" t="s">
        <v>59</v>
      </c>
      <c r="N93" s="10" t="s">
        <v>60</v>
      </c>
      <c r="O93" s="10" t="s">
        <v>61</v>
      </c>
      <c r="P93" s="10">
        <v>42661</v>
      </c>
      <c r="Q93" s="15">
        <v>323400</v>
      </c>
      <c r="R93" s="15">
        <v>539100</v>
      </c>
      <c r="S93" s="15">
        <f>Table1[[#This Row],[Retail Price]]-Table1[[#This Row],[Cost Price]]</f>
        <v>215700</v>
      </c>
      <c r="T93" s="10">
        <v>28</v>
      </c>
      <c r="U93" s="15">
        <f>Table1[[#This Row],[Profit Margin]]*Table1[[#This Row],[Order Quantity]]</f>
        <v>6039600</v>
      </c>
      <c r="V93" s="11">
        <v>0.01</v>
      </c>
      <c r="W93" s="15">
        <f t="shared" si="1"/>
        <v>60396</v>
      </c>
      <c r="X93" s="15">
        <f>Table1[[#This Row],[Sub Total]]-Table1[[#This Row],[Discount Rp]]</f>
        <v>5979204</v>
      </c>
      <c r="Y93" s="15">
        <f ca="1">OFFSET(Helper!$C$3,MATCH(Data!$N$4:$N$1003,Helper!$C$4:$C$9,0),MATCH(Data!$O$4:$O$1003,Helper!$D$3:$F$3,0))</f>
        <v>15000</v>
      </c>
      <c r="Z93" s="16">
        <f ca="1">Table1[[#This Row],[Order Total]]+Table1[[#This Row],[Shipping Cost]]</f>
        <v>5994204</v>
      </c>
    </row>
    <row r="94" spans="1:26" ht="15.75" customHeight="1" x14ac:dyDescent="0.3">
      <c r="A94" s="9" t="s">
        <v>380</v>
      </c>
      <c r="B94" s="18">
        <v>42665</v>
      </c>
      <c r="C94" s="10">
        <f>YEAR(Table1[[#This Row],[Order Date]])</f>
        <v>2016</v>
      </c>
      <c r="D94" s="10" t="s">
        <v>381</v>
      </c>
      <c r="E94" s="10" t="s">
        <v>165</v>
      </c>
      <c r="F94" s="10" t="s">
        <v>71</v>
      </c>
      <c r="G94" s="10" t="s">
        <v>72</v>
      </c>
      <c r="H94" s="10" t="s">
        <v>88</v>
      </c>
      <c r="I94" s="10" t="str">
        <f>VLOOKUP(Table1[[#This Row],[Account Manager ID]],Table2[[Employee ID]:[Full Name]],4,FALSE)</f>
        <v>Bagiya Sihombing</v>
      </c>
      <c r="J94" s="10" t="str">
        <f>INDEX(Employee!$D$4:$D$47,MATCH($H$4:$H$1003,Employee!$A$4:$A$47,0))</f>
        <v>Bagiya Sihombing</v>
      </c>
      <c r="K94" s="10" t="s">
        <v>74</v>
      </c>
      <c r="L94" s="10" t="s">
        <v>382</v>
      </c>
      <c r="M94" s="10" t="s">
        <v>59</v>
      </c>
      <c r="N94" s="10" t="s">
        <v>60</v>
      </c>
      <c r="O94" s="10" t="s">
        <v>61</v>
      </c>
      <c r="P94" s="10">
        <v>42665</v>
      </c>
      <c r="Q94" s="15">
        <v>41100</v>
      </c>
      <c r="R94" s="15">
        <v>67350</v>
      </c>
      <c r="S94" s="15">
        <f>Table1[[#This Row],[Retail Price]]-Table1[[#This Row],[Cost Price]]</f>
        <v>26250</v>
      </c>
      <c r="T94" s="10">
        <v>11</v>
      </c>
      <c r="U94" s="15">
        <f>Table1[[#This Row],[Profit Margin]]*Table1[[#This Row],[Order Quantity]]</f>
        <v>288750</v>
      </c>
      <c r="V94" s="11">
        <v>0.08</v>
      </c>
      <c r="W94" s="15">
        <f t="shared" si="1"/>
        <v>23100</v>
      </c>
      <c r="X94" s="15">
        <f>Table1[[#This Row],[Sub Total]]-Table1[[#This Row],[Discount Rp]]</f>
        <v>265650</v>
      </c>
      <c r="Y94" s="15">
        <f ca="1">OFFSET(Helper!$C$3,MATCH(Data!$N$4:$N$1003,Helper!$C$4:$C$9,0),MATCH(Data!$O$4:$O$1003,Helper!$D$3:$F$3,0))</f>
        <v>15000</v>
      </c>
      <c r="Z94" s="16">
        <f ca="1">Table1[[#This Row],[Order Total]]+Table1[[#This Row],[Shipping Cost]]</f>
        <v>280650</v>
      </c>
    </row>
    <row r="95" spans="1:26" ht="15.75" customHeight="1" x14ac:dyDescent="0.3">
      <c r="A95" s="9" t="s">
        <v>383</v>
      </c>
      <c r="B95" s="18">
        <v>42665</v>
      </c>
      <c r="C95" s="10">
        <f>YEAR(Table1[[#This Row],[Order Date]])</f>
        <v>2016</v>
      </c>
      <c r="D95" s="10" t="s">
        <v>168</v>
      </c>
      <c r="E95" s="10" t="s">
        <v>169</v>
      </c>
      <c r="F95" s="10" t="s">
        <v>54</v>
      </c>
      <c r="G95" s="10" t="s">
        <v>72</v>
      </c>
      <c r="H95" s="10" t="s">
        <v>65</v>
      </c>
      <c r="I95" s="10" t="str">
        <f>VLOOKUP(Table1[[#This Row],[Account Manager ID]],Table2[[Employee ID]:[Full Name]],4,FALSE)</f>
        <v>Laras Nuraini</v>
      </c>
      <c r="J95" s="10" t="str">
        <f>INDEX(Employee!$D$4:$D$47,MATCH($H$4:$H$1003,Employee!$A$4:$A$47,0))</f>
        <v>Laras Nuraini</v>
      </c>
      <c r="K95" s="10" t="s">
        <v>107</v>
      </c>
      <c r="L95" s="10" t="s">
        <v>384</v>
      </c>
      <c r="M95" s="10" t="s">
        <v>59</v>
      </c>
      <c r="N95" s="10" t="s">
        <v>67</v>
      </c>
      <c r="O95" s="10" t="s">
        <v>61</v>
      </c>
      <c r="P95" s="10">
        <v>42668</v>
      </c>
      <c r="Q95" s="15">
        <v>65550</v>
      </c>
      <c r="R95" s="15">
        <v>136650</v>
      </c>
      <c r="S95" s="15">
        <f>Table1[[#This Row],[Retail Price]]-Table1[[#This Row],[Cost Price]]</f>
        <v>71100</v>
      </c>
      <c r="T95" s="10">
        <v>6</v>
      </c>
      <c r="U95" s="15">
        <f>Table1[[#This Row],[Profit Margin]]*Table1[[#This Row],[Order Quantity]]</f>
        <v>426600</v>
      </c>
      <c r="V95" s="11">
        <v>0.04</v>
      </c>
      <c r="W95" s="15">
        <f t="shared" si="1"/>
        <v>17064</v>
      </c>
      <c r="X95" s="15">
        <f>Table1[[#This Row],[Sub Total]]-Table1[[#This Row],[Discount Rp]]</f>
        <v>409536</v>
      </c>
      <c r="Y95" s="15">
        <f ca="1">OFFSET(Helper!$C$3,MATCH(Data!$N$4:$N$1003,Helper!$C$4:$C$9,0),MATCH(Data!$O$4:$O$1003,Helper!$D$3:$F$3,0))</f>
        <v>5000</v>
      </c>
      <c r="Z95" s="16">
        <f ca="1">Table1[[#This Row],[Order Total]]+Table1[[#This Row],[Shipping Cost]]</f>
        <v>414536</v>
      </c>
    </row>
    <row r="96" spans="1:26" ht="15.75" customHeight="1" x14ac:dyDescent="0.3">
      <c r="A96" s="9" t="s">
        <v>385</v>
      </c>
      <c r="B96" s="18">
        <v>42670</v>
      </c>
      <c r="C96" s="10">
        <f>YEAR(Table1[[#This Row],[Order Date]])</f>
        <v>2016</v>
      </c>
      <c r="D96" s="10" t="s">
        <v>386</v>
      </c>
      <c r="E96" s="10" t="s">
        <v>387</v>
      </c>
      <c r="F96" s="10" t="s">
        <v>71</v>
      </c>
      <c r="G96" s="10" t="s">
        <v>87</v>
      </c>
      <c r="H96" s="10" t="s">
        <v>194</v>
      </c>
      <c r="I96" s="10" t="str">
        <f>VLOOKUP(Table1[[#This Row],[Account Manager ID]],Table2[[Employee ID]:[Full Name]],4,FALSE)</f>
        <v>Nabila Prakasa</v>
      </c>
      <c r="J96" s="10" t="str">
        <f>INDEX(Employee!$D$4:$D$47,MATCH($H$4:$H$1003,Employee!$A$4:$A$47,0))</f>
        <v>Nabila Prakasa</v>
      </c>
      <c r="K96" s="10" t="s">
        <v>74</v>
      </c>
      <c r="L96" s="10" t="s">
        <v>388</v>
      </c>
      <c r="M96" s="10" t="s">
        <v>59</v>
      </c>
      <c r="N96" s="10" t="s">
        <v>67</v>
      </c>
      <c r="O96" s="10" t="s">
        <v>61</v>
      </c>
      <c r="P96" s="10">
        <v>42671</v>
      </c>
      <c r="Q96" s="15">
        <v>58200</v>
      </c>
      <c r="R96" s="15">
        <v>97050</v>
      </c>
      <c r="S96" s="15">
        <f>Table1[[#This Row],[Retail Price]]-Table1[[#This Row],[Cost Price]]</f>
        <v>38850</v>
      </c>
      <c r="T96" s="10">
        <v>20</v>
      </c>
      <c r="U96" s="15">
        <f>Table1[[#This Row],[Profit Margin]]*Table1[[#This Row],[Order Quantity]]</f>
        <v>777000</v>
      </c>
      <c r="V96" s="11">
        <v>0.02</v>
      </c>
      <c r="W96" s="15">
        <f t="shared" si="1"/>
        <v>15540</v>
      </c>
      <c r="X96" s="15">
        <f>Table1[[#This Row],[Sub Total]]-Table1[[#This Row],[Discount Rp]]</f>
        <v>761460</v>
      </c>
      <c r="Y96" s="15">
        <f ca="1">OFFSET(Helper!$C$3,MATCH(Data!$N$4:$N$1003,Helper!$C$4:$C$9,0),MATCH(Data!$O$4:$O$1003,Helper!$D$3:$F$3,0))</f>
        <v>5000</v>
      </c>
      <c r="Z96" s="16">
        <f ca="1">Table1[[#This Row],[Order Total]]+Table1[[#This Row],[Shipping Cost]]</f>
        <v>766460</v>
      </c>
    </row>
    <row r="97" spans="1:26" ht="15.75" customHeight="1" x14ac:dyDescent="0.3">
      <c r="A97" s="9" t="s">
        <v>389</v>
      </c>
      <c r="B97" s="18">
        <v>42670</v>
      </c>
      <c r="C97" s="10">
        <f>YEAR(Table1[[#This Row],[Order Date]])</f>
        <v>2016</v>
      </c>
      <c r="D97" s="10" t="s">
        <v>386</v>
      </c>
      <c r="E97" s="10" t="s">
        <v>387</v>
      </c>
      <c r="F97" s="10" t="s">
        <v>71</v>
      </c>
      <c r="G97" s="10" t="s">
        <v>87</v>
      </c>
      <c r="H97" s="10" t="s">
        <v>194</v>
      </c>
      <c r="I97" s="10" t="str">
        <f>VLOOKUP(Table1[[#This Row],[Account Manager ID]],Table2[[Employee ID]:[Full Name]],4,FALSE)</f>
        <v>Nabila Prakasa</v>
      </c>
      <c r="J97" s="10" t="str">
        <f>INDEX(Employee!$D$4:$D$47,MATCH($H$4:$H$1003,Employee!$A$4:$A$47,0))</f>
        <v>Nabila Prakasa</v>
      </c>
      <c r="K97" s="10" t="s">
        <v>74</v>
      </c>
      <c r="L97" s="10" t="s">
        <v>390</v>
      </c>
      <c r="M97" s="10" t="s">
        <v>59</v>
      </c>
      <c r="N97" s="10" t="s">
        <v>67</v>
      </c>
      <c r="O97" s="10" t="s">
        <v>61</v>
      </c>
      <c r="P97" s="10">
        <v>42672</v>
      </c>
      <c r="Q97" s="15">
        <v>19650</v>
      </c>
      <c r="R97" s="15">
        <v>42600</v>
      </c>
      <c r="S97" s="15">
        <f>Table1[[#This Row],[Retail Price]]-Table1[[#This Row],[Cost Price]]</f>
        <v>22950</v>
      </c>
      <c r="T97" s="10">
        <v>39</v>
      </c>
      <c r="U97" s="15">
        <f>Table1[[#This Row],[Profit Margin]]*Table1[[#This Row],[Order Quantity]]</f>
        <v>895050</v>
      </c>
      <c r="V97" s="11">
        <v>7.0000000000000007E-2</v>
      </c>
      <c r="W97" s="15">
        <f t="shared" si="1"/>
        <v>62653.500000000007</v>
      </c>
      <c r="X97" s="15">
        <f>Table1[[#This Row],[Sub Total]]-Table1[[#This Row],[Discount Rp]]</f>
        <v>832396.5</v>
      </c>
      <c r="Y97" s="15">
        <f ca="1">OFFSET(Helper!$C$3,MATCH(Data!$N$4:$N$1003,Helper!$C$4:$C$9,0),MATCH(Data!$O$4:$O$1003,Helper!$D$3:$F$3,0))</f>
        <v>5000</v>
      </c>
      <c r="Z97" s="16">
        <f ca="1">Table1[[#This Row],[Order Total]]+Table1[[#This Row],[Shipping Cost]]</f>
        <v>837396.5</v>
      </c>
    </row>
    <row r="98" spans="1:26" ht="15.75" customHeight="1" x14ac:dyDescent="0.3">
      <c r="A98" s="9" t="s">
        <v>391</v>
      </c>
      <c r="B98" s="18">
        <v>42671</v>
      </c>
      <c r="C98" s="10">
        <f>YEAR(Table1[[#This Row],[Order Date]])</f>
        <v>2016</v>
      </c>
      <c r="D98" s="10" t="s">
        <v>392</v>
      </c>
      <c r="E98" s="10" t="s">
        <v>393</v>
      </c>
      <c r="F98" s="10" t="s">
        <v>71</v>
      </c>
      <c r="G98" s="10" t="s">
        <v>55</v>
      </c>
      <c r="H98" s="10" t="s">
        <v>122</v>
      </c>
      <c r="I98" s="10" t="str">
        <f>VLOOKUP(Table1[[#This Row],[Account Manager ID]],Table2[[Employee ID]:[Full Name]],4,FALSE)</f>
        <v>Ophelia Mustofa</v>
      </c>
      <c r="J98" s="10" t="str">
        <f>INDEX(Employee!$D$4:$D$47,MATCH($H$4:$H$1003,Employee!$A$4:$A$47,0))</f>
        <v>Ophelia Mustofa</v>
      </c>
      <c r="K98" s="10" t="s">
        <v>74</v>
      </c>
      <c r="L98" s="10" t="s">
        <v>394</v>
      </c>
      <c r="M98" s="10" t="s">
        <v>59</v>
      </c>
      <c r="N98" s="10" t="s">
        <v>67</v>
      </c>
      <c r="O98" s="10" t="s">
        <v>61</v>
      </c>
      <c r="P98" s="10">
        <v>42672</v>
      </c>
      <c r="Q98" s="15">
        <v>3600</v>
      </c>
      <c r="R98" s="15">
        <v>18900</v>
      </c>
      <c r="S98" s="15">
        <f>Table1[[#This Row],[Retail Price]]-Table1[[#This Row],[Cost Price]]</f>
        <v>15300</v>
      </c>
      <c r="T98" s="10">
        <v>10</v>
      </c>
      <c r="U98" s="15">
        <f>Table1[[#This Row],[Profit Margin]]*Table1[[#This Row],[Order Quantity]]</f>
        <v>153000</v>
      </c>
      <c r="V98" s="11">
        <v>0.1</v>
      </c>
      <c r="W98" s="15">
        <f t="shared" si="1"/>
        <v>15300</v>
      </c>
      <c r="X98" s="15">
        <f>Table1[[#This Row],[Sub Total]]-Table1[[#This Row],[Discount Rp]]</f>
        <v>137700</v>
      </c>
      <c r="Y98" s="15">
        <f ca="1">OFFSET(Helper!$C$3,MATCH(Data!$N$4:$N$1003,Helper!$C$4:$C$9,0),MATCH(Data!$O$4:$O$1003,Helper!$D$3:$F$3,0))</f>
        <v>5000</v>
      </c>
      <c r="Z98" s="16">
        <f ca="1">Table1[[#This Row],[Order Total]]+Table1[[#This Row],[Shipping Cost]]</f>
        <v>142700</v>
      </c>
    </row>
    <row r="99" spans="1:26" ht="15.75" customHeight="1" x14ac:dyDescent="0.3">
      <c r="A99" s="9" t="s">
        <v>395</v>
      </c>
      <c r="B99" s="18">
        <v>42671</v>
      </c>
      <c r="C99" s="10">
        <f>YEAR(Table1[[#This Row],[Order Date]])</f>
        <v>2016</v>
      </c>
      <c r="D99" s="10" t="s">
        <v>179</v>
      </c>
      <c r="E99" s="10" t="s">
        <v>180</v>
      </c>
      <c r="F99" s="10" t="s">
        <v>54</v>
      </c>
      <c r="G99" s="10" t="s">
        <v>72</v>
      </c>
      <c r="H99" s="10" t="s">
        <v>65</v>
      </c>
      <c r="I99" s="10" t="str">
        <f>VLOOKUP(Table1[[#This Row],[Account Manager ID]],Table2[[Employee ID]:[Full Name]],4,FALSE)</f>
        <v>Laras Nuraini</v>
      </c>
      <c r="J99" s="10" t="str">
        <f>INDEX(Employee!$D$4:$D$47,MATCH($H$4:$H$1003,Employee!$A$4:$A$47,0))</f>
        <v>Laras Nuraini</v>
      </c>
      <c r="K99" s="10" t="s">
        <v>57</v>
      </c>
      <c r="L99" s="10" t="s">
        <v>331</v>
      </c>
      <c r="M99" s="10" t="s">
        <v>59</v>
      </c>
      <c r="N99" s="10" t="s">
        <v>67</v>
      </c>
      <c r="O99" s="10" t="s">
        <v>61</v>
      </c>
      <c r="P99" s="10">
        <v>42671</v>
      </c>
      <c r="Q99" s="15">
        <v>43500</v>
      </c>
      <c r="R99" s="15">
        <v>71400</v>
      </c>
      <c r="S99" s="15">
        <f>Table1[[#This Row],[Retail Price]]-Table1[[#This Row],[Cost Price]]</f>
        <v>27900</v>
      </c>
      <c r="T99" s="10">
        <v>13</v>
      </c>
      <c r="U99" s="15">
        <f>Table1[[#This Row],[Profit Margin]]*Table1[[#This Row],[Order Quantity]]</f>
        <v>362700</v>
      </c>
      <c r="V99" s="11">
        <v>7.0000000000000007E-2</v>
      </c>
      <c r="W99" s="15">
        <f t="shared" si="1"/>
        <v>25389.000000000004</v>
      </c>
      <c r="X99" s="15">
        <f>Table1[[#This Row],[Sub Total]]-Table1[[#This Row],[Discount Rp]]</f>
        <v>337311</v>
      </c>
      <c r="Y99" s="15">
        <f ca="1">OFFSET(Helper!$C$3,MATCH(Data!$N$4:$N$1003,Helper!$C$4:$C$9,0),MATCH(Data!$O$4:$O$1003,Helper!$D$3:$F$3,0))</f>
        <v>5000</v>
      </c>
      <c r="Z99" s="16">
        <f ca="1">Table1[[#This Row],[Order Total]]+Table1[[#This Row],[Shipping Cost]]</f>
        <v>342311</v>
      </c>
    </row>
    <row r="100" spans="1:26" ht="15.75" customHeight="1" x14ac:dyDescent="0.3">
      <c r="A100" s="9" t="s">
        <v>396</v>
      </c>
      <c r="B100" s="18">
        <v>42672</v>
      </c>
      <c r="C100" s="10">
        <f>YEAR(Table1[[#This Row],[Order Date]])</f>
        <v>2016</v>
      </c>
      <c r="D100" s="10" t="s">
        <v>397</v>
      </c>
      <c r="E100" s="10" t="s">
        <v>189</v>
      </c>
      <c r="F100" s="10" t="s">
        <v>54</v>
      </c>
      <c r="G100" s="10" t="s">
        <v>87</v>
      </c>
      <c r="H100" s="10" t="s">
        <v>56</v>
      </c>
      <c r="I100" s="10" t="str">
        <f>VLOOKUP(Table1[[#This Row],[Account Manager ID]],Table2[[Employee ID]:[Full Name]],4,FALSE)</f>
        <v>Gaduh Pratama</v>
      </c>
      <c r="J100" s="10" t="str">
        <f>INDEX(Employee!$D$4:$D$47,MATCH($H$4:$H$1003,Employee!$A$4:$A$47,0))</f>
        <v>Gaduh Pratama</v>
      </c>
      <c r="K100" s="10" t="s">
        <v>92</v>
      </c>
      <c r="L100" s="10" t="s">
        <v>398</v>
      </c>
      <c r="M100" s="10" t="s">
        <v>81</v>
      </c>
      <c r="N100" s="10" t="s">
        <v>60</v>
      </c>
      <c r="O100" s="10" t="s">
        <v>76</v>
      </c>
      <c r="P100" s="10">
        <v>42672</v>
      </c>
      <c r="Q100" s="15">
        <v>817800</v>
      </c>
      <c r="R100" s="15">
        <v>1514550</v>
      </c>
      <c r="S100" s="15">
        <f>Table1[[#This Row],[Retail Price]]-Table1[[#This Row],[Cost Price]]</f>
        <v>696750</v>
      </c>
      <c r="T100" s="10">
        <v>35</v>
      </c>
      <c r="U100" s="15">
        <f>Table1[[#This Row],[Profit Margin]]*Table1[[#This Row],[Order Quantity]]</f>
        <v>24386250</v>
      </c>
      <c r="V100" s="11">
        <v>0.05</v>
      </c>
      <c r="W100" s="15">
        <f t="shared" si="1"/>
        <v>1219312.5</v>
      </c>
      <c r="X100" s="15">
        <f>Table1[[#This Row],[Sub Total]]-Table1[[#This Row],[Discount Rp]]</f>
        <v>23166937.5</v>
      </c>
      <c r="Y100" s="15">
        <f ca="1">OFFSET(Helper!$C$3,MATCH(Data!$N$4:$N$1003,Helper!$C$4:$C$9,0),MATCH(Data!$O$4:$O$1003,Helper!$D$3:$F$3,0))</f>
        <v>30000</v>
      </c>
      <c r="Z100" s="16">
        <f ca="1">Table1[[#This Row],[Order Total]]+Table1[[#This Row],[Shipping Cost]]</f>
        <v>23196937.5</v>
      </c>
    </row>
    <row r="101" spans="1:26" ht="15.75" customHeight="1" x14ac:dyDescent="0.3">
      <c r="A101" s="9" t="s">
        <v>399</v>
      </c>
      <c r="B101" s="18">
        <v>42673</v>
      </c>
      <c r="C101" s="10">
        <f>YEAR(Table1[[#This Row],[Order Date]])</f>
        <v>2016</v>
      </c>
      <c r="D101" s="10" t="s">
        <v>400</v>
      </c>
      <c r="E101" s="10" t="s">
        <v>401</v>
      </c>
      <c r="F101" s="10" t="s">
        <v>54</v>
      </c>
      <c r="G101" s="10" t="s">
        <v>55</v>
      </c>
      <c r="H101" s="10" t="s">
        <v>56</v>
      </c>
      <c r="I101" s="10" t="str">
        <f>VLOOKUP(Table1[[#This Row],[Account Manager ID]],Table2[[Employee ID]:[Full Name]],4,FALSE)</f>
        <v>Gaduh Pratama</v>
      </c>
      <c r="J101" s="10" t="str">
        <f>INDEX(Employee!$D$4:$D$47,MATCH($H$4:$H$1003,Employee!$A$4:$A$47,0))</f>
        <v>Gaduh Pratama</v>
      </c>
      <c r="K101" s="10" t="s">
        <v>74</v>
      </c>
      <c r="L101" s="10" t="s">
        <v>135</v>
      </c>
      <c r="M101" s="10" t="s">
        <v>59</v>
      </c>
      <c r="N101" s="10" t="s">
        <v>136</v>
      </c>
      <c r="O101" s="10" t="s">
        <v>76</v>
      </c>
      <c r="P101" s="10">
        <v>42675</v>
      </c>
      <c r="Q101" s="15">
        <v>51300</v>
      </c>
      <c r="R101" s="15">
        <v>125100</v>
      </c>
      <c r="S101" s="15">
        <f>Table1[[#This Row],[Retail Price]]-Table1[[#This Row],[Cost Price]]</f>
        <v>73800</v>
      </c>
      <c r="T101" s="10">
        <v>15</v>
      </c>
      <c r="U101" s="15">
        <f>Table1[[#This Row],[Profit Margin]]*Table1[[#This Row],[Order Quantity]]</f>
        <v>1107000</v>
      </c>
      <c r="V101" s="11">
        <v>0</v>
      </c>
      <c r="W101" s="15">
        <f t="shared" si="1"/>
        <v>0</v>
      </c>
      <c r="X101" s="15">
        <f>Table1[[#This Row],[Sub Total]]-Table1[[#This Row],[Discount Rp]]</f>
        <v>1107000</v>
      </c>
      <c r="Y101" s="15">
        <f ca="1">OFFSET(Helper!$C$3,MATCH(Data!$N$4:$N$1003,Helper!$C$4:$C$9,0),MATCH(Data!$O$4:$O$1003,Helper!$D$3:$F$3,0))</f>
        <v>20000</v>
      </c>
      <c r="Z101" s="16">
        <f ca="1">Table1[[#This Row],[Order Total]]+Table1[[#This Row],[Shipping Cost]]</f>
        <v>1127000</v>
      </c>
    </row>
    <row r="102" spans="1:26" ht="15.75" customHeight="1" x14ac:dyDescent="0.3">
      <c r="A102" s="9" t="s">
        <v>402</v>
      </c>
      <c r="B102" s="18">
        <v>42675</v>
      </c>
      <c r="C102" s="10">
        <f>YEAR(Table1[[#This Row],[Order Date]])</f>
        <v>2016</v>
      </c>
      <c r="D102" s="10" t="s">
        <v>339</v>
      </c>
      <c r="E102" s="10" t="s">
        <v>340</v>
      </c>
      <c r="F102" s="10" t="s">
        <v>54</v>
      </c>
      <c r="G102" s="10" t="s">
        <v>106</v>
      </c>
      <c r="H102" s="10" t="s">
        <v>65</v>
      </c>
      <c r="I102" s="10" t="str">
        <f>VLOOKUP(Table1[[#This Row],[Account Manager ID]],Table2[[Employee ID]:[Full Name]],4,FALSE)</f>
        <v>Laras Nuraini</v>
      </c>
      <c r="J102" s="10" t="str">
        <f>INDEX(Employee!$D$4:$D$47,MATCH($H$4:$H$1003,Employee!$A$4:$A$47,0))</f>
        <v>Laras Nuraini</v>
      </c>
      <c r="K102" s="10" t="s">
        <v>74</v>
      </c>
      <c r="L102" s="10" t="s">
        <v>113</v>
      </c>
      <c r="M102" s="10" t="s">
        <v>59</v>
      </c>
      <c r="N102" s="10" t="s">
        <v>60</v>
      </c>
      <c r="O102" s="10" t="s">
        <v>76</v>
      </c>
      <c r="P102" s="10">
        <v>42677</v>
      </c>
      <c r="Q102" s="15">
        <v>79950</v>
      </c>
      <c r="R102" s="15">
        <v>129000</v>
      </c>
      <c r="S102" s="15">
        <f>Table1[[#This Row],[Retail Price]]-Table1[[#This Row],[Cost Price]]</f>
        <v>49050</v>
      </c>
      <c r="T102" s="10">
        <v>23</v>
      </c>
      <c r="U102" s="15">
        <f>Table1[[#This Row],[Profit Margin]]*Table1[[#This Row],[Order Quantity]]</f>
        <v>1128150</v>
      </c>
      <c r="V102" s="11">
        <v>0.02</v>
      </c>
      <c r="W102" s="15">
        <f t="shared" si="1"/>
        <v>22563</v>
      </c>
      <c r="X102" s="15">
        <f>Table1[[#This Row],[Sub Total]]-Table1[[#This Row],[Discount Rp]]</f>
        <v>1105587</v>
      </c>
      <c r="Y102" s="15">
        <f ca="1">OFFSET(Helper!$C$3,MATCH(Data!$N$4:$N$1003,Helper!$C$4:$C$9,0),MATCH(Data!$O$4:$O$1003,Helper!$D$3:$F$3,0))</f>
        <v>30000</v>
      </c>
      <c r="Z102" s="16">
        <f ca="1">Table1[[#This Row],[Order Total]]+Table1[[#This Row],[Shipping Cost]]</f>
        <v>1135587</v>
      </c>
    </row>
    <row r="103" spans="1:26" ht="15.75" customHeight="1" x14ac:dyDescent="0.3">
      <c r="A103" s="9" t="s">
        <v>403</v>
      </c>
      <c r="B103" s="18">
        <v>42676</v>
      </c>
      <c r="C103" s="10">
        <f>YEAR(Table1[[#This Row],[Order Date]])</f>
        <v>2016</v>
      </c>
      <c r="D103" s="10" t="s">
        <v>404</v>
      </c>
      <c r="E103" s="10" t="s">
        <v>405</v>
      </c>
      <c r="F103" s="10" t="s">
        <v>71</v>
      </c>
      <c r="G103" s="10" t="s">
        <v>72</v>
      </c>
      <c r="H103" s="10" t="s">
        <v>134</v>
      </c>
      <c r="I103" s="10" t="str">
        <f>VLOOKUP(Table1[[#This Row],[Account Manager ID]],Table2[[Employee ID]:[Full Name]],4,FALSE)</f>
        <v>Darmanto Laksita</v>
      </c>
      <c r="J103" s="10" t="str">
        <f>INDEX(Employee!$D$4:$D$47,MATCH($H$4:$H$1003,Employee!$A$4:$A$47,0))</f>
        <v>Darmanto Laksita</v>
      </c>
      <c r="K103" s="10" t="s">
        <v>57</v>
      </c>
      <c r="L103" s="10" t="s">
        <v>406</v>
      </c>
      <c r="M103" s="10" t="s">
        <v>81</v>
      </c>
      <c r="N103" s="10" t="s">
        <v>82</v>
      </c>
      <c r="O103" s="10" t="s">
        <v>83</v>
      </c>
      <c r="P103" s="10">
        <v>42678</v>
      </c>
      <c r="Q103" s="15">
        <v>4184850</v>
      </c>
      <c r="R103" s="15">
        <v>6749850</v>
      </c>
      <c r="S103" s="15">
        <f>Table1[[#This Row],[Retail Price]]-Table1[[#This Row],[Cost Price]]</f>
        <v>2565000</v>
      </c>
      <c r="T103" s="10">
        <v>12</v>
      </c>
      <c r="U103" s="15">
        <f>Table1[[#This Row],[Profit Margin]]*Table1[[#This Row],[Order Quantity]]</f>
        <v>30780000</v>
      </c>
      <c r="V103" s="11">
        <v>0.06</v>
      </c>
      <c r="W103" s="15">
        <f t="shared" si="1"/>
        <v>1846800</v>
      </c>
      <c r="X103" s="15">
        <f>Table1[[#This Row],[Sub Total]]-Table1[[#This Row],[Discount Rp]]</f>
        <v>28933200</v>
      </c>
      <c r="Y103" s="15">
        <f ca="1">OFFSET(Helper!$C$3,MATCH(Data!$N$4:$N$1003,Helper!$C$4:$C$9,0),MATCH(Data!$O$4:$O$1003,Helper!$D$3:$F$3,0))</f>
        <v>500000</v>
      </c>
      <c r="Z103" s="16">
        <f ca="1">Table1[[#This Row],[Order Total]]+Table1[[#This Row],[Shipping Cost]]</f>
        <v>29433200</v>
      </c>
    </row>
    <row r="104" spans="1:26" ht="15.75" customHeight="1" x14ac:dyDescent="0.3">
      <c r="A104" s="9" t="s">
        <v>407</v>
      </c>
      <c r="B104" s="18">
        <v>42677</v>
      </c>
      <c r="C104" s="10">
        <f>YEAR(Table1[[#This Row],[Order Date]])</f>
        <v>2016</v>
      </c>
      <c r="D104" s="10" t="s">
        <v>408</v>
      </c>
      <c r="E104" s="10" t="s">
        <v>165</v>
      </c>
      <c r="F104" s="10" t="s">
        <v>71</v>
      </c>
      <c r="G104" s="10" t="s">
        <v>72</v>
      </c>
      <c r="H104" s="10" t="s">
        <v>88</v>
      </c>
      <c r="I104" s="10" t="str">
        <f>VLOOKUP(Table1[[#This Row],[Account Manager ID]],Table2[[Employee ID]:[Full Name]],4,FALSE)</f>
        <v>Bagiya Sihombing</v>
      </c>
      <c r="J104" s="10" t="str">
        <f>INDEX(Employee!$D$4:$D$47,MATCH($H$4:$H$1003,Employee!$A$4:$A$47,0))</f>
        <v>Bagiya Sihombing</v>
      </c>
      <c r="K104" s="10" t="s">
        <v>57</v>
      </c>
      <c r="L104" s="10" t="s">
        <v>355</v>
      </c>
      <c r="M104" s="10" t="s">
        <v>59</v>
      </c>
      <c r="N104" s="10" t="s">
        <v>60</v>
      </c>
      <c r="O104" s="10" t="s">
        <v>76</v>
      </c>
      <c r="P104" s="10">
        <v>42678</v>
      </c>
      <c r="Q104" s="15">
        <v>19950</v>
      </c>
      <c r="R104" s="15">
        <v>31200</v>
      </c>
      <c r="S104" s="15">
        <f>Table1[[#This Row],[Retail Price]]-Table1[[#This Row],[Cost Price]]</f>
        <v>11250</v>
      </c>
      <c r="T104" s="10">
        <v>11</v>
      </c>
      <c r="U104" s="15">
        <f>Table1[[#This Row],[Profit Margin]]*Table1[[#This Row],[Order Quantity]]</f>
        <v>123750</v>
      </c>
      <c r="V104" s="11">
        <v>0.01</v>
      </c>
      <c r="W104" s="15">
        <f t="shared" si="1"/>
        <v>1237.5</v>
      </c>
      <c r="X104" s="15">
        <f>Table1[[#This Row],[Sub Total]]-Table1[[#This Row],[Discount Rp]]</f>
        <v>122512.5</v>
      </c>
      <c r="Y104" s="15">
        <f ca="1">OFFSET(Helper!$C$3,MATCH(Data!$N$4:$N$1003,Helper!$C$4:$C$9,0),MATCH(Data!$O$4:$O$1003,Helper!$D$3:$F$3,0))</f>
        <v>30000</v>
      </c>
      <c r="Z104" s="16">
        <f ca="1">Table1[[#This Row],[Order Total]]+Table1[[#This Row],[Shipping Cost]]</f>
        <v>152512.5</v>
      </c>
    </row>
    <row r="105" spans="1:26" ht="15.75" customHeight="1" x14ac:dyDescent="0.3">
      <c r="A105" s="9" t="s">
        <v>409</v>
      </c>
      <c r="B105" s="18">
        <v>42677</v>
      </c>
      <c r="C105" s="10">
        <f>YEAR(Table1[[#This Row],[Order Date]])</f>
        <v>2016</v>
      </c>
      <c r="D105" s="10" t="s">
        <v>158</v>
      </c>
      <c r="E105" s="10" t="s">
        <v>159</v>
      </c>
      <c r="F105" s="10" t="s">
        <v>71</v>
      </c>
      <c r="G105" s="10" t="s">
        <v>72</v>
      </c>
      <c r="H105" s="10" t="s">
        <v>122</v>
      </c>
      <c r="I105" s="10" t="str">
        <f>VLOOKUP(Table1[[#This Row],[Account Manager ID]],Table2[[Employee ID]:[Full Name]],4,FALSE)</f>
        <v>Ophelia Mustofa</v>
      </c>
      <c r="J105" s="10" t="str">
        <f>INDEX(Employee!$D$4:$D$47,MATCH($H$4:$H$1003,Employee!$A$4:$A$47,0))</f>
        <v>Ophelia Mustofa</v>
      </c>
      <c r="K105" s="10" t="s">
        <v>92</v>
      </c>
      <c r="L105" s="10" t="s">
        <v>410</v>
      </c>
      <c r="M105" s="10" t="s">
        <v>81</v>
      </c>
      <c r="N105" s="10" t="s">
        <v>60</v>
      </c>
      <c r="O105" s="10" t="s">
        <v>61</v>
      </c>
      <c r="P105" s="10">
        <v>42681</v>
      </c>
      <c r="Q105" s="15">
        <v>97650</v>
      </c>
      <c r="R105" s="15">
        <v>464700</v>
      </c>
      <c r="S105" s="15">
        <f>Table1[[#This Row],[Retail Price]]-Table1[[#This Row],[Cost Price]]</f>
        <v>367050</v>
      </c>
      <c r="T105" s="10">
        <v>29</v>
      </c>
      <c r="U105" s="15">
        <f>Table1[[#This Row],[Profit Margin]]*Table1[[#This Row],[Order Quantity]]</f>
        <v>10644450</v>
      </c>
      <c r="V105" s="11">
        <v>0.03</v>
      </c>
      <c r="W105" s="15">
        <f t="shared" si="1"/>
        <v>319333.5</v>
      </c>
      <c r="X105" s="15">
        <f>Table1[[#This Row],[Sub Total]]-Table1[[#This Row],[Discount Rp]]</f>
        <v>10325116.5</v>
      </c>
      <c r="Y105" s="15">
        <f ca="1">OFFSET(Helper!$C$3,MATCH(Data!$N$4:$N$1003,Helper!$C$4:$C$9,0),MATCH(Data!$O$4:$O$1003,Helper!$D$3:$F$3,0))</f>
        <v>15000</v>
      </c>
      <c r="Z105" s="16">
        <f ca="1">Table1[[#This Row],[Order Total]]+Table1[[#This Row],[Shipping Cost]]</f>
        <v>10340116.5</v>
      </c>
    </row>
    <row r="106" spans="1:26" ht="15.75" customHeight="1" x14ac:dyDescent="0.3">
      <c r="A106" s="9" t="s">
        <v>411</v>
      </c>
      <c r="B106" s="18">
        <v>42678</v>
      </c>
      <c r="C106" s="10">
        <f>YEAR(Table1[[#This Row],[Order Date]])</f>
        <v>2016</v>
      </c>
      <c r="D106" s="10" t="s">
        <v>128</v>
      </c>
      <c r="E106" s="10" t="s">
        <v>129</v>
      </c>
      <c r="F106" s="10" t="s">
        <v>54</v>
      </c>
      <c r="G106" s="10" t="s">
        <v>72</v>
      </c>
      <c r="H106" s="10" t="s">
        <v>56</v>
      </c>
      <c r="I106" s="10" t="str">
        <f>VLOOKUP(Table1[[#This Row],[Account Manager ID]],Table2[[Employee ID]:[Full Name]],4,FALSE)</f>
        <v>Gaduh Pratama</v>
      </c>
      <c r="J106" s="10" t="str">
        <f>INDEX(Employee!$D$4:$D$47,MATCH($H$4:$H$1003,Employee!$A$4:$A$47,0))</f>
        <v>Gaduh Pratama</v>
      </c>
      <c r="K106" s="10" t="s">
        <v>107</v>
      </c>
      <c r="L106" s="10" t="s">
        <v>412</v>
      </c>
      <c r="M106" s="10" t="s">
        <v>59</v>
      </c>
      <c r="N106" s="10" t="s">
        <v>67</v>
      </c>
      <c r="O106" s="10" t="s">
        <v>61</v>
      </c>
      <c r="P106" s="10">
        <v>42680</v>
      </c>
      <c r="Q106" s="15">
        <v>44700</v>
      </c>
      <c r="R106" s="15">
        <v>87600</v>
      </c>
      <c r="S106" s="15">
        <f>Table1[[#This Row],[Retail Price]]-Table1[[#This Row],[Cost Price]]</f>
        <v>42900</v>
      </c>
      <c r="T106" s="10">
        <v>11</v>
      </c>
      <c r="U106" s="15">
        <f>Table1[[#This Row],[Profit Margin]]*Table1[[#This Row],[Order Quantity]]</f>
        <v>471900</v>
      </c>
      <c r="V106" s="11">
        <v>0.01</v>
      </c>
      <c r="W106" s="15">
        <f t="shared" si="1"/>
        <v>4719</v>
      </c>
      <c r="X106" s="15">
        <f>Table1[[#This Row],[Sub Total]]-Table1[[#This Row],[Discount Rp]]</f>
        <v>467181</v>
      </c>
      <c r="Y106" s="15">
        <f ca="1">OFFSET(Helper!$C$3,MATCH(Data!$N$4:$N$1003,Helper!$C$4:$C$9,0),MATCH(Data!$O$4:$O$1003,Helper!$D$3:$F$3,0))</f>
        <v>5000</v>
      </c>
      <c r="Z106" s="16">
        <f ca="1">Table1[[#This Row],[Order Total]]+Table1[[#This Row],[Shipping Cost]]</f>
        <v>472181</v>
      </c>
    </row>
    <row r="107" spans="1:26" ht="15.75" customHeight="1" x14ac:dyDescent="0.3">
      <c r="A107" s="9" t="s">
        <v>413</v>
      </c>
      <c r="B107" s="18">
        <v>42679</v>
      </c>
      <c r="C107" s="10">
        <f>YEAR(Table1[[#This Row],[Order Date]])</f>
        <v>2016</v>
      </c>
      <c r="D107" s="10" t="s">
        <v>414</v>
      </c>
      <c r="E107" s="10" t="s">
        <v>241</v>
      </c>
      <c r="F107" s="10" t="s">
        <v>71</v>
      </c>
      <c r="G107" s="10" t="s">
        <v>55</v>
      </c>
      <c r="H107" s="10" t="s">
        <v>146</v>
      </c>
      <c r="I107" s="10" t="str">
        <f>VLOOKUP(Table1[[#This Row],[Account Manager ID]],Table2[[Employee ID]:[Full Name]],4,FALSE)</f>
        <v>Kenari Rajasa</v>
      </c>
      <c r="J107" s="10" t="str">
        <f>INDEX(Employee!$D$4:$D$47,MATCH($H$4:$H$1003,Employee!$A$4:$A$47,0))</f>
        <v>Kenari Rajasa</v>
      </c>
      <c r="K107" s="10" t="s">
        <v>74</v>
      </c>
      <c r="L107" s="10" t="s">
        <v>415</v>
      </c>
      <c r="M107" s="10" t="s">
        <v>59</v>
      </c>
      <c r="N107" s="10" t="s">
        <v>60</v>
      </c>
      <c r="O107" s="10" t="s">
        <v>61</v>
      </c>
      <c r="P107" s="10">
        <v>42681</v>
      </c>
      <c r="Q107" s="15">
        <v>54750</v>
      </c>
      <c r="R107" s="15">
        <v>89700</v>
      </c>
      <c r="S107" s="15">
        <f>Table1[[#This Row],[Retail Price]]-Table1[[#This Row],[Cost Price]]</f>
        <v>34950</v>
      </c>
      <c r="T107" s="10">
        <v>14</v>
      </c>
      <c r="U107" s="15">
        <f>Table1[[#This Row],[Profit Margin]]*Table1[[#This Row],[Order Quantity]]</f>
        <v>489300</v>
      </c>
      <c r="V107" s="11">
        <v>0.09</v>
      </c>
      <c r="W107" s="15">
        <f t="shared" si="1"/>
        <v>44037</v>
      </c>
      <c r="X107" s="15">
        <f>Table1[[#This Row],[Sub Total]]-Table1[[#This Row],[Discount Rp]]</f>
        <v>445263</v>
      </c>
      <c r="Y107" s="15">
        <f ca="1">OFFSET(Helper!$C$3,MATCH(Data!$N$4:$N$1003,Helper!$C$4:$C$9,0),MATCH(Data!$O$4:$O$1003,Helper!$D$3:$F$3,0))</f>
        <v>15000</v>
      </c>
      <c r="Z107" s="16">
        <f ca="1">Table1[[#This Row],[Order Total]]+Table1[[#This Row],[Shipping Cost]]</f>
        <v>460263</v>
      </c>
    </row>
    <row r="108" spans="1:26" ht="15.75" customHeight="1" x14ac:dyDescent="0.3">
      <c r="A108" s="9" t="s">
        <v>416</v>
      </c>
      <c r="B108" s="18">
        <v>42681</v>
      </c>
      <c r="C108" s="10">
        <f>YEAR(Table1[[#This Row],[Order Date]])</f>
        <v>2016</v>
      </c>
      <c r="D108" s="10" t="s">
        <v>417</v>
      </c>
      <c r="E108" s="10" t="s">
        <v>418</v>
      </c>
      <c r="F108" s="10" t="s">
        <v>261</v>
      </c>
      <c r="G108" s="10" t="s">
        <v>87</v>
      </c>
      <c r="H108" s="10" t="s">
        <v>97</v>
      </c>
      <c r="I108" s="10" t="str">
        <f>VLOOKUP(Table1[[#This Row],[Account Manager ID]],Table2[[Employee ID]:[Full Name]],4,FALSE)</f>
        <v>Violet Mentari</v>
      </c>
      <c r="J108" s="10" t="str">
        <f>INDEX(Employee!$D$4:$D$47,MATCH($H$4:$H$1003,Employee!$A$4:$A$47,0))</f>
        <v>Violet Mentari</v>
      </c>
      <c r="K108" s="10" t="s">
        <v>92</v>
      </c>
      <c r="L108" s="10" t="s">
        <v>419</v>
      </c>
      <c r="M108" s="10" t="s">
        <v>59</v>
      </c>
      <c r="N108" s="10" t="s">
        <v>60</v>
      </c>
      <c r="O108" s="10" t="s">
        <v>61</v>
      </c>
      <c r="P108" s="10">
        <v>42686</v>
      </c>
      <c r="Q108" s="15">
        <v>66900</v>
      </c>
      <c r="R108" s="15">
        <v>163350</v>
      </c>
      <c r="S108" s="15">
        <f>Table1[[#This Row],[Retail Price]]-Table1[[#This Row],[Cost Price]]</f>
        <v>96450</v>
      </c>
      <c r="T108" s="10">
        <v>37</v>
      </c>
      <c r="U108" s="15">
        <f>Table1[[#This Row],[Profit Margin]]*Table1[[#This Row],[Order Quantity]]</f>
        <v>3568650</v>
      </c>
      <c r="V108" s="11">
        <v>0.06</v>
      </c>
      <c r="W108" s="15">
        <f t="shared" si="1"/>
        <v>214119</v>
      </c>
      <c r="X108" s="15">
        <f>Table1[[#This Row],[Sub Total]]-Table1[[#This Row],[Discount Rp]]</f>
        <v>3354531</v>
      </c>
      <c r="Y108" s="15">
        <f ca="1">OFFSET(Helper!$C$3,MATCH(Data!$N$4:$N$1003,Helper!$C$4:$C$9,0),MATCH(Data!$O$4:$O$1003,Helper!$D$3:$F$3,0))</f>
        <v>15000</v>
      </c>
      <c r="Z108" s="16">
        <f ca="1">Table1[[#This Row],[Order Total]]+Table1[[#This Row],[Shipping Cost]]</f>
        <v>3369531</v>
      </c>
    </row>
    <row r="109" spans="1:26" ht="15.75" customHeight="1" x14ac:dyDescent="0.3">
      <c r="A109" s="9" t="s">
        <v>420</v>
      </c>
      <c r="B109" s="18">
        <v>42681</v>
      </c>
      <c r="C109" s="10">
        <f>YEAR(Table1[[#This Row],[Order Date]])</f>
        <v>2016</v>
      </c>
      <c r="D109" s="10" t="s">
        <v>421</v>
      </c>
      <c r="E109" s="10" t="s">
        <v>340</v>
      </c>
      <c r="F109" s="10" t="s">
        <v>54</v>
      </c>
      <c r="G109" s="10" t="s">
        <v>72</v>
      </c>
      <c r="H109" s="10" t="s">
        <v>65</v>
      </c>
      <c r="I109" s="10" t="str">
        <f>VLOOKUP(Table1[[#This Row],[Account Manager ID]],Table2[[Employee ID]:[Full Name]],4,FALSE)</f>
        <v>Laras Nuraini</v>
      </c>
      <c r="J109" s="10" t="str">
        <f>INDEX(Employee!$D$4:$D$47,MATCH($H$4:$H$1003,Employee!$A$4:$A$47,0))</f>
        <v>Laras Nuraini</v>
      </c>
      <c r="K109" s="10" t="s">
        <v>92</v>
      </c>
      <c r="L109" s="10" t="s">
        <v>410</v>
      </c>
      <c r="M109" s="10" t="s">
        <v>81</v>
      </c>
      <c r="N109" s="10" t="s">
        <v>60</v>
      </c>
      <c r="O109" s="10" t="s">
        <v>61</v>
      </c>
      <c r="P109" s="10">
        <v>42683</v>
      </c>
      <c r="Q109" s="15">
        <v>97650</v>
      </c>
      <c r="R109" s="15">
        <v>464700</v>
      </c>
      <c r="S109" s="15">
        <f>Table1[[#This Row],[Retail Price]]-Table1[[#This Row],[Cost Price]]</f>
        <v>367050</v>
      </c>
      <c r="T109" s="10">
        <v>8</v>
      </c>
      <c r="U109" s="15">
        <f>Table1[[#This Row],[Profit Margin]]*Table1[[#This Row],[Order Quantity]]</f>
        <v>2936400</v>
      </c>
      <c r="V109" s="11">
        <v>0.01</v>
      </c>
      <c r="W109" s="15">
        <f t="shared" si="1"/>
        <v>29364</v>
      </c>
      <c r="X109" s="15">
        <f>Table1[[#This Row],[Sub Total]]-Table1[[#This Row],[Discount Rp]]</f>
        <v>2907036</v>
      </c>
      <c r="Y109" s="15">
        <f ca="1">OFFSET(Helper!$C$3,MATCH(Data!$N$4:$N$1003,Helper!$C$4:$C$9,0),MATCH(Data!$O$4:$O$1003,Helper!$D$3:$F$3,0))</f>
        <v>15000</v>
      </c>
      <c r="Z109" s="16">
        <f ca="1">Table1[[#This Row],[Order Total]]+Table1[[#This Row],[Shipping Cost]]</f>
        <v>2922036</v>
      </c>
    </row>
    <row r="110" spans="1:26" ht="15.75" customHeight="1" x14ac:dyDescent="0.3">
      <c r="A110" s="9" t="s">
        <v>422</v>
      </c>
      <c r="B110" s="18">
        <v>42682</v>
      </c>
      <c r="C110" s="10">
        <f>YEAR(Table1[[#This Row],[Order Date]])</f>
        <v>2016</v>
      </c>
      <c r="D110" s="10" t="s">
        <v>423</v>
      </c>
      <c r="E110" s="10" t="s">
        <v>424</v>
      </c>
      <c r="F110" s="10" t="s">
        <v>54</v>
      </c>
      <c r="G110" s="10" t="s">
        <v>106</v>
      </c>
      <c r="H110" s="10" t="s">
        <v>56</v>
      </c>
      <c r="I110" s="10" t="str">
        <f>VLOOKUP(Table1[[#This Row],[Account Manager ID]],Table2[[Employee ID]:[Full Name]],4,FALSE)</f>
        <v>Gaduh Pratama</v>
      </c>
      <c r="J110" s="10" t="str">
        <f>INDEX(Employee!$D$4:$D$47,MATCH($H$4:$H$1003,Employee!$A$4:$A$47,0))</f>
        <v>Gaduh Pratama</v>
      </c>
      <c r="K110" s="10" t="s">
        <v>92</v>
      </c>
      <c r="L110" s="10" t="s">
        <v>190</v>
      </c>
      <c r="M110" s="10" t="s">
        <v>81</v>
      </c>
      <c r="N110" s="10" t="s">
        <v>60</v>
      </c>
      <c r="O110" s="10" t="s">
        <v>61</v>
      </c>
      <c r="P110" s="10">
        <v>42684</v>
      </c>
      <c r="Q110" s="15">
        <v>594600</v>
      </c>
      <c r="R110" s="15">
        <v>2287200</v>
      </c>
      <c r="S110" s="15">
        <f>Table1[[#This Row],[Retail Price]]-Table1[[#This Row],[Cost Price]]</f>
        <v>1692600</v>
      </c>
      <c r="T110" s="10">
        <v>31</v>
      </c>
      <c r="U110" s="15">
        <f>Table1[[#This Row],[Profit Margin]]*Table1[[#This Row],[Order Quantity]]</f>
        <v>52470600</v>
      </c>
      <c r="V110" s="11">
        <v>7.0000000000000007E-2</v>
      </c>
      <c r="W110" s="15">
        <f t="shared" si="1"/>
        <v>3672942.0000000005</v>
      </c>
      <c r="X110" s="15">
        <f>Table1[[#This Row],[Sub Total]]-Table1[[#This Row],[Discount Rp]]</f>
        <v>48797658</v>
      </c>
      <c r="Y110" s="15">
        <f ca="1">OFFSET(Helper!$C$3,MATCH(Data!$N$4:$N$1003,Helper!$C$4:$C$9,0),MATCH(Data!$O$4:$O$1003,Helper!$D$3:$F$3,0))</f>
        <v>15000</v>
      </c>
      <c r="Z110" s="16">
        <f ca="1">Table1[[#This Row],[Order Total]]+Table1[[#This Row],[Shipping Cost]]</f>
        <v>48812658</v>
      </c>
    </row>
    <row r="111" spans="1:26" ht="15.75" customHeight="1" x14ac:dyDescent="0.3">
      <c r="A111" s="9" t="s">
        <v>425</v>
      </c>
      <c r="B111" s="18">
        <v>42683</v>
      </c>
      <c r="C111" s="10">
        <f>YEAR(Table1[[#This Row],[Order Date]])</f>
        <v>2016</v>
      </c>
      <c r="D111" s="10" t="s">
        <v>259</v>
      </c>
      <c r="E111" s="10" t="s">
        <v>260</v>
      </c>
      <c r="F111" s="10" t="s">
        <v>261</v>
      </c>
      <c r="G111" s="10" t="s">
        <v>72</v>
      </c>
      <c r="H111" s="10" t="s">
        <v>146</v>
      </c>
      <c r="I111" s="10" t="str">
        <f>VLOOKUP(Table1[[#This Row],[Account Manager ID]],Table2[[Employee ID]:[Full Name]],4,FALSE)</f>
        <v>Kenari Rajasa</v>
      </c>
      <c r="J111" s="10" t="str">
        <f>INDEX(Employee!$D$4:$D$47,MATCH($H$4:$H$1003,Employee!$A$4:$A$47,0))</f>
        <v>Kenari Rajasa</v>
      </c>
      <c r="K111" s="10" t="s">
        <v>107</v>
      </c>
      <c r="L111" s="10" t="s">
        <v>426</v>
      </c>
      <c r="M111" s="10" t="s">
        <v>59</v>
      </c>
      <c r="N111" s="10" t="s">
        <v>67</v>
      </c>
      <c r="O111" s="10" t="s">
        <v>61</v>
      </c>
      <c r="P111" s="10">
        <v>42685</v>
      </c>
      <c r="Q111" s="15">
        <v>29250</v>
      </c>
      <c r="R111" s="15">
        <v>59700</v>
      </c>
      <c r="S111" s="15">
        <f>Table1[[#This Row],[Retail Price]]-Table1[[#This Row],[Cost Price]]</f>
        <v>30450</v>
      </c>
      <c r="T111" s="10">
        <v>30</v>
      </c>
      <c r="U111" s="15">
        <f>Table1[[#This Row],[Profit Margin]]*Table1[[#This Row],[Order Quantity]]</f>
        <v>913500</v>
      </c>
      <c r="V111" s="11">
        <v>0.1</v>
      </c>
      <c r="W111" s="15">
        <f t="shared" si="1"/>
        <v>91350</v>
      </c>
      <c r="X111" s="15">
        <f>Table1[[#This Row],[Sub Total]]-Table1[[#This Row],[Discount Rp]]</f>
        <v>822150</v>
      </c>
      <c r="Y111" s="15">
        <f ca="1">OFFSET(Helper!$C$3,MATCH(Data!$N$4:$N$1003,Helper!$C$4:$C$9,0),MATCH(Data!$O$4:$O$1003,Helper!$D$3:$F$3,0))</f>
        <v>5000</v>
      </c>
      <c r="Z111" s="16">
        <f ca="1">Table1[[#This Row],[Order Total]]+Table1[[#This Row],[Shipping Cost]]</f>
        <v>827150</v>
      </c>
    </row>
    <row r="112" spans="1:26" ht="15.75" customHeight="1" x14ac:dyDescent="0.3">
      <c r="A112" s="9" t="s">
        <v>427</v>
      </c>
      <c r="B112" s="18">
        <v>42684</v>
      </c>
      <c r="C112" s="10">
        <f>YEAR(Table1[[#This Row],[Order Date]])</f>
        <v>2016</v>
      </c>
      <c r="D112" s="10" t="s">
        <v>428</v>
      </c>
      <c r="E112" s="10" t="s">
        <v>334</v>
      </c>
      <c r="F112" s="10" t="s">
        <v>54</v>
      </c>
      <c r="G112" s="10" t="s">
        <v>106</v>
      </c>
      <c r="H112" s="10" t="s">
        <v>65</v>
      </c>
      <c r="I112" s="10" t="str">
        <f>VLOOKUP(Table1[[#This Row],[Account Manager ID]],Table2[[Employee ID]:[Full Name]],4,FALSE)</f>
        <v>Laras Nuraini</v>
      </c>
      <c r="J112" s="10" t="str">
        <f>INDEX(Employee!$D$4:$D$47,MATCH($H$4:$H$1003,Employee!$A$4:$A$47,0))</f>
        <v>Laras Nuraini</v>
      </c>
      <c r="K112" s="10" t="s">
        <v>107</v>
      </c>
      <c r="L112" s="10" t="s">
        <v>429</v>
      </c>
      <c r="M112" s="10" t="s">
        <v>59</v>
      </c>
      <c r="N112" s="10" t="s">
        <v>60</v>
      </c>
      <c r="O112" s="10" t="s">
        <v>61</v>
      </c>
      <c r="P112" s="10">
        <v>42685</v>
      </c>
      <c r="Q112" s="15">
        <v>29100</v>
      </c>
      <c r="R112" s="15">
        <v>46200</v>
      </c>
      <c r="S112" s="15">
        <f>Table1[[#This Row],[Retail Price]]-Table1[[#This Row],[Cost Price]]</f>
        <v>17100</v>
      </c>
      <c r="T112" s="10">
        <v>38</v>
      </c>
      <c r="U112" s="15">
        <f>Table1[[#This Row],[Profit Margin]]*Table1[[#This Row],[Order Quantity]]</f>
        <v>649800</v>
      </c>
      <c r="V112" s="11">
        <v>0.04</v>
      </c>
      <c r="W112" s="15">
        <f t="shared" si="1"/>
        <v>25992</v>
      </c>
      <c r="X112" s="15">
        <f>Table1[[#This Row],[Sub Total]]-Table1[[#This Row],[Discount Rp]]</f>
        <v>623808</v>
      </c>
      <c r="Y112" s="15">
        <f ca="1">OFFSET(Helper!$C$3,MATCH(Data!$N$4:$N$1003,Helper!$C$4:$C$9,0),MATCH(Data!$O$4:$O$1003,Helper!$D$3:$F$3,0))</f>
        <v>15000</v>
      </c>
      <c r="Z112" s="16">
        <f ca="1">Table1[[#This Row],[Order Total]]+Table1[[#This Row],[Shipping Cost]]</f>
        <v>638808</v>
      </c>
    </row>
    <row r="113" spans="1:26" ht="15.75" customHeight="1" x14ac:dyDescent="0.3">
      <c r="A113" s="9" t="s">
        <v>430</v>
      </c>
      <c r="B113" s="18">
        <v>42685</v>
      </c>
      <c r="C113" s="10">
        <f>YEAR(Table1[[#This Row],[Order Date]])</f>
        <v>2016</v>
      </c>
      <c r="D113" s="10" t="s">
        <v>431</v>
      </c>
      <c r="E113" s="10" t="s">
        <v>432</v>
      </c>
      <c r="F113" s="10" t="s">
        <v>71</v>
      </c>
      <c r="G113" s="10" t="s">
        <v>72</v>
      </c>
      <c r="H113" s="10" t="s">
        <v>88</v>
      </c>
      <c r="I113" s="10" t="str">
        <f>VLOOKUP(Table1[[#This Row],[Account Manager ID]],Table2[[Employee ID]:[Full Name]],4,FALSE)</f>
        <v>Bagiya Sihombing</v>
      </c>
      <c r="J113" s="10" t="str">
        <f>INDEX(Employee!$D$4:$D$47,MATCH($H$4:$H$1003,Employee!$A$4:$A$47,0))</f>
        <v>Bagiya Sihombing</v>
      </c>
      <c r="K113" s="10" t="s">
        <v>107</v>
      </c>
      <c r="L113" s="10" t="s">
        <v>433</v>
      </c>
      <c r="M113" s="10" t="s">
        <v>81</v>
      </c>
      <c r="N113" s="10" t="s">
        <v>82</v>
      </c>
      <c r="O113" s="10" t="s">
        <v>83</v>
      </c>
      <c r="P113" s="10">
        <v>42686</v>
      </c>
      <c r="Q113" s="15">
        <v>1151850</v>
      </c>
      <c r="R113" s="15">
        <v>1799850</v>
      </c>
      <c r="S113" s="15">
        <f>Table1[[#This Row],[Retail Price]]-Table1[[#This Row],[Cost Price]]</f>
        <v>648000</v>
      </c>
      <c r="T113" s="10">
        <v>24</v>
      </c>
      <c r="U113" s="15">
        <f>Table1[[#This Row],[Profit Margin]]*Table1[[#This Row],[Order Quantity]]</f>
        <v>15552000</v>
      </c>
      <c r="V113" s="11">
        <v>0.02</v>
      </c>
      <c r="W113" s="15">
        <f t="shared" si="1"/>
        <v>311040</v>
      </c>
      <c r="X113" s="15">
        <f>Table1[[#This Row],[Sub Total]]-Table1[[#This Row],[Discount Rp]]</f>
        <v>15240960</v>
      </c>
      <c r="Y113" s="15">
        <f ca="1">OFFSET(Helper!$C$3,MATCH(Data!$N$4:$N$1003,Helper!$C$4:$C$9,0),MATCH(Data!$O$4:$O$1003,Helper!$D$3:$F$3,0))</f>
        <v>500000</v>
      </c>
      <c r="Z113" s="16">
        <f ca="1">Table1[[#This Row],[Order Total]]+Table1[[#This Row],[Shipping Cost]]</f>
        <v>15740960</v>
      </c>
    </row>
    <row r="114" spans="1:26" ht="15.75" customHeight="1" x14ac:dyDescent="0.3">
      <c r="A114" s="9" t="s">
        <v>434</v>
      </c>
      <c r="B114" s="18">
        <v>42686</v>
      </c>
      <c r="C114" s="10">
        <f>YEAR(Table1[[#This Row],[Order Date]])</f>
        <v>2016</v>
      </c>
      <c r="D114" s="10" t="s">
        <v>435</v>
      </c>
      <c r="E114" s="10" t="s">
        <v>436</v>
      </c>
      <c r="F114" s="10" t="s">
        <v>71</v>
      </c>
      <c r="G114" s="10" t="s">
        <v>87</v>
      </c>
      <c r="H114" s="10" t="s">
        <v>316</v>
      </c>
      <c r="I114" s="10" t="str">
        <f>VLOOKUP(Table1[[#This Row],[Account Manager ID]],Table2[[Employee ID]:[Full Name]],4,FALSE)</f>
        <v>Sari Winarno</v>
      </c>
      <c r="J114" s="10" t="str">
        <f>INDEX(Employee!$D$4:$D$47,MATCH($H$4:$H$1003,Employee!$A$4:$A$47,0))</f>
        <v>Sari Winarno</v>
      </c>
      <c r="K114" s="10" t="s">
        <v>117</v>
      </c>
      <c r="L114" s="10" t="s">
        <v>437</v>
      </c>
      <c r="M114" s="10" t="s">
        <v>59</v>
      </c>
      <c r="N114" s="10" t="s">
        <v>60</v>
      </c>
      <c r="O114" s="10" t="s">
        <v>61</v>
      </c>
      <c r="P114" s="10">
        <v>42687</v>
      </c>
      <c r="Q114" s="15">
        <v>27600</v>
      </c>
      <c r="R114" s="15">
        <v>43200</v>
      </c>
      <c r="S114" s="15">
        <f>Table1[[#This Row],[Retail Price]]-Table1[[#This Row],[Cost Price]]</f>
        <v>15600</v>
      </c>
      <c r="T114" s="10">
        <v>11</v>
      </c>
      <c r="U114" s="15">
        <f>Table1[[#This Row],[Profit Margin]]*Table1[[#This Row],[Order Quantity]]</f>
        <v>171600</v>
      </c>
      <c r="V114" s="11">
        <v>0.09</v>
      </c>
      <c r="W114" s="15">
        <f t="shared" si="1"/>
        <v>15444</v>
      </c>
      <c r="X114" s="15">
        <f>Table1[[#This Row],[Sub Total]]-Table1[[#This Row],[Discount Rp]]</f>
        <v>156156</v>
      </c>
      <c r="Y114" s="15">
        <f ca="1">OFFSET(Helper!$C$3,MATCH(Data!$N$4:$N$1003,Helper!$C$4:$C$9,0),MATCH(Data!$O$4:$O$1003,Helper!$D$3:$F$3,0))</f>
        <v>15000</v>
      </c>
      <c r="Z114" s="16">
        <f ca="1">Table1[[#This Row],[Order Total]]+Table1[[#This Row],[Shipping Cost]]</f>
        <v>171156</v>
      </c>
    </row>
    <row r="115" spans="1:26" ht="15.75" customHeight="1" x14ac:dyDescent="0.3">
      <c r="A115" s="9" t="s">
        <v>438</v>
      </c>
      <c r="B115" s="18">
        <v>42686</v>
      </c>
      <c r="C115" s="10">
        <f>YEAR(Table1[[#This Row],[Order Date]])</f>
        <v>2016</v>
      </c>
      <c r="D115" s="10" t="s">
        <v>435</v>
      </c>
      <c r="E115" s="10" t="s">
        <v>439</v>
      </c>
      <c r="F115" s="10" t="s">
        <v>71</v>
      </c>
      <c r="G115" s="10" t="s">
        <v>87</v>
      </c>
      <c r="H115" s="10" t="s">
        <v>316</v>
      </c>
      <c r="I115" s="10" t="str">
        <f>VLOOKUP(Table1[[#This Row],[Account Manager ID]],Table2[[Employee ID]:[Full Name]],4,FALSE)</f>
        <v>Sari Winarno</v>
      </c>
      <c r="J115" s="10" t="str">
        <f>INDEX(Employee!$D$4:$D$47,MATCH($H$4:$H$1003,Employee!$A$4:$A$47,0))</f>
        <v>Sari Winarno</v>
      </c>
      <c r="K115" s="10" t="s">
        <v>117</v>
      </c>
      <c r="L115" s="10" t="s">
        <v>186</v>
      </c>
      <c r="M115" s="10" t="s">
        <v>81</v>
      </c>
      <c r="N115" s="10" t="s">
        <v>60</v>
      </c>
      <c r="O115" s="10" t="s">
        <v>61</v>
      </c>
      <c r="P115" s="10">
        <v>42688</v>
      </c>
      <c r="Q115" s="15">
        <v>95850</v>
      </c>
      <c r="R115" s="15">
        <v>299700</v>
      </c>
      <c r="S115" s="15">
        <f>Table1[[#This Row],[Retail Price]]-Table1[[#This Row],[Cost Price]]</f>
        <v>203850</v>
      </c>
      <c r="T115" s="10">
        <v>43</v>
      </c>
      <c r="U115" s="15">
        <f>Table1[[#This Row],[Profit Margin]]*Table1[[#This Row],[Order Quantity]]</f>
        <v>8765550</v>
      </c>
      <c r="V115" s="11">
        <v>0.1</v>
      </c>
      <c r="W115" s="15">
        <f t="shared" si="1"/>
        <v>876555</v>
      </c>
      <c r="X115" s="15">
        <f>Table1[[#This Row],[Sub Total]]-Table1[[#This Row],[Discount Rp]]</f>
        <v>7888995</v>
      </c>
      <c r="Y115" s="15">
        <f ca="1">OFFSET(Helper!$C$3,MATCH(Data!$N$4:$N$1003,Helper!$C$4:$C$9,0),MATCH(Data!$O$4:$O$1003,Helper!$D$3:$F$3,0))</f>
        <v>15000</v>
      </c>
      <c r="Z115" s="16">
        <f ca="1">Table1[[#This Row],[Order Total]]+Table1[[#This Row],[Shipping Cost]]</f>
        <v>7903995</v>
      </c>
    </row>
    <row r="116" spans="1:26" ht="15.75" customHeight="1" x14ac:dyDescent="0.3">
      <c r="A116" s="9" t="s">
        <v>440</v>
      </c>
      <c r="B116" s="18">
        <v>42688</v>
      </c>
      <c r="C116" s="10">
        <f>YEAR(Table1[[#This Row],[Order Date]])</f>
        <v>2016</v>
      </c>
      <c r="D116" s="10" t="s">
        <v>441</v>
      </c>
      <c r="E116" s="10" t="s">
        <v>206</v>
      </c>
      <c r="F116" s="10" t="s">
        <v>71</v>
      </c>
      <c r="G116" s="10" t="s">
        <v>72</v>
      </c>
      <c r="H116" s="10" t="s">
        <v>155</v>
      </c>
      <c r="I116" s="10" t="str">
        <f>VLOOKUP(Table1[[#This Row],[Account Manager ID]],Table2[[Employee ID]:[Full Name]],4,FALSE)</f>
        <v>Puti Nadine Prakasa</v>
      </c>
      <c r="J116" s="10" t="str">
        <f>INDEX(Employee!$D$4:$D$47,MATCH($H$4:$H$1003,Employee!$A$4:$A$47,0))</f>
        <v>Puti Nadine Prakasa</v>
      </c>
      <c r="K116" s="10" t="s">
        <v>107</v>
      </c>
      <c r="L116" s="10" t="s">
        <v>442</v>
      </c>
      <c r="M116" s="10" t="s">
        <v>59</v>
      </c>
      <c r="N116" s="10" t="s">
        <v>67</v>
      </c>
      <c r="O116" s="10" t="s">
        <v>76</v>
      </c>
      <c r="P116" s="10">
        <v>42690</v>
      </c>
      <c r="Q116" s="15">
        <v>22950</v>
      </c>
      <c r="R116" s="15">
        <v>41700</v>
      </c>
      <c r="S116" s="15">
        <f>Table1[[#This Row],[Retail Price]]-Table1[[#This Row],[Cost Price]]</f>
        <v>18750</v>
      </c>
      <c r="T116" s="10">
        <v>40</v>
      </c>
      <c r="U116" s="15">
        <f>Table1[[#This Row],[Profit Margin]]*Table1[[#This Row],[Order Quantity]]</f>
        <v>750000</v>
      </c>
      <c r="V116" s="11">
        <v>0.03</v>
      </c>
      <c r="W116" s="15">
        <f t="shared" si="1"/>
        <v>22500</v>
      </c>
      <c r="X116" s="15">
        <f>Table1[[#This Row],[Sub Total]]-Table1[[#This Row],[Discount Rp]]</f>
        <v>727500</v>
      </c>
      <c r="Y116" s="15">
        <f ca="1">OFFSET(Helper!$C$3,MATCH(Data!$N$4:$N$1003,Helper!$C$4:$C$9,0),MATCH(Data!$O$4:$O$1003,Helper!$D$3:$F$3,0))</f>
        <v>10000</v>
      </c>
      <c r="Z116" s="16">
        <f ca="1">Table1[[#This Row],[Order Total]]+Table1[[#This Row],[Shipping Cost]]</f>
        <v>737500</v>
      </c>
    </row>
    <row r="117" spans="1:26" ht="15.75" customHeight="1" x14ac:dyDescent="0.3">
      <c r="A117" s="9" t="s">
        <v>443</v>
      </c>
      <c r="B117" s="18">
        <v>42692</v>
      </c>
      <c r="C117" s="10">
        <f>YEAR(Table1[[#This Row],[Order Date]])</f>
        <v>2016</v>
      </c>
      <c r="D117" s="10" t="s">
        <v>444</v>
      </c>
      <c r="E117" s="10" t="s">
        <v>445</v>
      </c>
      <c r="F117" s="10" t="s">
        <v>54</v>
      </c>
      <c r="G117" s="10" t="s">
        <v>55</v>
      </c>
      <c r="H117" s="10" t="s">
        <v>56</v>
      </c>
      <c r="I117" s="10" t="str">
        <f>VLOOKUP(Table1[[#This Row],[Account Manager ID]],Table2[[Employee ID]:[Full Name]],4,FALSE)</f>
        <v>Gaduh Pratama</v>
      </c>
      <c r="J117" s="10" t="str">
        <f>INDEX(Employee!$D$4:$D$47,MATCH($H$4:$H$1003,Employee!$A$4:$A$47,0))</f>
        <v>Gaduh Pratama</v>
      </c>
      <c r="K117" s="10" t="s">
        <v>74</v>
      </c>
      <c r="L117" s="10" t="s">
        <v>446</v>
      </c>
      <c r="M117" s="10" t="s">
        <v>59</v>
      </c>
      <c r="N117" s="10" t="s">
        <v>60</v>
      </c>
      <c r="O117" s="10" t="s">
        <v>61</v>
      </c>
      <c r="P117" s="10">
        <v>42694</v>
      </c>
      <c r="Q117" s="15">
        <v>33900</v>
      </c>
      <c r="R117" s="15">
        <v>53700</v>
      </c>
      <c r="S117" s="15">
        <f>Table1[[#This Row],[Retail Price]]-Table1[[#This Row],[Cost Price]]</f>
        <v>19800</v>
      </c>
      <c r="T117" s="10">
        <v>46</v>
      </c>
      <c r="U117" s="15">
        <f>Table1[[#This Row],[Profit Margin]]*Table1[[#This Row],[Order Quantity]]</f>
        <v>910800</v>
      </c>
      <c r="V117" s="11">
        <v>0.06</v>
      </c>
      <c r="W117" s="15">
        <f t="shared" si="1"/>
        <v>54648</v>
      </c>
      <c r="X117" s="15">
        <f>Table1[[#This Row],[Sub Total]]-Table1[[#This Row],[Discount Rp]]</f>
        <v>856152</v>
      </c>
      <c r="Y117" s="15">
        <f ca="1">OFFSET(Helper!$C$3,MATCH(Data!$N$4:$N$1003,Helper!$C$4:$C$9,0),MATCH(Data!$O$4:$O$1003,Helper!$D$3:$F$3,0))</f>
        <v>15000</v>
      </c>
      <c r="Z117" s="16">
        <f ca="1">Table1[[#This Row],[Order Total]]+Table1[[#This Row],[Shipping Cost]]</f>
        <v>871152</v>
      </c>
    </row>
    <row r="118" spans="1:26" ht="15.75" customHeight="1" x14ac:dyDescent="0.3">
      <c r="A118" s="9" t="s">
        <v>447</v>
      </c>
      <c r="B118" s="18">
        <v>42693</v>
      </c>
      <c r="C118" s="10">
        <f>YEAR(Table1[[#This Row],[Order Date]])</f>
        <v>2016</v>
      </c>
      <c r="D118" s="10" t="s">
        <v>448</v>
      </c>
      <c r="E118" s="10" t="s">
        <v>449</v>
      </c>
      <c r="F118" s="10" t="s">
        <v>54</v>
      </c>
      <c r="G118" s="10" t="s">
        <v>55</v>
      </c>
      <c r="H118" s="10" t="s">
        <v>56</v>
      </c>
      <c r="I118" s="10" t="str">
        <f>VLOOKUP(Table1[[#This Row],[Account Manager ID]],Table2[[Employee ID]:[Full Name]],4,FALSE)</f>
        <v>Gaduh Pratama</v>
      </c>
      <c r="J118" s="10" t="str">
        <f>INDEX(Employee!$D$4:$D$47,MATCH($H$4:$H$1003,Employee!$A$4:$A$47,0))</f>
        <v>Gaduh Pratama</v>
      </c>
      <c r="K118" s="10" t="s">
        <v>57</v>
      </c>
      <c r="L118" s="10" t="s">
        <v>450</v>
      </c>
      <c r="M118" s="10" t="s">
        <v>59</v>
      </c>
      <c r="N118" s="10" t="s">
        <v>136</v>
      </c>
      <c r="O118" s="10" t="s">
        <v>61</v>
      </c>
      <c r="P118" s="10">
        <v>42695</v>
      </c>
      <c r="Q118" s="15">
        <v>21900</v>
      </c>
      <c r="R118" s="15">
        <v>53550</v>
      </c>
      <c r="S118" s="15">
        <f>Table1[[#This Row],[Retail Price]]-Table1[[#This Row],[Cost Price]]</f>
        <v>31650</v>
      </c>
      <c r="T118" s="10">
        <v>23</v>
      </c>
      <c r="U118" s="15">
        <f>Table1[[#This Row],[Profit Margin]]*Table1[[#This Row],[Order Quantity]]</f>
        <v>727950</v>
      </c>
      <c r="V118" s="11">
        <v>0.09</v>
      </c>
      <c r="W118" s="15">
        <f t="shared" si="1"/>
        <v>65515.5</v>
      </c>
      <c r="X118" s="15">
        <f>Table1[[#This Row],[Sub Total]]-Table1[[#This Row],[Discount Rp]]</f>
        <v>662434.5</v>
      </c>
      <c r="Y118" s="15">
        <f ca="1">OFFSET(Helper!$C$3,MATCH(Data!$N$4:$N$1003,Helper!$C$4:$C$9,0),MATCH(Data!$O$4:$O$1003,Helper!$D$3:$F$3,0))</f>
        <v>10000</v>
      </c>
      <c r="Z118" s="16">
        <f ca="1">Table1[[#This Row],[Order Total]]+Table1[[#This Row],[Shipping Cost]]</f>
        <v>672434.5</v>
      </c>
    </row>
    <row r="119" spans="1:26" ht="15.75" customHeight="1" x14ac:dyDescent="0.3">
      <c r="A119" s="9" t="s">
        <v>451</v>
      </c>
      <c r="B119" s="18">
        <v>42694</v>
      </c>
      <c r="C119" s="10">
        <f>YEAR(Table1[[#This Row],[Order Date]])</f>
        <v>2016</v>
      </c>
      <c r="D119" s="10" t="s">
        <v>452</v>
      </c>
      <c r="E119" s="10" t="s">
        <v>215</v>
      </c>
      <c r="F119" s="10" t="s">
        <v>71</v>
      </c>
      <c r="G119" s="10" t="s">
        <v>55</v>
      </c>
      <c r="H119" s="10" t="s">
        <v>146</v>
      </c>
      <c r="I119" s="10" t="str">
        <f>VLOOKUP(Table1[[#This Row],[Account Manager ID]],Table2[[Employee ID]:[Full Name]],4,FALSE)</f>
        <v>Kenari Rajasa</v>
      </c>
      <c r="J119" s="10" t="str">
        <f>INDEX(Employee!$D$4:$D$47,MATCH($H$4:$H$1003,Employee!$A$4:$A$47,0))</f>
        <v>Kenari Rajasa</v>
      </c>
      <c r="K119" s="10" t="s">
        <v>107</v>
      </c>
      <c r="L119" s="10" t="s">
        <v>410</v>
      </c>
      <c r="M119" s="10" t="s">
        <v>81</v>
      </c>
      <c r="N119" s="10" t="s">
        <v>60</v>
      </c>
      <c r="O119" s="10" t="s">
        <v>76</v>
      </c>
      <c r="P119" s="10">
        <v>42695</v>
      </c>
      <c r="Q119" s="15">
        <v>97650</v>
      </c>
      <c r="R119" s="15">
        <v>464700</v>
      </c>
      <c r="S119" s="15">
        <f>Table1[[#This Row],[Retail Price]]-Table1[[#This Row],[Cost Price]]</f>
        <v>367050</v>
      </c>
      <c r="T119" s="10">
        <v>44</v>
      </c>
      <c r="U119" s="15">
        <f>Table1[[#This Row],[Profit Margin]]*Table1[[#This Row],[Order Quantity]]</f>
        <v>16150200</v>
      </c>
      <c r="V119" s="11">
        <v>0.02</v>
      </c>
      <c r="W119" s="15">
        <f t="shared" si="1"/>
        <v>323004</v>
      </c>
      <c r="X119" s="15">
        <f>Table1[[#This Row],[Sub Total]]-Table1[[#This Row],[Discount Rp]]</f>
        <v>15827196</v>
      </c>
      <c r="Y119" s="15">
        <f ca="1">OFFSET(Helper!$C$3,MATCH(Data!$N$4:$N$1003,Helper!$C$4:$C$9,0),MATCH(Data!$O$4:$O$1003,Helper!$D$3:$F$3,0))</f>
        <v>30000</v>
      </c>
      <c r="Z119" s="16">
        <f ca="1">Table1[[#This Row],[Order Total]]+Table1[[#This Row],[Shipping Cost]]</f>
        <v>15857196</v>
      </c>
    </row>
    <row r="120" spans="1:26" ht="15.75" customHeight="1" x14ac:dyDescent="0.3">
      <c r="A120" s="9" t="s">
        <v>453</v>
      </c>
      <c r="B120" s="18">
        <v>42695</v>
      </c>
      <c r="C120" s="10">
        <f>YEAR(Table1[[#This Row],[Order Date]])</f>
        <v>2016</v>
      </c>
      <c r="D120" s="10" t="s">
        <v>454</v>
      </c>
      <c r="E120" s="10" t="s">
        <v>455</v>
      </c>
      <c r="F120" s="10" t="s">
        <v>71</v>
      </c>
      <c r="G120" s="10" t="s">
        <v>55</v>
      </c>
      <c r="H120" s="10" t="s">
        <v>155</v>
      </c>
      <c r="I120" s="10" t="str">
        <f>VLOOKUP(Table1[[#This Row],[Account Manager ID]],Table2[[Employee ID]:[Full Name]],4,FALSE)</f>
        <v>Puti Nadine Prakasa</v>
      </c>
      <c r="J120" s="10" t="str">
        <f>INDEX(Employee!$D$4:$D$47,MATCH($H$4:$H$1003,Employee!$A$4:$A$47,0))</f>
        <v>Puti Nadine Prakasa</v>
      </c>
      <c r="K120" s="10" t="s">
        <v>107</v>
      </c>
      <c r="L120" s="10" t="s">
        <v>456</v>
      </c>
      <c r="M120" s="10" t="s">
        <v>59</v>
      </c>
      <c r="N120" s="10" t="s">
        <v>60</v>
      </c>
      <c r="O120" s="10" t="s">
        <v>61</v>
      </c>
      <c r="P120" s="10">
        <v>42696</v>
      </c>
      <c r="Q120" s="15">
        <v>275700</v>
      </c>
      <c r="R120" s="15">
        <v>437550</v>
      </c>
      <c r="S120" s="15">
        <f>Table1[[#This Row],[Retail Price]]-Table1[[#This Row],[Cost Price]]</f>
        <v>161850</v>
      </c>
      <c r="T120" s="10">
        <v>8</v>
      </c>
      <c r="U120" s="15">
        <f>Table1[[#This Row],[Profit Margin]]*Table1[[#This Row],[Order Quantity]]</f>
        <v>1294800</v>
      </c>
      <c r="V120" s="11">
        <v>0.02</v>
      </c>
      <c r="W120" s="15">
        <f t="shared" si="1"/>
        <v>25896</v>
      </c>
      <c r="X120" s="15">
        <f>Table1[[#This Row],[Sub Total]]-Table1[[#This Row],[Discount Rp]]</f>
        <v>1268904</v>
      </c>
      <c r="Y120" s="15">
        <f ca="1">OFFSET(Helper!$C$3,MATCH(Data!$N$4:$N$1003,Helper!$C$4:$C$9,0),MATCH(Data!$O$4:$O$1003,Helper!$D$3:$F$3,0))</f>
        <v>15000</v>
      </c>
      <c r="Z120" s="16">
        <f ca="1">Table1[[#This Row],[Order Total]]+Table1[[#This Row],[Shipping Cost]]</f>
        <v>1283904</v>
      </c>
    </row>
    <row r="121" spans="1:26" ht="15.75" customHeight="1" x14ac:dyDescent="0.3">
      <c r="A121" s="9" t="s">
        <v>457</v>
      </c>
      <c r="B121" s="18">
        <v>42695</v>
      </c>
      <c r="C121" s="10">
        <f>YEAR(Table1[[#This Row],[Order Date]])</f>
        <v>2016</v>
      </c>
      <c r="D121" s="10" t="s">
        <v>458</v>
      </c>
      <c r="E121" s="10" t="s">
        <v>189</v>
      </c>
      <c r="F121" s="10" t="s">
        <v>54</v>
      </c>
      <c r="G121" s="10" t="s">
        <v>106</v>
      </c>
      <c r="H121" s="10" t="s">
        <v>56</v>
      </c>
      <c r="I121" s="10" t="str">
        <f>VLOOKUP(Table1[[#This Row],[Account Manager ID]],Table2[[Employee ID]:[Full Name]],4,FALSE)</f>
        <v>Gaduh Pratama</v>
      </c>
      <c r="J121" s="10" t="str">
        <f>INDEX(Employee!$D$4:$D$47,MATCH($H$4:$H$1003,Employee!$A$4:$A$47,0))</f>
        <v>Gaduh Pratama</v>
      </c>
      <c r="K121" s="10" t="s">
        <v>92</v>
      </c>
      <c r="L121" s="10" t="s">
        <v>406</v>
      </c>
      <c r="M121" s="10" t="s">
        <v>81</v>
      </c>
      <c r="N121" s="10" t="s">
        <v>459</v>
      </c>
      <c r="O121" s="10" t="s">
        <v>61</v>
      </c>
      <c r="P121" s="10">
        <v>42699</v>
      </c>
      <c r="Q121" s="15">
        <v>3240000</v>
      </c>
      <c r="R121" s="15">
        <v>6749850</v>
      </c>
      <c r="S121" s="15">
        <f>Table1[[#This Row],[Retail Price]]-Table1[[#This Row],[Cost Price]]</f>
        <v>3509850</v>
      </c>
      <c r="T121" s="10">
        <v>40</v>
      </c>
      <c r="U121" s="15">
        <f>Table1[[#This Row],[Profit Margin]]*Table1[[#This Row],[Order Quantity]]</f>
        <v>140394000</v>
      </c>
      <c r="V121" s="11">
        <v>0.04</v>
      </c>
      <c r="W121" s="15">
        <f t="shared" si="1"/>
        <v>5615760</v>
      </c>
      <c r="X121" s="15">
        <f>Table1[[#This Row],[Sub Total]]-Table1[[#This Row],[Discount Rp]]</f>
        <v>134778240</v>
      </c>
      <c r="Y121" s="15">
        <f ca="1">OFFSET(Helper!$C$3,MATCH(Data!$N$4:$N$1003,Helper!$C$4:$C$9,0),MATCH(Data!$O$4:$O$1003,Helper!$D$3:$F$3,0))</f>
        <v>50000</v>
      </c>
      <c r="Z121" s="16">
        <f ca="1">Table1[[#This Row],[Order Total]]+Table1[[#This Row],[Shipping Cost]]</f>
        <v>134828240</v>
      </c>
    </row>
    <row r="122" spans="1:26" ht="15.75" customHeight="1" x14ac:dyDescent="0.3">
      <c r="A122" s="9" t="s">
        <v>460</v>
      </c>
      <c r="B122" s="18">
        <v>42695</v>
      </c>
      <c r="C122" s="10">
        <f>YEAR(Table1[[#This Row],[Order Date]])</f>
        <v>2016</v>
      </c>
      <c r="D122" s="10" t="s">
        <v>461</v>
      </c>
      <c r="E122" s="10" t="s">
        <v>462</v>
      </c>
      <c r="F122" s="10" t="s">
        <v>71</v>
      </c>
      <c r="G122" s="10" t="s">
        <v>72</v>
      </c>
      <c r="H122" s="10" t="s">
        <v>112</v>
      </c>
      <c r="I122" s="10" t="str">
        <f>VLOOKUP(Table1[[#This Row],[Account Manager ID]],Table2[[Employee ID]:[Full Name]],4,FALSE)</f>
        <v>Paiman Firgantoro</v>
      </c>
      <c r="J122" s="10" t="str">
        <f>INDEX(Employee!$D$4:$D$47,MATCH($H$4:$H$1003,Employee!$A$4:$A$47,0))</f>
        <v>Paiman Firgantoro</v>
      </c>
      <c r="K122" s="10" t="s">
        <v>92</v>
      </c>
      <c r="L122" s="10" t="s">
        <v>80</v>
      </c>
      <c r="M122" s="10" t="s">
        <v>81</v>
      </c>
      <c r="N122" s="10" t="s">
        <v>82</v>
      </c>
      <c r="O122" s="10" t="s">
        <v>83</v>
      </c>
      <c r="P122" s="10">
        <v>42702</v>
      </c>
      <c r="Q122" s="15">
        <v>1125000</v>
      </c>
      <c r="R122" s="15">
        <v>1814550</v>
      </c>
      <c r="S122" s="15">
        <f>Table1[[#This Row],[Retail Price]]-Table1[[#This Row],[Cost Price]]</f>
        <v>689550</v>
      </c>
      <c r="T122" s="10">
        <v>35</v>
      </c>
      <c r="U122" s="15">
        <f>Table1[[#This Row],[Profit Margin]]*Table1[[#This Row],[Order Quantity]]</f>
        <v>24134250</v>
      </c>
      <c r="V122" s="11">
        <v>0.08</v>
      </c>
      <c r="W122" s="15">
        <f t="shared" si="1"/>
        <v>1930740</v>
      </c>
      <c r="X122" s="15">
        <f>Table1[[#This Row],[Sub Total]]-Table1[[#This Row],[Discount Rp]]</f>
        <v>22203510</v>
      </c>
      <c r="Y122" s="15">
        <f ca="1">OFFSET(Helper!$C$3,MATCH(Data!$N$4:$N$1003,Helper!$C$4:$C$9,0),MATCH(Data!$O$4:$O$1003,Helper!$D$3:$F$3,0))</f>
        <v>500000</v>
      </c>
      <c r="Z122" s="16">
        <f ca="1">Table1[[#This Row],[Order Total]]+Table1[[#This Row],[Shipping Cost]]</f>
        <v>22703510</v>
      </c>
    </row>
    <row r="123" spans="1:26" ht="15.75" customHeight="1" x14ac:dyDescent="0.3">
      <c r="A123" s="9" t="s">
        <v>463</v>
      </c>
      <c r="B123" s="18">
        <v>42696</v>
      </c>
      <c r="C123" s="10">
        <f>YEAR(Table1[[#This Row],[Order Date]])</f>
        <v>2016</v>
      </c>
      <c r="D123" s="10" t="s">
        <v>464</v>
      </c>
      <c r="E123" s="10" t="s">
        <v>334</v>
      </c>
      <c r="F123" s="10" t="s">
        <v>54</v>
      </c>
      <c r="G123" s="10" t="s">
        <v>87</v>
      </c>
      <c r="H123" s="10" t="s">
        <v>65</v>
      </c>
      <c r="I123" s="10" t="str">
        <f>VLOOKUP(Table1[[#This Row],[Account Manager ID]],Table2[[Employee ID]:[Full Name]],4,FALSE)</f>
        <v>Laras Nuraini</v>
      </c>
      <c r="J123" s="10" t="str">
        <f>INDEX(Employee!$D$4:$D$47,MATCH($H$4:$H$1003,Employee!$A$4:$A$47,0))</f>
        <v>Laras Nuraini</v>
      </c>
      <c r="K123" s="10" t="s">
        <v>57</v>
      </c>
      <c r="L123" s="10" t="s">
        <v>465</v>
      </c>
      <c r="M123" s="10" t="s">
        <v>59</v>
      </c>
      <c r="N123" s="10" t="s">
        <v>60</v>
      </c>
      <c r="O123" s="10" t="s">
        <v>61</v>
      </c>
      <c r="P123" s="10">
        <v>42698</v>
      </c>
      <c r="Q123" s="15">
        <v>52500</v>
      </c>
      <c r="R123" s="15">
        <v>86100</v>
      </c>
      <c r="S123" s="15">
        <f>Table1[[#This Row],[Retail Price]]-Table1[[#This Row],[Cost Price]]</f>
        <v>33600</v>
      </c>
      <c r="T123" s="10">
        <v>50</v>
      </c>
      <c r="U123" s="15">
        <f>Table1[[#This Row],[Profit Margin]]*Table1[[#This Row],[Order Quantity]]</f>
        <v>1680000</v>
      </c>
      <c r="V123" s="11">
        <v>0.1</v>
      </c>
      <c r="W123" s="15">
        <f t="shared" si="1"/>
        <v>168000</v>
      </c>
      <c r="X123" s="15">
        <f>Table1[[#This Row],[Sub Total]]-Table1[[#This Row],[Discount Rp]]</f>
        <v>1512000</v>
      </c>
      <c r="Y123" s="15">
        <f ca="1">OFFSET(Helper!$C$3,MATCH(Data!$N$4:$N$1003,Helper!$C$4:$C$9,0),MATCH(Data!$O$4:$O$1003,Helper!$D$3:$F$3,0))</f>
        <v>15000</v>
      </c>
      <c r="Z123" s="16">
        <f ca="1">Table1[[#This Row],[Order Total]]+Table1[[#This Row],[Shipping Cost]]</f>
        <v>1527000</v>
      </c>
    </row>
    <row r="124" spans="1:26" ht="15.75" customHeight="1" x14ac:dyDescent="0.3">
      <c r="A124" s="9" t="s">
        <v>466</v>
      </c>
      <c r="B124" s="18">
        <v>42697</v>
      </c>
      <c r="C124" s="10">
        <f>YEAR(Table1[[#This Row],[Order Date]])</f>
        <v>2016</v>
      </c>
      <c r="D124" s="10" t="s">
        <v>467</v>
      </c>
      <c r="E124" s="10" t="s">
        <v>424</v>
      </c>
      <c r="F124" s="10" t="s">
        <v>54</v>
      </c>
      <c r="G124" s="10" t="s">
        <v>72</v>
      </c>
      <c r="H124" s="10" t="s">
        <v>56</v>
      </c>
      <c r="I124" s="10" t="str">
        <f>VLOOKUP(Table1[[#This Row],[Account Manager ID]],Table2[[Employee ID]:[Full Name]],4,FALSE)</f>
        <v>Gaduh Pratama</v>
      </c>
      <c r="J124" s="10" t="str">
        <f>INDEX(Employee!$D$4:$D$47,MATCH($H$4:$H$1003,Employee!$A$4:$A$47,0))</f>
        <v>Gaduh Pratama</v>
      </c>
      <c r="K124" s="10" t="s">
        <v>92</v>
      </c>
      <c r="L124" s="10" t="s">
        <v>468</v>
      </c>
      <c r="M124" s="10" t="s">
        <v>59</v>
      </c>
      <c r="N124" s="10" t="s">
        <v>67</v>
      </c>
      <c r="O124" s="10" t="s">
        <v>61</v>
      </c>
      <c r="P124" s="10">
        <v>42699</v>
      </c>
      <c r="Q124" s="15">
        <v>13950</v>
      </c>
      <c r="R124" s="15">
        <v>22200</v>
      </c>
      <c r="S124" s="15">
        <f>Table1[[#This Row],[Retail Price]]-Table1[[#This Row],[Cost Price]]</f>
        <v>8250</v>
      </c>
      <c r="T124" s="10">
        <v>19</v>
      </c>
      <c r="U124" s="15">
        <f>Table1[[#This Row],[Profit Margin]]*Table1[[#This Row],[Order Quantity]]</f>
        <v>156750</v>
      </c>
      <c r="V124" s="11">
        <v>0.09</v>
      </c>
      <c r="W124" s="15">
        <f t="shared" si="1"/>
        <v>14107.5</v>
      </c>
      <c r="X124" s="15">
        <f>Table1[[#This Row],[Sub Total]]-Table1[[#This Row],[Discount Rp]]</f>
        <v>142642.5</v>
      </c>
      <c r="Y124" s="15">
        <f ca="1">OFFSET(Helper!$C$3,MATCH(Data!$N$4:$N$1003,Helper!$C$4:$C$9,0),MATCH(Data!$O$4:$O$1003,Helper!$D$3:$F$3,0))</f>
        <v>5000</v>
      </c>
      <c r="Z124" s="16">
        <f ca="1">Table1[[#This Row],[Order Total]]+Table1[[#This Row],[Shipping Cost]]</f>
        <v>147642.5</v>
      </c>
    </row>
    <row r="125" spans="1:26" ht="15.75" customHeight="1" x14ac:dyDescent="0.3">
      <c r="A125" s="9" t="s">
        <v>469</v>
      </c>
      <c r="B125" s="18">
        <v>42698</v>
      </c>
      <c r="C125" s="10">
        <f>YEAR(Table1[[#This Row],[Order Date]])</f>
        <v>2016</v>
      </c>
      <c r="D125" s="10" t="s">
        <v>470</v>
      </c>
      <c r="E125" s="10" t="s">
        <v>141</v>
      </c>
      <c r="F125" s="10" t="s">
        <v>71</v>
      </c>
      <c r="G125" s="10" t="s">
        <v>106</v>
      </c>
      <c r="H125" s="10" t="s">
        <v>112</v>
      </c>
      <c r="I125" s="10" t="str">
        <f>VLOOKUP(Table1[[#This Row],[Account Manager ID]],Table2[[Employee ID]:[Full Name]],4,FALSE)</f>
        <v>Paiman Firgantoro</v>
      </c>
      <c r="J125" s="10" t="str">
        <f>INDEX(Employee!$D$4:$D$47,MATCH($H$4:$H$1003,Employee!$A$4:$A$47,0))</f>
        <v>Paiman Firgantoro</v>
      </c>
      <c r="K125" s="10" t="s">
        <v>57</v>
      </c>
      <c r="L125" s="10" t="s">
        <v>471</v>
      </c>
      <c r="M125" s="10" t="s">
        <v>59</v>
      </c>
      <c r="N125" s="10" t="s">
        <v>60</v>
      </c>
      <c r="O125" s="10" t="s">
        <v>76</v>
      </c>
      <c r="P125" s="10">
        <v>42700</v>
      </c>
      <c r="Q125" s="15">
        <v>1015950.0000000001</v>
      </c>
      <c r="R125" s="15">
        <v>2478000</v>
      </c>
      <c r="S125" s="15">
        <f>Table1[[#This Row],[Retail Price]]-Table1[[#This Row],[Cost Price]]</f>
        <v>1462050</v>
      </c>
      <c r="T125" s="10">
        <v>37</v>
      </c>
      <c r="U125" s="15">
        <f>Table1[[#This Row],[Profit Margin]]*Table1[[#This Row],[Order Quantity]]</f>
        <v>54095850</v>
      </c>
      <c r="V125" s="11">
        <v>0.04</v>
      </c>
      <c r="W125" s="15">
        <f t="shared" si="1"/>
        <v>2163834</v>
      </c>
      <c r="X125" s="15">
        <f>Table1[[#This Row],[Sub Total]]-Table1[[#This Row],[Discount Rp]]</f>
        <v>51932016</v>
      </c>
      <c r="Y125" s="15">
        <f ca="1">OFFSET(Helper!$C$3,MATCH(Data!$N$4:$N$1003,Helper!$C$4:$C$9,0),MATCH(Data!$O$4:$O$1003,Helper!$D$3:$F$3,0))</f>
        <v>30000</v>
      </c>
      <c r="Z125" s="16">
        <f ca="1">Table1[[#This Row],[Order Total]]+Table1[[#This Row],[Shipping Cost]]</f>
        <v>51962016</v>
      </c>
    </row>
    <row r="126" spans="1:26" ht="15.75" customHeight="1" x14ac:dyDescent="0.3">
      <c r="A126" s="9" t="s">
        <v>472</v>
      </c>
      <c r="B126" s="18">
        <v>42700</v>
      </c>
      <c r="C126" s="10">
        <f>YEAR(Table1[[#This Row],[Order Date]])</f>
        <v>2016</v>
      </c>
      <c r="D126" s="10" t="s">
        <v>164</v>
      </c>
      <c r="E126" s="10" t="s">
        <v>165</v>
      </c>
      <c r="F126" s="10" t="s">
        <v>71</v>
      </c>
      <c r="G126" s="10" t="s">
        <v>72</v>
      </c>
      <c r="H126" s="10" t="s">
        <v>88</v>
      </c>
      <c r="I126" s="10" t="str">
        <f>VLOOKUP(Table1[[#This Row],[Account Manager ID]],Table2[[Employee ID]:[Full Name]],4,FALSE)</f>
        <v>Bagiya Sihombing</v>
      </c>
      <c r="J126" s="10" t="str">
        <f>INDEX(Employee!$D$4:$D$47,MATCH($H$4:$H$1003,Employee!$A$4:$A$47,0))</f>
        <v>Bagiya Sihombing</v>
      </c>
      <c r="K126" s="10" t="s">
        <v>92</v>
      </c>
      <c r="L126" s="10" t="s">
        <v>473</v>
      </c>
      <c r="M126" s="10" t="s">
        <v>59</v>
      </c>
      <c r="N126" s="10" t="s">
        <v>60</v>
      </c>
      <c r="O126" s="10" t="s">
        <v>61</v>
      </c>
      <c r="P126" s="10">
        <v>42709</v>
      </c>
      <c r="Q126" s="15">
        <v>32700.000000000004</v>
      </c>
      <c r="R126" s="15">
        <v>52800</v>
      </c>
      <c r="S126" s="15">
        <f>Table1[[#This Row],[Retail Price]]-Table1[[#This Row],[Cost Price]]</f>
        <v>20099.999999999996</v>
      </c>
      <c r="T126" s="10">
        <v>12</v>
      </c>
      <c r="U126" s="15">
        <f>Table1[[#This Row],[Profit Margin]]*Table1[[#This Row],[Order Quantity]]</f>
        <v>241199.99999999994</v>
      </c>
      <c r="V126" s="11">
        <v>0.04</v>
      </c>
      <c r="W126" s="15">
        <f t="shared" si="1"/>
        <v>9647.9999999999982</v>
      </c>
      <c r="X126" s="15">
        <f>Table1[[#This Row],[Sub Total]]-Table1[[#This Row],[Discount Rp]]</f>
        <v>231551.99999999994</v>
      </c>
      <c r="Y126" s="15">
        <f ca="1">OFFSET(Helper!$C$3,MATCH(Data!$N$4:$N$1003,Helper!$C$4:$C$9,0),MATCH(Data!$O$4:$O$1003,Helper!$D$3:$F$3,0))</f>
        <v>15000</v>
      </c>
      <c r="Z126" s="16">
        <f ca="1">Table1[[#This Row],[Order Total]]+Table1[[#This Row],[Shipping Cost]]</f>
        <v>246551.99999999994</v>
      </c>
    </row>
    <row r="127" spans="1:26" ht="15.75" customHeight="1" x14ac:dyDescent="0.3">
      <c r="A127" s="9" t="s">
        <v>474</v>
      </c>
      <c r="B127" s="18">
        <v>42701</v>
      </c>
      <c r="C127" s="10">
        <f>YEAR(Table1[[#This Row],[Order Date]])</f>
        <v>2016</v>
      </c>
      <c r="D127" s="10" t="s">
        <v>461</v>
      </c>
      <c r="E127" s="10" t="s">
        <v>462</v>
      </c>
      <c r="F127" s="10" t="s">
        <v>71</v>
      </c>
      <c r="G127" s="10" t="s">
        <v>72</v>
      </c>
      <c r="H127" s="10" t="s">
        <v>112</v>
      </c>
      <c r="I127" s="10" t="str">
        <f>VLOOKUP(Table1[[#This Row],[Account Manager ID]],Table2[[Employee ID]:[Full Name]],4,FALSE)</f>
        <v>Paiman Firgantoro</v>
      </c>
      <c r="J127" s="10" t="str">
        <f>INDEX(Employee!$D$4:$D$47,MATCH($H$4:$H$1003,Employee!$A$4:$A$47,0))</f>
        <v>Paiman Firgantoro</v>
      </c>
      <c r="K127" s="10" t="s">
        <v>57</v>
      </c>
      <c r="L127" s="10" t="s">
        <v>390</v>
      </c>
      <c r="M127" s="10" t="s">
        <v>59</v>
      </c>
      <c r="N127" s="10" t="s">
        <v>67</v>
      </c>
      <c r="O127" s="10" t="s">
        <v>76</v>
      </c>
      <c r="P127" s="10">
        <v>42702</v>
      </c>
      <c r="Q127" s="15">
        <v>19650</v>
      </c>
      <c r="R127" s="15">
        <v>42600</v>
      </c>
      <c r="S127" s="15">
        <f>Table1[[#This Row],[Retail Price]]-Table1[[#This Row],[Cost Price]]</f>
        <v>22950</v>
      </c>
      <c r="T127" s="10">
        <v>13</v>
      </c>
      <c r="U127" s="15">
        <f>Table1[[#This Row],[Profit Margin]]*Table1[[#This Row],[Order Quantity]]</f>
        <v>298350</v>
      </c>
      <c r="V127" s="11">
        <v>0.01</v>
      </c>
      <c r="W127" s="15">
        <f t="shared" si="1"/>
        <v>2983.5</v>
      </c>
      <c r="X127" s="15">
        <f>Table1[[#This Row],[Sub Total]]-Table1[[#This Row],[Discount Rp]]</f>
        <v>295366.5</v>
      </c>
      <c r="Y127" s="15">
        <f ca="1">OFFSET(Helper!$C$3,MATCH(Data!$N$4:$N$1003,Helper!$C$4:$C$9,0),MATCH(Data!$O$4:$O$1003,Helper!$D$3:$F$3,0))</f>
        <v>10000</v>
      </c>
      <c r="Z127" s="16">
        <f ca="1">Table1[[#This Row],[Order Total]]+Table1[[#This Row],[Shipping Cost]]</f>
        <v>305366.5</v>
      </c>
    </row>
    <row r="128" spans="1:26" ht="15.75" customHeight="1" x14ac:dyDescent="0.3">
      <c r="A128" s="9" t="s">
        <v>475</v>
      </c>
      <c r="B128" s="18">
        <v>42703</v>
      </c>
      <c r="C128" s="10">
        <f>YEAR(Table1[[#This Row],[Order Date]])</f>
        <v>2016</v>
      </c>
      <c r="D128" s="10" t="s">
        <v>476</v>
      </c>
      <c r="E128" s="10" t="s">
        <v>477</v>
      </c>
      <c r="F128" s="10" t="s">
        <v>261</v>
      </c>
      <c r="G128" s="10" t="s">
        <v>72</v>
      </c>
      <c r="H128" s="10" t="s">
        <v>146</v>
      </c>
      <c r="I128" s="10" t="str">
        <f>VLOOKUP(Table1[[#This Row],[Account Manager ID]],Table2[[Employee ID]:[Full Name]],4,FALSE)</f>
        <v>Kenari Rajasa</v>
      </c>
      <c r="J128" s="10" t="str">
        <f>INDEX(Employee!$D$4:$D$47,MATCH($H$4:$H$1003,Employee!$A$4:$A$47,0))</f>
        <v>Kenari Rajasa</v>
      </c>
      <c r="K128" s="10" t="s">
        <v>107</v>
      </c>
      <c r="L128" s="10" t="s">
        <v>173</v>
      </c>
      <c r="M128" s="10" t="s">
        <v>59</v>
      </c>
      <c r="N128" s="10" t="s">
        <v>67</v>
      </c>
      <c r="O128" s="10" t="s">
        <v>61</v>
      </c>
      <c r="P128" s="10">
        <v>42703</v>
      </c>
      <c r="Q128" s="15">
        <v>37800</v>
      </c>
      <c r="R128" s="15">
        <v>60000</v>
      </c>
      <c r="S128" s="15">
        <f>Table1[[#This Row],[Retail Price]]-Table1[[#This Row],[Cost Price]]</f>
        <v>22200</v>
      </c>
      <c r="T128" s="10">
        <v>41</v>
      </c>
      <c r="U128" s="15">
        <f>Table1[[#This Row],[Profit Margin]]*Table1[[#This Row],[Order Quantity]]</f>
        <v>910200</v>
      </c>
      <c r="V128" s="11">
        <v>0.02</v>
      </c>
      <c r="W128" s="15">
        <f t="shared" si="1"/>
        <v>18204</v>
      </c>
      <c r="X128" s="15">
        <f>Table1[[#This Row],[Sub Total]]-Table1[[#This Row],[Discount Rp]]</f>
        <v>891996</v>
      </c>
      <c r="Y128" s="15">
        <f ca="1">OFFSET(Helper!$C$3,MATCH(Data!$N$4:$N$1003,Helper!$C$4:$C$9,0),MATCH(Data!$O$4:$O$1003,Helper!$D$3:$F$3,0))</f>
        <v>5000</v>
      </c>
      <c r="Z128" s="16">
        <f ca="1">Table1[[#This Row],[Order Total]]+Table1[[#This Row],[Shipping Cost]]</f>
        <v>896996</v>
      </c>
    </row>
    <row r="129" spans="1:26" ht="15.75" customHeight="1" x14ac:dyDescent="0.3">
      <c r="A129" s="9" t="s">
        <v>478</v>
      </c>
      <c r="B129" s="18">
        <v>42706</v>
      </c>
      <c r="C129" s="10">
        <f>YEAR(Table1[[#This Row],[Order Date]])</f>
        <v>2016</v>
      </c>
      <c r="D129" s="10" t="s">
        <v>479</v>
      </c>
      <c r="E129" s="10" t="s">
        <v>154</v>
      </c>
      <c r="F129" s="10" t="s">
        <v>71</v>
      </c>
      <c r="G129" s="10" t="s">
        <v>55</v>
      </c>
      <c r="H129" s="10" t="s">
        <v>155</v>
      </c>
      <c r="I129" s="10" t="str">
        <f>VLOOKUP(Table1[[#This Row],[Account Manager ID]],Table2[[Employee ID]:[Full Name]],4,FALSE)</f>
        <v>Puti Nadine Prakasa</v>
      </c>
      <c r="J129" s="10" t="str">
        <f>INDEX(Employee!$D$4:$D$47,MATCH($H$4:$H$1003,Employee!$A$4:$A$47,0))</f>
        <v>Puti Nadine Prakasa</v>
      </c>
      <c r="K129" s="10" t="s">
        <v>57</v>
      </c>
      <c r="L129" s="10" t="s">
        <v>480</v>
      </c>
      <c r="M129" s="10" t="s">
        <v>253</v>
      </c>
      <c r="N129" s="10" t="s">
        <v>459</v>
      </c>
      <c r="O129" s="10" t="s">
        <v>76</v>
      </c>
      <c r="P129" s="10">
        <v>42708</v>
      </c>
      <c r="Q129" s="15">
        <v>842400</v>
      </c>
      <c r="R129" s="15">
        <v>2054699.9999999998</v>
      </c>
      <c r="S129" s="15">
        <f>Table1[[#This Row],[Retail Price]]-Table1[[#This Row],[Cost Price]]</f>
        <v>1212299.9999999998</v>
      </c>
      <c r="T129" s="10">
        <v>41</v>
      </c>
      <c r="U129" s="15">
        <f>Table1[[#This Row],[Profit Margin]]*Table1[[#This Row],[Order Quantity]]</f>
        <v>49704299.999999993</v>
      </c>
      <c r="V129" s="11">
        <v>0.04</v>
      </c>
      <c r="W129" s="15">
        <f t="shared" si="1"/>
        <v>1988171.9999999998</v>
      </c>
      <c r="X129" s="15">
        <f>Table1[[#This Row],[Sub Total]]-Table1[[#This Row],[Discount Rp]]</f>
        <v>47716127.999999993</v>
      </c>
      <c r="Y129" s="15">
        <f ca="1">OFFSET(Helper!$C$3,MATCH(Data!$N$4:$N$1003,Helper!$C$4:$C$9,0),MATCH(Data!$O$4:$O$1003,Helper!$D$3:$F$3,0))</f>
        <v>100000</v>
      </c>
      <c r="Z129" s="16">
        <f ca="1">Table1[[#This Row],[Order Total]]+Table1[[#This Row],[Shipping Cost]]</f>
        <v>47816127.999999993</v>
      </c>
    </row>
    <row r="130" spans="1:26" ht="15.75" customHeight="1" x14ac:dyDescent="0.3">
      <c r="A130" s="9" t="s">
        <v>481</v>
      </c>
      <c r="B130" s="18">
        <v>42706</v>
      </c>
      <c r="C130" s="10">
        <f>YEAR(Table1[[#This Row],[Order Date]])</f>
        <v>2016</v>
      </c>
      <c r="D130" s="10" t="s">
        <v>482</v>
      </c>
      <c r="E130" s="10" t="s">
        <v>370</v>
      </c>
      <c r="F130" s="10" t="s">
        <v>71</v>
      </c>
      <c r="G130" s="10" t="s">
        <v>106</v>
      </c>
      <c r="H130" s="10" t="s">
        <v>146</v>
      </c>
      <c r="I130" s="10" t="str">
        <f>VLOOKUP(Table1[[#This Row],[Account Manager ID]],Table2[[Employee ID]:[Full Name]],4,FALSE)</f>
        <v>Kenari Rajasa</v>
      </c>
      <c r="J130" s="10" t="str">
        <f>INDEX(Employee!$D$4:$D$47,MATCH($H$4:$H$1003,Employee!$A$4:$A$47,0))</f>
        <v>Kenari Rajasa</v>
      </c>
      <c r="K130" s="10" t="s">
        <v>92</v>
      </c>
      <c r="L130" s="10" t="s">
        <v>212</v>
      </c>
      <c r="M130" s="10" t="s">
        <v>59</v>
      </c>
      <c r="N130" s="10" t="s">
        <v>67</v>
      </c>
      <c r="O130" s="10" t="s">
        <v>61</v>
      </c>
      <c r="P130" s="10">
        <v>42708</v>
      </c>
      <c r="Q130" s="15">
        <v>52050</v>
      </c>
      <c r="R130" s="15">
        <v>100200</v>
      </c>
      <c r="S130" s="15">
        <f>Table1[[#This Row],[Retail Price]]-Table1[[#This Row],[Cost Price]]</f>
        <v>48150</v>
      </c>
      <c r="T130" s="10">
        <v>5</v>
      </c>
      <c r="U130" s="15">
        <f>Table1[[#This Row],[Profit Margin]]*Table1[[#This Row],[Order Quantity]]</f>
        <v>240750</v>
      </c>
      <c r="V130" s="11">
        <v>0.09</v>
      </c>
      <c r="W130" s="15">
        <f t="shared" si="1"/>
        <v>21667.5</v>
      </c>
      <c r="X130" s="15">
        <f>Table1[[#This Row],[Sub Total]]-Table1[[#This Row],[Discount Rp]]</f>
        <v>219082.5</v>
      </c>
      <c r="Y130" s="15">
        <f ca="1">OFFSET(Helper!$C$3,MATCH(Data!$N$4:$N$1003,Helper!$C$4:$C$9,0),MATCH(Data!$O$4:$O$1003,Helper!$D$3:$F$3,0))</f>
        <v>5000</v>
      </c>
      <c r="Z130" s="16">
        <f ca="1">Table1[[#This Row],[Order Total]]+Table1[[#This Row],[Shipping Cost]]</f>
        <v>224082.5</v>
      </c>
    </row>
    <row r="131" spans="1:26" ht="15.75" customHeight="1" x14ac:dyDescent="0.3">
      <c r="A131" s="9" t="s">
        <v>483</v>
      </c>
      <c r="B131" s="18">
        <v>42708</v>
      </c>
      <c r="C131" s="10">
        <f>YEAR(Table1[[#This Row],[Order Date]])</f>
        <v>2016</v>
      </c>
      <c r="D131" s="10" t="s">
        <v>484</v>
      </c>
      <c r="E131" s="10" t="s">
        <v>485</v>
      </c>
      <c r="F131" s="10" t="s">
        <v>71</v>
      </c>
      <c r="G131" s="10" t="s">
        <v>106</v>
      </c>
      <c r="H131" s="10" t="s">
        <v>185</v>
      </c>
      <c r="I131" s="10" t="str">
        <f>VLOOKUP(Table1[[#This Row],[Account Manager ID]],Table2[[Employee ID]:[Full Name]],4,FALSE)</f>
        <v>Clara Prasetyo</v>
      </c>
      <c r="J131" s="10" t="str">
        <f>INDEX(Employee!$D$4:$D$47,MATCH($H$4:$H$1003,Employee!$A$4:$A$47,0))</f>
        <v>Clara Prasetyo</v>
      </c>
      <c r="K131" s="10" t="s">
        <v>92</v>
      </c>
      <c r="L131" s="10" t="s">
        <v>471</v>
      </c>
      <c r="M131" s="10" t="s">
        <v>59</v>
      </c>
      <c r="N131" s="10" t="s">
        <v>60</v>
      </c>
      <c r="O131" s="10" t="s">
        <v>61</v>
      </c>
      <c r="P131" s="10">
        <v>42710</v>
      </c>
      <c r="Q131" s="15">
        <v>1015950.0000000001</v>
      </c>
      <c r="R131" s="15">
        <v>2478000</v>
      </c>
      <c r="S131" s="15">
        <f>Table1[[#This Row],[Retail Price]]-Table1[[#This Row],[Cost Price]]</f>
        <v>1462050</v>
      </c>
      <c r="T131" s="10">
        <v>23</v>
      </c>
      <c r="U131" s="15">
        <f>Table1[[#This Row],[Profit Margin]]*Table1[[#This Row],[Order Quantity]]</f>
        <v>33627150</v>
      </c>
      <c r="V131" s="11">
        <v>7.0000000000000007E-2</v>
      </c>
      <c r="W131" s="15">
        <f t="shared" si="1"/>
        <v>2353900.5</v>
      </c>
      <c r="X131" s="15">
        <f>Table1[[#This Row],[Sub Total]]-Table1[[#This Row],[Discount Rp]]</f>
        <v>31273249.5</v>
      </c>
      <c r="Y131" s="15">
        <f ca="1">OFFSET(Helper!$C$3,MATCH(Data!$N$4:$N$1003,Helper!$C$4:$C$9,0),MATCH(Data!$O$4:$O$1003,Helper!$D$3:$F$3,0))</f>
        <v>15000</v>
      </c>
      <c r="Z131" s="16">
        <f ca="1">Table1[[#This Row],[Order Total]]+Table1[[#This Row],[Shipping Cost]]</f>
        <v>31288249.5</v>
      </c>
    </row>
    <row r="132" spans="1:26" ht="15.75" customHeight="1" x14ac:dyDescent="0.3">
      <c r="A132" s="9" t="s">
        <v>486</v>
      </c>
      <c r="B132" s="18">
        <v>42710</v>
      </c>
      <c r="C132" s="10">
        <f>YEAR(Table1[[#This Row],[Order Date]])</f>
        <v>2016</v>
      </c>
      <c r="D132" s="10" t="s">
        <v>487</v>
      </c>
      <c r="E132" s="10" t="s">
        <v>111</v>
      </c>
      <c r="F132" s="10" t="s">
        <v>71</v>
      </c>
      <c r="G132" s="10" t="s">
        <v>55</v>
      </c>
      <c r="H132" s="10" t="s">
        <v>112</v>
      </c>
      <c r="I132" s="10" t="str">
        <f>VLOOKUP(Table1[[#This Row],[Account Manager ID]],Table2[[Employee ID]:[Full Name]],4,FALSE)</f>
        <v>Paiman Firgantoro</v>
      </c>
      <c r="J132" s="10" t="str">
        <f>INDEX(Employee!$D$4:$D$47,MATCH($H$4:$H$1003,Employee!$A$4:$A$47,0))</f>
        <v>Paiman Firgantoro</v>
      </c>
      <c r="K132" s="10" t="s">
        <v>107</v>
      </c>
      <c r="L132" s="10" t="s">
        <v>488</v>
      </c>
      <c r="M132" s="10" t="s">
        <v>59</v>
      </c>
      <c r="N132" s="10" t="s">
        <v>136</v>
      </c>
      <c r="O132" s="10" t="s">
        <v>61</v>
      </c>
      <c r="P132" s="10">
        <v>42713</v>
      </c>
      <c r="Q132" s="15">
        <v>77850</v>
      </c>
      <c r="R132" s="15">
        <v>194700</v>
      </c>
      <c r="S132" s="15">
        <f>Table1[[#This Row],[Retail Price]]-Table1[[#This Row],[Cost Price]]</f>
        <v>116850</v>
      </c>
      <c r="T132" s="10">
        <v>45</v>
      </c>
      <c r="U132" s="15">
        <f>Table1[[#This Row],[Profit Margin]]*Table1[[#This Row],[Order Quantity]]</f>
        <v>5258250</v>
      </c>
      <c r="V132" s="11">
        <v>0.02</v>
      </c>
      <c r="W132" s="15">
        <f t="shared" ref="W132:W195" si="2">V132*U132</f>
        <v>105165</v>
      </c>
      <c r="X132" s="15">
        <f>Table1[[#This Row],[Sub Total]]-Table1[[#This Row],[Discount Rp]]</f>
        <v>5153085</v>
      </c>
      <c r="Y132" s="15">
        <f ca="1">OFFSET(Helper!$C$3,MATCH(Data!$N$4:$N$1003,Helper!$C$4:$C$9,0),MATCH(Data!$O$4:$O$1003,Helper!$D$3:$F$3,0))</f>
        <v>10000</v>
      </c>
      <c r="Z132" s="16">
        <f ca="1">Table1[[#This Row],[Order Total]]+Table1[[#This Row],[Shipping Cost]]</f>
        <v>5163085</v>
      </c>
    </row>
    <row r="133" spans="1:26" ht="15.75" customHeight="1" x14ac:dyDescent="0.3">
      <c r="A133" s="9" t="s">
        <v>489</v>
      </c>
      <c r="B133" s="18">
        <v>42711</v>
      </c>
      <c r="C133" s="10">
        <f>YEAR(Table1[[#This Row],[Order Date]])</f>
        <v>2016</v>
      </c>
      <c r="D133" s="10" t="s">
        <v>490</v>
      </c>
      <c r="E133" s="10" t="s">
        <v>159</v>
      </c>
      <c r="F133" s="10" t="s">
        <v>71</v>
      </c>
      <c r="G133" s="10" t="s">
        <v>55</v>
      </c>
      <c r="H133" s="10" t="s">
        <v>122</v>
      </c>
      <c r="I133" s="10" t="str">
        <f>VLOOKUP(Table1[[#This Row],[Account Manager ID]],Table2[[Employee ID]:[Full Name]],4,FALSE)</f>
        <v>Ophelia Mustofa</v>
      </c>
      <c r="J133" s="10" t="str">
        <f>INDEX(Employee!$D$4:$D$47,MATCH($H$4:$H$1003,Employee!$A$4:$A$47,0))</f>
        <v>Ophelia Mustofa</v>
      </c>
      <c r="K133" s="10" t="s">
        <v>107</v>
      </c>
      <c r="L133" s="10" t="s">
        <v>265</v>
      </c>
      <c r="M133" s="10" t="s">
        <v>59</v>
      </c>
      <c r="N133" s="10" t="s">
        <v>60</v>
      </c>
      <c r="O133" s="10" t="s">
        <v>61</v>
      </c>
      <c r="P133" s="10">
        <v>42712</v>
      </c>
      <c r="Q133" s="15">
        <v>17700</v>
      </c>
      <c r="R133" s="15">
        <v>28200</v>
      </c>
      <c r="S133" s="15">
        <f>Table1[[#This Row],[Retail Price]]-Table1[[#This Row],[Cost Price]]</f>
        <v>10500</v>
      </c>
      <c r="T133" s="10">
        <v>42</v>
      </c>
      <c r="U133" s="15">
        <f>Table1[[#This Row],[Profit Margin]]*Table1[[#This Row],[Order Quantity]]</f>
        <v>441000</v>
      </c>
      <c r="V133" s="11">
        <v>0</v>
      </c>
      <c r="W133" s="15">
        <f t="shared" si="2"/>
        <v>0</v>
      </c>
      <c r="X133" s="15">
        <f>Table1[[#This Row],[Sub Total]]-Table1[[#This Row],[Discount Rp]]</f>
        <v>441000</v>
      </c>
      <c r="Y133" s="15">
        <f ca="1">OFFSET(Helper!$C$3,MATCH(Data!$N$4:$N$1003,Helper!$C$4:$C$9,0),MATCH(Data!$O$4:$O$1003,Helper!$D$3:$F$3,0))</f>
        <v>15000</v>
      </c>
      <c r="Z133" s="16">
        <f ca="1">Table1[[#This Row],[Order Total]]+Table1[[#This Row],[Shipping Cost]]</f>
        <v>456000</v>
      </c>
    </row>
    <row r="134" spans="1:26" ht="15.75" customHeight="1" x14ac:dyDescent="0.3">
      <c r="A134" s="9" t="s">
        <v>491</v>
      </c>
      <c r="B134" s="18">
        <v>42711</v>
      </c>
      <c r="C134" s="10">
        <f>YEAR(Table1[[#This Row],[Order Date]])</f>
        <v>2016</v>
      </c>
      <c r="D134" s="10" t="s">
        <v>492</v>
      </c>
      <c r="E134" s="10" t="s">
        <v>493</v>
      </c>
      <c r="F134" s="10" t="s">
        <v>71</v>
      </c>
      <c r="G134" s="10" t="s">
        <v>106</v>
      </c>
      <c r="H134" s="10" t="s">
        <v>112</v>
      </c>
      <c r="I134" s="10" t="str">
        <f>VLOOKUP(Table1[[#This Row],[Account Manager ID]],Table2[[Employee ID]:[Full Name]],4,FALSE)</f>
        <v>Paiman Firgantoro</v>
      </c>
      <c r="J134" s="10" t="str">
        <f>INDEX(Employee!$D$4:$D$47,MATCH($H$4:$H$1003,Employee!$A$4:$A$47,0))</f>
        <v>Paiman Firgantoro</v>
      </c>
      <c r="K134" s="10" t="s">
        <v>117</v>
      </c>
      <c r="L134" s="10" t="s">
        <v>162</v>
      </c>
      <c r="M134" s="10" t="s">
        <v>59</v>
      </c>
      <c r="N134" s="10" t="s">
        <v>60</v>
      </c>
      <c r="O134" s="10" t="s">
        <v>61</v>
      </c>
      <c r="P134" s="10">
        <v>42712</v>
      </c>
      <c r="Q134" s="15">
        <v>52800</v>
      </c>
      <c r="R134" s="15">
        <v>85200</v>
      </c>
      <c r="S134" s="15">
        <f>Table1[[#This Row],[Retail Price]]-Table1[[#This Row],[Cost Price]]</f>
        <v>32400</v>
      </c>
      <c r="T134" s="10">
        <v>32</v>
      </c>
      <c r="U134" s="15">
        <f>Table1[[#This Row],[Profit Margin]]*Table1[[#This Row],[Order Quantity]]</f>
        <v>1036800</v>
      </c>
      <c r="V134" s="11">
        <v>0.05</v>
      </c>
      <c r="W134" s="15">
        <f t="shared" si="2"/>
        <v>51840</v>
      </c>
      <c r="X134" s="15">
        <f>Table1[[#This Row],[Sub Total]]-Table1[[#This Row],[Discount Rp]]</f>
        <v>984960</v>
      </c>
      <c r="Y134" s="15">
        <f ca="1">OFFSET(Helper!$C$3,MATCH(Data!$N$4:$N$1003,Helper!$C$4:$C$9,0),MATCH(Data!$O$4:$O$1003,Helper!$D$3:$F$3,0))</f>
        <v>15000</v>
      </c>
      <c r="Z134" s="16">
        <f ca="1">Table1[[#This Row],[Order Total]]+Table1[[#This Row],[Shipping Cost]]</f>
        <v>999960</v>
      </c>
    </row>
    <row r="135" spans="1:26" ht="15.75" customHeight="1" x14ac:dyDescent="0.3">
      <c r="A135" s="9" t="s">
        <v>494</v>
      </c>
      <c r="B135" s="18">
        <v>42714</v>
      </c>
      <c r="C135" s="10">
        <f>YEAR(Table1[[#This Row],[Order Date]])</f>
        <v>2016</v>
      </c>
      <c r="D135" s="10" t="s">
        <v>495</v>
      </c>
      <c r="E135" s="10" t="s">
        <v>154</v>
      </c>
      <c r="F135" s="10" t="s">
        <v>71</v>
      </c>
      <c r="G135" s="10" t="s">
        <v>87</v>
      </c>
      <c r="H135" s="10" t="s">
        <v>155</v>
      </c>
      <c r="I135" s="10" t="str">
        <f>VLOOKUP(Table1[[#This Row],[Account Manager ID]],Table2[[Employee ID]:[Full Name]],4,FALSE)</f>
        <v>Puti Nadine Prakasa</v>
      </c>
      <c r="J135" s="10" t="str">
        <f>INDEX(Employee!$D$4:$D$47,MATCH($H$4:$H$1003,Employee!$A$4:$A$47,0))</f>
        <v>Puti Nadine Prakasa</v>
      </c>
      <c r="K135" s="10" t="s">
        <v>107</v>
      </c>
      <c r="L135" s="10" t="s">
        <v>429</v>
      </c>
      <c r="M135" s="10" t="s">
        <v>59</v>
      </c>
      <c r="N135" s="10" t="s">
        <v>60</v>
      </c>
      <c r="O135" s="10" t="s">
        <v>61</v>
      </c>
      <c r="P135" s="10">
        <v>42715</v>
      </c>
      <c r="Q135" s="15">
        <v>29100</v>
      </c>
      <c r="R135" s="15">
        <v>46200</v>
      </c>
      <c r="S135" s="15">
        <f>Table1[[#This Row],[Retail Price]]-Table1[[#This Row],[Cost Price]]</f>
        <v>17100</v>
      </c>
      <c r="T135" s="10">
        <v>45</v>
      </c>
      <c r="U135" s="15">
        <f>Table1[[#This Row],[Profit Margin]]*Table1[[#This Row],[Order Quantity]]</f>
        <v>769500</v>
      </c>
      <c r="V135" s="11">
        <v>0.04</v>
      </c>
      <c r="W135" s="15">
        <f t="shared" si="2"/>
        <v>30780</v>
      </c>
      <c r="X135" s="15">
        <f>Table1[[#This Row],[Sub Total]]-Table1[[#This Row],[Discount Rp]]</f>
        <v>738720</v>
      </c>
      <c r="Y135" s="15">
        <f ca="1">OFFSET(Helper!$C$3,MATCH(Data!$N$4:$N$1003,Helper!$C$4:$C$9,0),MATCH(Data!$O$4:$O$1003,Helper!$D$3:$F$3,0))</f>
        <v>15000</v>
      </c>
      <c r="Z135" s="16">
        <f ca="1">Table1[[#This Row],[Order Total]]+Table1[[#This Row],[Shipping Cost]]</f>
        <v>753720</v>
      </c>
    </row>
    <row r="136" spans="1:26" ht="15.75" customHeight="1" x14ac:dyDescent="0.3">
      <c r="A136" s="9" t="s">
        <v>496</v>
      </c>
      <c r="B136" s="18">
        <v>42715</v>
      </c>
      <c r="C136" s="10">
        <f>YEAR(Table1[[#This Row],[Order Date]])</f>
        <v>2016</v>
      </c>
      <c r="D136" s="10" t="s">
        <v>492</v>
      </c>
      <c r="E136" s="10" t="s">
        <v>493</v>
      </c>
      <c r="F136" s="10" t="s">
        <v>71</v>
      </c>
      <c r="G136" s="10" t="s">
        <v>87</v>
      </c>
      <c r="H136" s="10" t="s">
        <v>112</v>
      </c>
      <c r="I136" s="10" t="str">
        <f>VLOOKUP(Table1[[#This Row],[Account Manager ID]],Table2[[Employee ID]:[Full Name]],4,FALSE)</f>
        <v>Paiman Firgantoro</v>
      </c>
      <c r="J136" s="10" t="str">
        <f>INDEX(Employee!$D$4:$D$47,MATCH($H$4:$H$1003,Employee!$A$4:$A$47,0))</f>
        <v>Paiman Firgantoro</v>
      </c>
      <c r="K136" s="10" t="s">
        <v>107</v>
      </c>
      <c r="L136" s="10" t="s">
        <v>203</v>
      </c>
      <c r="M136" s="10" t="s">
        <v>59</v>
      </c>
      <c r="N136" s="10" t="s">
        <v>60</v>
      </c>
      <c r="O136" s="10" t="s">
        <v>61</v>
      </c>
      <c r="P136" s="10">
        <v>42716</v>
      </c>
      <c r="Q136" s="15">
        <v>130650.00000000001</v>
      </c>
      <c r="R136" s="15">
        <v>214200</v>
      </c>
      <c r="S136" s="15">
        <f>Table1[[#This Row],[Retail Price]]-Table1[[#This Row],[Cost Price]]</f>
        <v>83549.999999999985</v>
      </c>
      <c r="T136" s="10">
        <v>8</v>
      </c>
      <c r="U136" s="15">
        <f>Table1[[#This Row],[Profit Margin]]*Table1[[#This Row],[Order Quantity]]</f>
        <v>668399.99999999988</v>
      </c>
      <c r="V136" s="11">
        <v>0.01</v>
      </c>
      <c r="W136" s="15">
        <f t="shared" si="2"/>
        <v>6683.9999999999991</v>
      </c>
      <c r="X136" s="15">
        <f>Table1[[#This Row],[Sub Total]]-Table1[[#This Row],[Discount Rp]]</f>
        <v>661715.99999999988</v>
      </c>
      <c r="Y136" s="15">
        <f ca="1">OFFSET(Helper!$C$3,MATCH(Data!$N$4:$N$1003,Helper!$C$4:$C$9,0),MATCH(Data!$O$4:$O$1003,Helper!$D$3:$F$3,0))</f>
        <v>15000</v>
      </c>
      <c r="Z136" s="16">
        <f ca="1">Table1[[#This Row],[Order Total]]+Table1[[#This Row],[Shipping Cost]]</f>
        <v>676715.99999999988</v>
      </c>
    </row>
    <row r="137" spans="1:26" ht="15.75" customHeight="1" x14ac:dyDescent="0.3">
      <c r="A137" s="9" t="s">
        <v>497</v>
      </c>
      <c r="B137" s="18">
        <v>42715</v>
      </c>
      <c r="C137" s="10">
        <f>YEAR(Table1[[#This Row],[Order Date]])</f>
        <v>2016</v>
      </c>
      <c r="D137" s="10" t="s">
        <v>498</v>
      </c>
      <c r="E137" s="10" t="s">
        <v>154</v>
      </c>
      <c r="F137" s="10" t="s">
        <v>71</v>
      </c>
      <c r="G137" s="10" t="s">
        <v>55</v>
      </c>
      <c r="H137" s="10" t="s">
        <v>155</v>
      </c>
      <c r="I137" s="10" t="str">
        <f>VLOOKUP(Table1[[#This Row],[Account Manager ID]],Table2[[Employee ID]:[Full Name]],4,FALSE)</f>
        <v>Puti Nadine Prakasa</v>
      </c>
      <c r="J137" s="10" t="str">
        <f>INDEX(Employee!$D$4:$D$47,MATCH($H$4:$H$1003,Employee!$A$4:$A$47,0))</f>
        <v>Puti Nadine Prakasa</v>
      </c>
      <c r="K137" s="10" t="s">
        <v>92</v>
      </c>
      <c r="L137" s="10" t="s">
        <v>294</v>
      </c>
      <c r="M137" s="10" t="s">
        <v>81</v>
      </c>
      <c r="N137" s="10" t="s">
        <v>60</v>
      </c>
      <c r="O137" s="10" t="s">
        <v>61</v>
      </c>
      <c r="P137" s="10">
        <v>42720</v>
      </c>
      <c r="Q137" s="15">
        <v>908850</v>
      </c>
      <c r="R137" s="15">
        <v>1514700</v>
      </c>
      <c r="S137" s="15">
        <f>Table1[[#This Row],[Retail Price]]-Table1[[#This Row],[Cost Price]]</f>
        <v>605850</v>
      </c>
      <c r="T137" s="10">
        <v>12</v>
      </c>
      <c r="U137" s="15">
        <f>Table1[[#This Row],[Profit Margin]]*Table1[[#This Row],[Order Quantity]]</f>
        <v>7270200</v>
      </c>
      <c r="V137" s="11">
        <v>0.04</v>
      </c>
      <c r="W137" s="15">
        <f t="shared" si="2"/>
        <v>290808</v>
      </c>
      <c r="X137" s="15">
        <f>Table1[[#This Row],[Sub Total]]-Table1[[#This Row],[Discount Rp]]</f>
        <v>6979392</v>
      </c>
      <c r="Y137" s="15">
        <f ca="1">OFFSET(Helper!$C$3,MATCH(Data!$N$4:$N$1003,Helper!$C$4:$C$9,0),MATCH(Data!$O$4:$O$1003,Helper!$D$3:$F$3,0))</f>
        <v>15000</v>
      </c>
      <c r="Z137" s="16">
        <f ca="1">Table1[[#This Row],[Order Total]]+Table1[[#This Row],[Shipping Cost]]</f>
        <v>6994392</v>
      </c>
    </row>
    <row r="138" spans="1:26" ht="15.75" customHeight="1" x14ac:dyDescent="0.3">
      <c r="A138" s="9" t="s">
        <v>499</v>
      </c>
      <c r="B138" s="18">
        <v>42716</v>
      </c>
      <c r="C138" s="10">
        <f>YEAR(Table1[[#This Row],[Order Date]])</f>
        <v>2016</v>
      </c>
      <c r="D138" s="10" t="s">
        <v>498</v>
      </c>
      <c r="E138" s="10" t="s">
        <v>154</v>
      </c>
      <c r="F138" s="10" t="s">
        <v>71</v>
      </c>
      <c r="G138" s="10" t="s">
        <v>55</v>
      </c>
      <c r="H138" s="10" t="s">
        <v>155</v>
      </c>
      <c r="I138" s="10" t="str">
        <f>VLOOKUP(Table1[[#This Row],[Account Manager ID]],Table2[[Employee ID]:[Full Name]],4,FALSE)</f>
        <v>Puti Nadine Prakasa</v>
      </c>
      <c r="J138" s="10" t="str">
        <f>INDEX(Employee!$D$4:$D$47,MATCH($H$4:$H$1003,Employee!$A$4:$A$47,0))</f>
        <v>Puti Nadine Prakasa</v>
      </c>
      <c r="K138" s="10" t="s">
        <v>117</v>
      </c>
      <c r="L138" s="10" t="s">
        <v>500</v>
      </c>
      <c r="M138" s="10" t="s">
        <v>59</v>
      </c>
      <c r="N138" s="10" t="s">
        <v>60</v>
      </c>
      <c r="O138" s="10" t="s">
        <v>76</v>
      </c>
      <c r="P138" s="10">
        <v>42718</v>
      </c>
      <c r="Q138" s="15">
        <v>36750</v>
      </c>
      <c r="R138" s="15">
        <v>58350</v>
      </c>
      <c r="S138" s="15">
        <f>Table1[[#This Row],[Retail Price]]-Table1[[#This Row],[Cost Price]]</f>
        <v>21600</v>
      </c>
      <c r="T138" s="10">
        <v>32</v>
      </c>
      <c r="U138" s="15">
        <f>Table1[[#This Row],[Profit Margin]]*Table1[[#This Row],[Order Quantity]]</f>
        <v>691200</v>
      </c>
      <c r="V138" s="11">
        <v>0.09</v>
      </c>
      <c r="W138" s="15">
        <f t="shared" si="2"/>
        <v>62208</v>
      </c>
      <c r="X138" s="15">
        <f>Table1[[#This Row],[Sub Total]]-Table1[[#This Row],[Discount Rp]]</f>
        <v>628992</v>
      </c>
      <c r="Y138" s="15">
        <f ca="1">OFFSET(Helper!$C$3,MATCH(Data!$N$4:$N$1003,Helper!$C$4:$C$9,0),MATCH(Data!$O$4:$O$1003,Helper!$D$3:$F$3,0))</f>
        <v>30000</v>
      </c>
      <c r="Z138" s="16">
        <f ca="1">Table1[[#This Row],[Order Total]]+Table1[[#This Row],[Shipping Cost]]</f>
        <v>658992</v>
      </c>
    </row>
    <row r="139" spans="1:26" ht="15.75" customHeight="1" x14ac:dyDescent="0.3">
      <c r="A139" s="9" t="s">
        <v>501</v>
      </c>
      <c r="B139" s="18">
        <v>42718</v>
      </c>
      <c r="C139" s="10">
        <f>YEAR(Table1[[#This Row],[Order Date]])</f>
        <v>2016</v>
      </c>
      <c r="D139" s="10" t="s">
        <v>502</v>
      </c>
      <c r="E139" s="10" t="s">
        <v>503</v>
      </c>
      <c r="F139" s="10" t="s">
        <v>261</v>
      </c>
      <c r="G139" s="10" t="s">
        <v>55</v>
      </c>
      <c r="H139" s="10" t="s">
        <v>316</v>
      </c>
      <c r="I139" s="10" t="str">
        <f>VLOOKUP(Table1[[#This Row],[Account Manager ID]],Table2[[Employee ID]:[Full Name]],4,FALSE)</f>
        <v>Sari Winarno</v>
      </c>
      <c r="J139" s="10" t="str">
        <f>INDEX(Employee!$D$4:$D$47,MATCH($H$4:$H$1003,Employee!$A$4:$A$47,0))</f>
        <v>Sari Winarno</v>
      </c>
      <c r="K139" s="10" t="s">
        <v>74</v>
      </c>
      <c r="L139" s="10" t="s">
        <v>265</v>
      </c>
      <c r="M139" s="10" t="s">
        <v>59</v>
      </c>
      <c r="N139" s="10" t="s">
        <v>60</v>
      </c>
      <c r="O139" s="10" t="s">
        <v>61</v>
      </c>
      <c r="P139" s="10">
        <v>42719</v>
      </c>
      <c r="Q139" s="15">
        <v>17700</v>
      </c>
      <c r="R139" s="15">
        <v>28200</v>
      </c>
      <c r="S139" s="15">
        <f>Table1[[#This Row],[Retail Price]]-Table1[[#This Row],[Cost Price]]</f>
        <v>10500</v>
      </c>
      <c r="T139" s="10">
        <v>43</v>
      </c>
      <c r="U139" s="15">
        <f>Table1[[#This Row],[Profit Margin]]*Table1[[#This Row],[Order Quantity]]</f>
        <v>451500</v>
      </c>
      <c r="V139" s="11">
        <v>0.03</v>
      </c>
      <c r="W139" s="15">
        <f t="shared" si="2"/>
        <v>13545</v>
      </c>
      <c r="X139" s="15">
        <f>Table1[[#This Row],[Sub Total]]-Table1[[#This Row],[Discount Rp]]</f>
        <v>437955</v>
      </c>
      <c r="Y139" s="15">
        <f ca="1">OFFSET(Helper!$C$3,MATCH(Data!$N$4:$N$1003,Helper!$C$4:$C$9,0),MATCH(Data!$O$4:$O$1003,Helper!$D$3:$F$3,0))</f>
        <v>15000</v>
      </c>
      <c r="Z139" s="16">
        <f ca="1">Table1[[#This Row],[Order Total]]+Table1[[#This Row],[Shipping Cost]]</f>
        <v>452955</v>
      </c>
    </row>
    <row r="140" spans="1:26" ht="15.75" customHeight="1" x14ac:dyDescent="0.3">
      <c r="A140" s="9" t="s">
        <v>504</v>
      </c>
      <c r="B140" s="18">
        <v>42719</v>
      </c>
      <c r="C140" s="10">
        <f>YEAR(Table1[[#This Row],[Order Date]])</f>
        <v>2016</v>
      </c>
      <c r="D140" s="10" t="s">
        <v>505</v>
      </c>
      <c r="E140" s="10" t="s">
        <v>506</v>
      </c>
      <c r="F140" s="10" t="s">
        <v>71</v>
      </c>
      <c r="G140" s="10" t="s">
        <v>72</v>
      </c>
      <c r="H140" s="10" t="s">
        <v>97</v>
      </c>
      <c r="I140" s="10" t="str">
        <f>VLOOKUP(Table1[[#This Row],[Account Manager ID]],Table2[[Employee ID]:[Full Name]],4,FALSE)</f>
        <v>Violet Mentari</v>
      </c>
      <c r="J140" s="10" t="str">
        <f>INDEX(Employee!$D$4:$D$47,MATCH($H$4:$H$1003,Employee!$A$4:$A$47,0))</f>
        <v>Violet Mentari</v>
      </c>
      <c r="K140" s="10" t="s">
        <v>57</v>
      </c>
      <c r="L140" s="10" t="s">
        <v>419</v>
      </c>
      <c r="M140" s="10" t="s">
        <v>59</v>
      </c>
      <c r="N140" s="10" t="s">
        <v>60</v>
      </c>
      <c r="O140" s="10" t="s">
        <v>61</v>
      </c>
      <c r="P140" s="10">
        <v>42720</v>
      </c>
      <c r="Q140" s="15">
        <v>66900</v>
      </c>
      <c r="R140" s="15">
        <v>163350</v>
      </c>
      <c r="S140" s="15">
        <f>Table1[[#This Row],[Retail Price]]-Table1[[#This Row],[Cost Price]]</f>
        <v>96450</v>
      </c>
      <c r="T140" s="10">
        <v>9</v>
      </c>
      <c r="U140" s="15">
        <f>Table1[[#This Row],[Profit Margin]]*Table1[[#This Row],[Order Quantity]]</f>
        <v>868050</v>
      </c>
      <c r="V140" s="11">
        <v>0.03</v>
      </c>
      <c r="W140" s="15">
        <f t="shared" si="2"/>
        <v>26041.5</v>
      </c>
      <c r="X140" s="15">
        <f>Table1[[#This Row],[Sub Total]]-Table1[[#This Row],[Discount Rp]]</f>
        <v>842008.5</v>
      </c>
      <c r="Y140" s="15">
        <f ca="1">OFFSET(Helper!$C$3,MATCH(Data!$N$4:$N$1003,Helper!$C$4:$C$9,0),MATCH(Data!$O$4:$O$1003,Helper!$D$3:$F$3,0))</f>
        <v>15000</v>
      </c>
      <c r="Z140" s="16">
        <f ca="1">Table1[[#This Row],[Order Total]]+Table1[[#This Row],[Shipping Cost]]</f>
        <v>857008.5</v>
      </c>
    </row>
    <row r="141" spans="1:26" ht="15.75" customHeight="1" x14ac:dyDescent="0.3">
      <c r="A141" s="9" t="s">
        <v>507</v>
      </c>
      <c r="B141" s="18">
        <v>42720</v>
      </c>
      <c r="C141" s="10">
        <f>YEAR(Table1[[#This Row],[Order Date]])</f>
        <v>2016</v>
      </c>
      <c r="D141" s="10" t="s">
        <v>179</v>
      </c>
      <c r="E141" s="10" t="s">
        <v>180</v>
      </c>
      <c r="F141" s="10" t="s">
        <v>54</v>
      </c>
      <c r="G141" s="10" t="s">
        <v>72</v>
      </c>
      <c r="H141" s="10" t="s">
        <v>65</v>
      </c>
      <c r="I141" s="10" t="str">
        <f>VLOOKUP(Table1[[#This Row],[Account Manager ID]],Table2[[Employee ID]:[Full Name]],4,FALSE)</f>
        <v>Laras Nuraini</v>
      </c>
      <c r="J141" s="10" t="str">
        <f>INDEX(Employee!$D$4:$D$47,MATCH($H$4:$H$1003,Employee!$A$4:$A$47,0))</f>
        <v>Laras Nuraini</v>
      </c>
      <c r="K141" s="10" t="s">
        <v>92</v>
      </c>
      <c r="L141" s="10" t="s">
        <v>450</v>
      </c>
      <c r="M141" s="10" t="s">
        <v>59</v>
      </c>
      <c r="N141" s="10" t="s">
        <v>136</v>
      </c>
      <c r="O141" s="10" t="s">
        <v>61</v>
      </c>
      <c r="P141" s="10">
        <v>42722</v>
      </c>
      <c r="Q141" s="15">
        <v>21900</v>
      </c>
      <c r="R141" s="15">
        <v>53550</v>
      </c>
      <c r="S141" s="15">
        <f>Table1[[#This Row],[Retail Price]]-Table1[[#This Row],[Cost Price]]</f>
        <v>31650</v>
      </c>
      <c r="T141" s="10">
        <v>26</v>
      </c>
      <c r="U141" s="15">
        <f>Table1[[#This Row],[Profit Margin]]*Table1[[#This Row],[Order Quantity]]</f>
        <v>822900</v>
      </c>
      <c r="V141" s="11">
        <v>0.04</v>
      </c>
      <c r="W141" s="15">
        <f t="shared" si="2"/>
        <v>32916</v>
      </c>
      <c r="X141" s="15">
        <f>Table1[[#This Row],[Sub Total]]-Table1[[#This Row],[Discount Rp]]</f>
        <v>789984</v>
      </c>
      <c r="Y141" s="15">
        <f ca="1">OFFSET(Helper!$C$3,MATCH(Data!$N$4:$N$1003,Helper!$C$4:$C$9,0),MATCH(Data!$O$4:$O$1003,Helper!$D$3:$F$3,0))</f>
        <v>10000</v>
      </c>
      <c r="Z141" s="16">
        <f ca="1">Table1[[#This Row],[Order Total]]+Table1[[#This Row],[Shipping Cost]]</f>
        <v>799984</v>
      </c>
    </row>
    <row r="142" spans="1:26" ht="15.75" customHeight="1" x14ac:dyDescent="0.3">
      <c r="A142" s="9" t="s">
        <v>508</v>
      </c>
      <c r="B142" s="18">
        <v>42721</v>
      </c>
      <c r="C142" s="10">
        <f>YEAR(Table1[[#This Row],[Order Date]])</f>
        <v>2016</v>
      </c>
      <c r="D142" s="10" t="s">
        <v>509</v>
      </c>
      <c r="E142" s="10" t="s">
        <v>53</v>
      </c>
      <c r="F142" s="10" t="s">
        <v>54</v>
      </c>
      <c r="G142" s="10" t="s">
        <v>106</v>
      </c>
      <c r="H142" s="10" t="s">
        <v>56</v>
      </c>
      <c r="I142" s="10" t="str">
        <f>VLOOKUP(Table1[[#This Row],[Account Manager ID]],Table2[[Employee ID]:[Full Name]],4,FALSE)</f>
        <v>Gaduh Pratama</v>
      </c>
      <c r="J142" s="10" t="str">
        <f>INDEX(Employee!$D$4:$D$47,MATCH($H$4:$H$1003,Employee!$A$4:$A$47,0))</f>
        <v>Gaduh Pratama</v>
      </c>
      <c r="K142" s="10" t="s">
        <v>107</v>
      </c>
      <c r="L142" s="10" t="s">
        <v>510</v>
      </c>
      <c r="M142" s="10" t="s">
        <v>59</v>
      </c>
      <c r="N142" s="10" t="s">
        <v>67</v>
      </c>
      <c r="O142" s="10" t="s">
        <v>76</v>
      </c>
      <c r="P142" s="10">
        <v>42723</v>
      </c>
      <c r="Q142" s="15">
        <v>49800</v>
      </c>
      <c r="R142" s="15">
        <v>77700</v>
      </c>
      <c r="S142" s="15">
        <f>Table1[[#This Row],[Retail Price]]-Table1[[#This Row],[Cost Price]]</f>
        <v>27900</v>
      </c>
      <c r="T142" s="10">
        <v>37</v>
      </c>
      <c r="U142" s="15">
        <f>Table1[[#This Row],[Profit Margin]]*Table1[[#This Row],[Order Quantity]]</f>
        <v>1032300</v>
      </c>
      <c r="V142" s="11">
        <v>7.0000000000000007E-2</v>
      </c>
      <c r="W142" s="15">
        <f t="shared" si="2"/>
        <v>72261</v>
      </c>
      <c r="X142" s="15">
        <f>Table1[[#This Row],[Sub Total]]-Table1[[#This Row],[Discount Rp]]</f>
        <v>960039</v>
      </c>
      <c r="Y142" s="15">
        <f ca="1">OFFSET(Helper!$C$3,MATCH(Data!$N$4:$N$1003,Helper!$C$4:$C$9,0),MATCH(Data!$O$4:$O$1003,Helper!$D$3:$F$3,0))</f>
        <v>10000</v>
      </c>
      <c r="Z142" s="16">
        <f ca="1">Table1[[#This Row],[Order Total]]+Table1[[#This Row],[Shipping Cost]]</f>
        <v>970039</v>
      </c>
    </row>
    <row r="143" spans="1:26" ht="15.75" customHeight="1" x14ac:dyDescent="0.3">
      <c r="A143" s="9" t="s">
        <v>511</v>
      </c>
      <c r="B143" s="18">
        <v>42721</v>
      </c>
      <c r="C143" s="10">
        <f>YEAR(Table1[[#This Row],[Order Date]])</f>
        <v>2016</v>
      </c>
      <c r="D143" s="10" t="s">
        <v>512</v>
      </c>
      <c r="E143" s="10" t="s">
        <v>513</v>
      </c>
      <c r="F143" s="10" t="s">
        <v>71</v>
      </c>
      <c r="G143" s="10" t="s">
        <v>72</v>
      </c>
      <c r="H143" s="10" t="s">
        <v>88</v>
      </c>
      <c r="I143" s="10" t="str">
        <f>VLOOKUP(Table1[[#This Row],[Account Manager ID]],Table2[[Employee ID]:[Full Name]],4,FALSE)</f>
        <v>Bagiya Sihombing</v>
      </c>
      <c r="J143" s="10" t="str">
        <f>INDEX(Employee!$D$4:$D$47,MATCH($H$4:$H$1003,Employee!$A$4:$A$47,0))</f>
        <v>Bagiya Sihombing</v>
      </c>
      <c r="K143" s="10" t="s">
        <v>92</v>
      </c>
      <c r="L143" s="10" t="s">
        <v>272</v>
      </c>
      <c r="M143" s="10" t="s">
        <v>59</v>
      </c>
      <c r="N143" s="10" t="s">
        <v>60</v>
      </c>
      <c r="O143" s="10" t="s">
        <v>61</v>
      </c>
      <c r="P143" s="10">
        <v>42726</v>
      </c>
      <c r="Q143" s="15">
        <v>57600</v>
      </c>
      <c r="R143" s="15">
        <v>94500</v>
      </c>
      <c r="S143" s="15">
        <f>Table1[[#This Row],[Retail Price]]-Table1[[#This Row],[Cost Price]]</f>
        <v>36900</v>
      </c>
      <c r="T143" s="10">
        <v>39</v>
      </c>
      <c r="U143" s="15">
        <f>Table1[[#This Row],[Profit Margin]]*Table1[[#This Row],[Order Quantity]]</f>
        <v>1439100</v>
      </c>
      <c r="V143" s="11">
        <v>0.1</v>
      </c>
      <c r="W143" s="15">
        <f t="shared" si="2"/>
        <v>143910</v>
      </c>
      <c r="X143" s="15">
        <f>Table1[[#This Row],[Sub Total]]-Table1[[#This Row],[Discount Rp]]</f>
        <v>1295190</v>
      </c>
      <c r="Y143" s="15">
        <f ca="1">OFFSET(Helper!$C$3,MATCH(Data!$N$4:$N$1003,Helper!$C$4:$C$9,0),MATCH(Data!$O$4:$O$1003,Helper!$D$3:$F$3,0))</f>
        <v>15000</v>
      </c>
      <c r="Z143" s="16">
        <f ca="1">Table1[[#This Row],[Order Total]]+Table1[[#This Row],[Shipping Cost]]</f>
        <v>1310190</v>
      </c>
    </row>
    <row r="144" spans="1:26" ht="15.75" customHeight="1" x14ac:dyDescent="0.3">
      <c r="A144" s="9" t="s">
        <v>514</v>
      </c>
      <c r="B144" s="18">
        <v>42726</v>
      </c>
      <c r="C144" s="10">
        <f>YEAR(Table1[[#This Row],[Order Date]])</f>
        <v>2016</v>
      </c>
      <c r="D144" s="10" t="s">
        <v>515</v>
      </c>
      <c r="E144" s="10" t="s">
        <v>101</v>
      </c>
      <c r="F144" s="10" t="s">
        <v>71</v>
      </c>
      <c r="G144" s="10" t="s">
        <v>72</v>
      </c>
      <c r="H144" s="10" t="s">
        <v>97</v>
      </c>
      <c r="I144" s="10" t="str">
        <f>VLOOKUP(Table1[[#This Row],[Account Manager ID]],Table2[[Employee ID]:[Full Name]],4,FALSE)</f>
        <v>Violet Mentari</v>
      </c>
      <c r="J144" s="10" t="str">
        <f>INDEX(Employee!$D$4:$D$47,MATCH($H$4:$H$1003,Employee!$A$4:$A$47,0))</f>
        <v>Violet Mentari</v>
      </c>
      <c r="K144" s="10" t="s">
        <v>107</v>
      </c>
      <c r="L144" s="10" t="s">
        <v>429</v>
      </c>
      <c r="M144" s="10" t="s">
        <v>59</v>
      </c>
      <c r="N144" s="10" t="s">
        <v>60</v>
      </c>
      <c r="O144" s="10" t="s">
        <v>61</v>
      </c>
      <c r="P144" s="10">
        <v>42727</v>
      </c>
      <c r="Q144" s="15">
        <v>29100</v>
      </c>
      <c r="R144" s="15">
        <v>46200</v>
      </c>
      <c r="S144" s="15">
        <f>Table1[[#This Row],[Retail Price]]-Table1[[#This Row],[Cost Price]]</f>
        <v>17100</v>
      </c>
      <c r="T144" s="10">
        <v>24</v>
      </c>
      <c r="U144" s="15">
        <f>Table1[[#This Row],[Profit Margin]]*Table1[[#This Row],[Order Quantity]]</f>
        <v>410400</v>
      </c>
      <c r="V144" s="11">
        <v>0.04</v>
      </c>
      <c r="W144" s="15">
        <f t="shared" si="2"/>
        <v>16416</v>
      </c>
      <c r="X144" s="15">
        <f>Table1[[#This Row],[Sub Total]]-Table1[[#This Row],[Discount Rp]]</f>
        <v>393984</v>
      </c>
      <c r="Y144" s="15">
        <f ca="1">OFFSET(Helper!$C$3,MATCH(Data!$N$4:$N$1003,Helper!$C$4:$C$9,0),MATCH(Data!$O$4:$O$1003,Helper!$D$3:$F$3,0))</f>
        <v>15000</v>
      </c>
      <c r="Z144" s="16">
        <f ca="1">Table1[[#This Row],[Order Total]]+Table1[[#This Row],[Shipping Cost]]</f>
        <v>408984</v>
      </c>
    </row>
    <row r="145" spans="1:26" ht="15.75" customHeight="1" x14ac:dyDescent="0.3">
      <c r="A145" s="9" t="s">
        <v>516</v>
      </c>
      <c r="B145" s="18">
        <v>42727</v>
      </c>
      <c r="C145" s="10">
        <f>YEAR(Table1[[#This Row],[Order Date]])</f>
        <v>2016</v>
      </c>
      <c r="D145" s="10" t="s">
        <v>517</v>
      </c>
      <c r="E145" s="10" t="s">
        <v>518</v>
      </c>
      <c r="F145" s="10" t="s">
        <v>71</v>
      </c>
      <c r="G145" s="10" t="s">
        <v>72</v>
      </c>
      <c r="H145" s="10" t="s">
        <v>112</v>
      </c>
      <c r="I145" s="10" t="str">
        <f>VLOOKUP(Table1[[#This Row],[Account Manager ID]],Table2[[Employee ID]:[Full Name]],4,FALSE)</f>
        <v>Paiman Firgantoro</v>
      </c>
      <c r="J145" s="10" t="str">
        <f>INDEX(Employee!$D$4:$D$47,MATCH($H$4:$H$1003,Employee!$A$4:$A$47,0))</f>
        <v>Paiman Firgantoro</v>
      </c>
      <c r="K145" s="10" t="s">
        <v>107</v>
      </c>
      <c r="L145" s="10" t="s">
        <v>305</v>
      </c>
      <c r="M145" s="10" t="s">
        <v>59</v>
      </c>
      <c r="N145" s="10" t="s">
        <v>67</v>
      </c>
      <c r="O145" s="10" t="s">
        <v>61</v>
      </c>
      <c r="P145" s="10">
        <v>42729</v>
      </c>
      <c r="Q145" s="15">
        <v>26400</v>
      </c>
      <c r="R145" s="15">
        <v>50700</v>
      </c>
      <c r="S145" s="15">
        <f>Table1[[#This Row],[Retail Price]]-Table1[[#This Row],[Cost Price]]</f>
        <v>24300</v>
      </c>
      <c r="T145" s="10">
        <v>27</v>
      </c>
      <c r="U145" s="15">
        <f>Table1[[#This Row],[Profit Margin]]*Table1[[#This Row],[Order Quantity]]</f>
        <v>656100</v>
      </c>
      <c r="V145" s="11">
        <v>0.08</v>
      </c>
      <c r="W145" s="15">
        <f t="shared" si="2"/>
        <v>52488</v>
      </c>
      <c r="X145" s="15">
        <f>Table1[[#This Row],[Sub Total]]-Table1[[#This Row],[Discount Rp]]</f>
        <v>603612</v>
      </c>
      <c r="Y145" s="15">
        <f ca="1">OFFSET(Helper!$C$3,MATCH(Data!$N$4:$N$1003,Helper!$C$4:$C$9,0),MATCH(Data!$O$4:$O$1003,Helper!$D$3:$F$3,0))</f>
        <v>5000</v>
      </c>
      <c r="Z145" s="16">
        <f ca="1">Table1[[#This Row],[Order Total]]+Table1[[#This Row],[Shipping Cost]]</f>
        <v>608612</v>
      </c>
    </row>
    <row r="146" spans="1:26" ht="15.75" customHeight="1" x14ac:dyDescent="0.3">
      <c r="A146" s="9" t="s">
        <v>519</v>
      </c>
      <c r="B146" s="18">
        <v>42729</v>
      </c>
      <c r="C146" s="10">
        <f>YEAR(Table1[[#This Row],[Order Date]])</f>
        <v>2016</v>
      </c>
      <c r="D146" s="10" t="s">
        <v>520</v>
      </c>
      <c r="E146" s="10" t="s">
        <v>521</v>
      </c>
      <c r="F146" s="10" t="s">
        <v>71</v>
      </c>
      <c r="G146" s="10" t="s">
        <v>106</v>
      </c>
      <c r="H146" s="10" t="s">
        <v>88</v>
      </c>
      <c r="I146" s="10" t="str">
        <f>VLOOKUP(Table1[[#This Row],[Account Manager ID]],Table2[[Employee ID]:[Full Name]],4,FALSE)</f>
        <v>Bagiya Sihombing</v>
      </c>
      <c r="J146" s="10" t="str">
        <f>INDEX(Employee!$D$4:$D$47,MATCH($H$4:$H$1003,Employee!$A$4:$A$47,0))</f>
        <v>Bagiya Sihombing</v>
      </c>
      <c r="K146" s="10" t="s">
        <v>74</v>
      </c>
      <c r="L146" s="10" t="s">
        <v>419</v>
      </c>
      <c r="M146" s="10" t="s">
        <v>59</v>
      </c>
      <c r="N146" s="10" t="s">
        <v>60</v>
      </c>
      <c r="O146" s="10" t="s">
        <v>61</v>
      </c>
      <c r="P146" s="10">
        <v>42731</v>
      </c>
      <c r="Q146" s="15">
        <v>66900</v>
      </c>
      <c r="R146" s="15">
        <v>163350</v>
      </c>
      <c r="S146" s="15">
        <f>Table1[[#This Row],[Retail Price]]-Table1[[#This Row],[Cost Price]]</f>
        <v>96450</v>
      </c>
      <c r="T146" s="10">
        <v>37</v>
      </c>
      <c r="U146" s="15">
        <f>Table1[[#This Row],[Profit Margin]]*Table1[[#This Row],[Order Quantity]]</f>
        <v>3568650</v>
      </c>
      <c r="V146" s="11">
        <v>0.1</v>
      </c>
      <c r="W146" s="15">
        <f t="shared" si="2"/>
        <v>356865</v>
      </c>
      <c r="X146" s="15">
        <f>Table1[[#This Row],[Sub Total]]-Table1[[#This Row],[Discount Rp]]</f>
        <v>3211785</v>
      </c>
      <c r="Y146" s="15">
        <f ca="1">OFFSET(Helper!$C$3,MATCH(Data!$N$4:$N$1003,Helper!$C$4:$C$9,0),MATCH(Data!$O$4:$O$1003,Helper!$D$3:$F$3,0))</f>
        <v>15000</v>
      </c>
      <c r="Z146" s="16">
        <f ca="1">Table1[[#This Row],[Order Total]]+Table1[[#This Row],[Shipping Cost]]</f>
        <v>3226785</v>
      </c>
    </row>
    <row r="147" spans="1:26" ht="15.75" customHeight="1" x14ac:dyDescent="0.3">
      <c r="A147" s="9" t="s">
        <v>522</v>
      </c>
      <c r="B147" s="18">
        <v>42729</v>
      </c>
      <c r="C147" s="10">
        <f>YEAR(Table1[[#This Row],[Order Date]])</f>
        <v>2016</v>
      </c>
      <c r="D147" s="10" t="s">
        <v>523</v>
      </c>
      <c r="E147" s="10" t="s">
        <v>222</v>
      </c>
      <c r="F147" s="10" t="s">
        <v>71</v>
      </c>
      <c r="G147" s="10" t="s">
        <v>87</v>
      </c>
      <c r="H147" s="10" t="s">
        <v>155</v>
      </c>
      <c r="I147" s="10" t="str">
        <f>VLOOKUP(Table1[[#This Row],[Account Manager ID]],Table2[[Employee ID]:[Full Name]],4,FALSE)</f>
        <v>Puti Nadine Prakasa</v>
      </c>
      <c r="J147" s="10" t="str">
        <f>INDEX(Employee!$D$4:$D$47,MATCH($H$4:$H$1003,Employee!$A$4:$A$47,0))</f>
        <v>Puti Nadine Prakasa</v>
      </c>
      <c r="K147" s="10" t="s">
        <v>107</v>
      </c>
      <c r="L147" s="10" t="s">
        <v>118</v>
      </c>
      <c r="M147" s="10" t="s">
        <v>59</v>
      </c>
      <c r="N147" s="10" t="s">
        <v>60</v>
      </c>
      <c r="O147" s="10" t="s">
        <v>61</v>
      </c>
      <c r="P147" s="10">
        <v>42732</v>
      </c>
      <c r="Q147" s="15">
        <v>73350</v>
      </c>
      <c r="R147" s="15">
        <v>114600</v>
      </c>
      <c r="S147" s="15">
        <f>Table1[[#This Row],[Retail Price]]-Table1[[#This Row],[Cost Price]]</f>
        <v>41250</v>
      </c>
      <c r="T147" s="10">
        <v>44</v>
      </c>
      <c r="U147" s="15">
        <f>Table1[[#This Row],[Profit Margin]]*Table1[[#This Row],[Order Quantity]]</f>
        <v>1815000</v>
      </c>
      <c r="V147" s="11">
        <v>0.01</v>
      </c>
      <c r="W147" s="15">
        <f t="shared" si="2"/>
        <v>18150</v>
      </c>
      <c r="X147" s="15">
        <f>Table1[[#This Row],[Sub Total]]-Table1[[#This Row],[Discount Rp]]</f>
        <v>1796850</v>
      </c>
      <c r="Y147" s="15">
        <f ca="1">OFFSET(Helper!$C$3,MATCH(Data!$N$4:$N$1003,Helper!$C$4:$C$9,0),MATCH(Data!$O$4:$O$1003,Helper!$D$3:$F$3,0))</f>
        <v>15000</v>
      </c>
      <c r="Z147" s="16">
        <f ca="1">Table1[[#This Row],[Order Total]]+Table1[[#This Row],[Shipping Cost]]</f>
        <v>1811850</v>
      </c>
    </row>
    <row r="148" spans="1:26" ht="15.75" customHeight="1" x14ac:dyDescent="0.3">
      <c r="A148" s="9" t="s">
        <v>524</v>
      </c>
      <c r="B148" s="18">
        <v>42729</v>
      </c>
      <c r="C148" s="10">
        <f>YEAR(Table1[[#This Row],[Order Date]])</f>
        <v>2016</v>
      </c>
      <c r="D148" s="10" t="s">
        <v>525</v>
      </c>
      <c r="E148" s="10" t="s">
        <v>364</v>
      </c>
      <c r="F148" s="10" t="s">
        <v>71</v>
      </c>
      <c r="G148" s="10" t="s">
        <v>72</v>
      </c>
      <c r="H148" s="10" t="s">
        <v>97</v>
      </c>
      <c r="I148" s="10" t="str">
        <f>VLOOKUP(Table1[[#This Row],[Account Manager ID]],Table2[[Employee ID]:[Full Name]],4,FALSE)</f>
        <v>Violet Mentari</v>
      </c>
      <c r="J148" s="10" t="str">
        <f>INDEX(Employee!$D$4:$D$47,MATCH($H$4:$H$1003,Employee!$A$4:$A$47,0))</f>
        <v>Violet Mentari</v>
      </c>
      <c r="K148" s="10" t="s">
        <v>117</v>
      </c>
      <c r="L148" s="10" t="s">
        <v>526</v>
      </c>
      <c r="M148" s="10" t="s">
        <v>81</v>
      </c>
      <c r="N148" s="10" t="s">
        <v>60</v>
      </c>
      <c r="O148" s="10" t="s">
        <v>61</v>
      </c>
      <c r="P148" s="10">
        <v>42731</v>
      </c>
      <c r="Q148" s="15">
        <v>631650</v>
      </c>
      <c r="R148" s="15">
        <v>1214700</v>
      </c>
      <c r="S148" s="15">
        <f>Table1[[#This Row],[Retail Price]]-Table1[[#This Row],[Cost Price]]</f>
        <v>583050</v>
      </c>
      <c r="T148" s="10">
        <v>34</v>
      </c>
      <c r="U148" s="15">
        <f>Table1[[#This Row],[Profit Margin]]*Table1[[#This Row],[Order Quantity]]</f>
        <v>19823700</v>
      </c>
      <c r="V148" s="11">
        <v>7.0000000000000007E-2</v>
      </c>
      <c r="W148" s="15">
        <f t="shared" si="2"/>
        <v>1387659.0000000002</v>
      </c>
      <c r="X148" s="15">
        <f>Table1[[#This Row],[Sub Total]]-Table1[[#This Row],[Discount Rp]]</f>
        <v>18436041</v>
      </c>
      <c r="Y148" s="15">
        <f ca="1">OFFSET(Helper!$C$3,MATCH(Data!$N$4:$N$1003,Helper!$C$4:$C$9,0),MATCH(Data!$O$4:$O$1003,Helper!$D$3:$F$3,0))</f>
        <v>15000</v>
      </c>
      <c r="Z148" s="16">
        <f ca="1">Table1[[#This Row],[Order Total]]+Table1[[#This Row],[Shipping Cost]]</f>
        <v>18451041</v>
      </c>
    </row>
    <row r="149" spans="1:26" ht="15.75" customHeight="1" x14ac:dyDescent="0.3">
      <c r="A149" s="9" t="s">
        <v>527</v>
      </c>
      <c r="B149" s="18">
        <v>42731</v>
      </c>
      <c r="C149" s="10">
        <f>YEAR(Table1[[#This Row],[Order Date]])</f>
        <v>2016</v>
      </c>
      <c r="D149" s="10" t="s">
        <v>528</v>
      </c>
      <c r="E149" s="10" t="s">
        <v>529</v>
      </c>
      <c r="F149" s="10" t="s">
        <v>261</v>
      </c>
      <c r="G149" s="10" t="s">
        <v>55</v>
      </c>
      <c r="H149" s="10" t="s">
        <v>316</v>
      </c>
      <c r="I149" s="10" t="str">
        <f>VLOOKUP(Table1[[#This Row],[Account Manager ID]],Table2[[Employee ID]:[Full Name]],4,FALSE)</f>
        <v>Sari Winarno</v>
      </c>
      <c r="J149" s="10" t="str">
        <f>INDEX(Employee!$D$4:$D$47,MATCH($H$4:$H$1003,Employee!$A$4:$A$47,0))</f>
        <v>Sari Winarno</v>
      </c>
      <c r="K149" s="10" t="s">
        <v>92</v>
      </c>
      <c r="L149" s="10" t="s">
        <v>530</v>
      </c>
      <c r="M149" s="10" t="s">
        <v>59</v>
      </c>
      <c r="N149" s="10" t="s">
        <v>136</v>
      </c>
      <c r="O149" s="10" t="s">
        <v>76</v>
      </c>
      <c r="P149" s="10">
        <v>42735</v>
      </c>
      <c r="Q149" s="15">
        <v>37500</v>
      </c>
      <c r="R149" s="15">
        <v>85200</v>
      </c>
      <c r="S149" s="15">
        <f>Table1[[#This Row],[Retail Price]]-Table1[[#This Row],[Cost Price]]</f>
        <v>47700</v>
      </c>
      <c r="T149" s="10">
        <v>46</v>
      </c>
      <c r="U149" s="15">
        <f>Table1[[#This Row],[Profit Margin]]*Table1[[#This Row],[Order Quantity]]</f>
        <v>2194200</v>
      </c>
      <c r="V149" s="11">
        <v>0.1</v>
      </c>
      <c r="W149" s="15">
        <f t="shared" si="2"/>
        <v>219420</v>
      </c>
      <c r="X149" s="15">
        <f>Table1[[#This Row],[Sub Total]]-Table1[[#This Row],[Discount Rp]]</f>
        <v>1974780</v>
      </c>
      <c r="Y149" s="15">
        <f ca="1">OFFSET(Helper!$C$3,MATCH(Data!$N$4:$N$1003,Helper!$C$4:$C$9,0),MATCH(Data!$O$4:$O$1003,Helper!$D$3:$F$3,0))</f>
        <v>20000</v>
      </c>
      <c r="Z149" s="16">
        <f ca="1">Table1[[#This Row],[Order Total]]+Table1[[#This Row],[Shipping Cost]]</f>
        <v>1994780</v>
      </c>
    </row>
    <row r="150" spans="1:26" ht="15.75" customHeight="1" x14ac:dyDescent="0.3">
      <c r="A150" s="9" t="s">
        <v>531</v>
      </c>
      <c r="B150" s="18">
        <v>42734</v>
      </c>
      <c r="C150" s="10">
        <f>YEAR(Table1[[#This Row],[Order Date]])</f>
        <v>2016</v>
      </c>
      <c r="D150" s="10" t="s">
        <v>532</v>
      </c>
      <c r="E150" s="10" t="s">
        <v>145</v>
      </c>
      <c r="F150" s="10" t="s">
        <v>71</v>
      </c>
      <c r="G150" s="10" t="s">
        <v>72</v>
      </c>
      <c r="H150" s="10" t="s">
        <v>146</v>
      </c>
      <c r="I150" s="10" t="str">
        <f>VLOOKUP(Table1[[#This Row],[Account Manager ID]],Table2[[Employee ID]:[Full Name]],4,FALSE)</f>
        <v>Kenari Rajasa</v>
      </c>
      <c r="J150" s="10" t="str">
        <f>INDEX(Employee!$D$4:$D$47,MATCH($H$4:$H$1003,Employee!$A$4:$A$47,0))</f>
        <v>Kenari Rajasa</v>
      </c>
      <c r="K150" s="10" t="s">
        <v>57</v>
      </c>
      <c r="L150" s="10" t="s">
        <v>465</v>
      </c>
      <c r="M150" s="10" t="s">
        <v>59</v>
      </c>
      <c r="N150" s="10" t="s">
        <v>60</v>
      </c>
      <c r="O150" s="10" t="s">
        <v>61</v>
      </c>
      <c r="P150" s="10">
        <v>42736</v>
      </c>
      <c r="Q150" s="15">
        <v>52500</v>
      </c>
      <c r="R150" s="15">
        <v>86100</v>
      </c>
      <c r="S150" s="15">
        <f>Table1[[#This Row],[Retail Price]]-Table1[[#This Row],[Cost Price]]</f>
        <v>33600</v>
      </c>
      <c r="T150" s="10">
        <v>3</v>
      </c>
      <c r="U150" s="15">
        <f>Table1[[#This Row],[Profit Margin]]*Table1[[#This Row],[Order Quantity]]</f>
        <v>100800</v>
      </c>
      <c r="V150" s="11">
        <v>0.08</v>
      </c>
      <c r="W150" s="15">
        <f t="shared" si="2"/>
        <v>8064</v>
      </c>
      <c r="X150" s="15">
        <f>Table1[[#This Row],[Sub Total]]-Table1[[#This Row],[Discount Rp]]</f>
        <v>92736</v>
      </c>
      <c r="Y150" s="15">
        <f ca="1">OFFSET(Helper!$C$3,MATCH(Data!$N$4:$N$1003,Helper!$C$4:$C$9,0),MATCH(Data!$O$4:$O$1003,Helper!$D$3:$F$3,0))</f>
        <v>15000</v>
      </c>
      <c r="Z150" s="16">
        <f ca="1">Table1[[#This Row],[Order Total]]+Table1[[#This Row],[Shipping Cost]]</f>
        <v>107736</v>
      </c>
    </row>
    <row r="151" spans="1:26" ht="15.75" customHeight="1" x14ac:dyDescent="0.3">
      <c r="A151" s="9" t="s">
        <v>533</v>
      </c>
      <c r="B151" s="18">
        <v>42735</v>
      </c>
      <c r="C151" s="10">
        <f>YEAR(Table1[[#This Row],[Order Date]])</f>
        <v>2016</v>
      </c>
      <c r="D151" s="10" t="s">
        <v>534</v>
      </c>
      <c r="E151" s="10" t="s">
        <v>70</v>
      </c>
      <c r="F151" s="10" t="s">
        <v>71</v>
      </c>
      <c r="G151" s="10" t="s">
        <v>55</v>
      </c>
      <c r="H151" s="10" t="s">
        <v>73</v>
      </c>
      <c r="I151" s="10" t="str">
        <f>VLOOKUP(Table1[[#This Row],[Account Manager ID]],Table2[[Employee ID]:[Full Name]],4,FALSE)</f>
        <v>Cinthia Gunawan</v>
      </c>
      <c r="J151" s="10" t="str">
        <f>INDEX(Employee!$D$4:$D$47,MATCH($H$4:$H$1003,Employee!$A$4:$A$47,0))</f>
        <v>Cinthia Gunawan</v>
      </c>
      <c r="K151" s="10" t="s">
        <v>92</v>
      </c>
      <c r="L151" s="10" t="s">
        <v>234</v>
      </c>
      <c r="M151" s="10" t="s">
        <v>59</v>
      </c>
      <c r="N151" s="10" t="s">
        <v>60</v>
      </c>
      <c r="O151" s="10" t="s">
        <v>76</v>
      </c>
      <c r="P151" s="10">
        <v>42742</v>
      </c>
      <c r="Q151" s="15">
        <v>208200</v>
      </c>
      <c r="R151" s="15">
        <v>335700</v>
      </c>
      <c r="S151" s="15">
        <f>Table1[[#This Row],[Retail Price]]-Table1[[#This Row],[Cost Price]]</f>
        <v>127500</v>
      </c>
      <c r="T151" s="10">
        <v>16</v>
      </c>
      <c r="U151" s="15">
        <f>Table1[[#This Row],[Profit Margin]]*Table1[[#This Row],[Order Quantity]]</f>
        <v>2040000</v>
      </c>
      <c r="V151" s="11">
        <v>0</v>
      </c>
      <c r="W151" s="15">
        <f t="shared" si="2"/>
        <v>0</v>
      </c>
      <c r="X151" s="15">
        <f>Table1[[#This Row],[Sub Total]]-Table1[[#This Row],[Discount Rp]]</f>
        <v>2040000</v>
      </c>
      <c r="Y151" s="15">
        <f ca="1">OFFSET(Helper!$C$3,MATCH(Data!$N$4:$N$1003,Helper!$C$4:$C$9,0),MATCH(Data!$O$4:$O$1003,Helper!$D$3:$F$3,0))</f>
        <v>30000</v>
      </c>
      <c r="Z151" s="16">
        <f ca="1">Table1[[#This Row],[Order Total]]+Table1[[#This Row],[Shipping Cost]]</f>
        <v>2070000</v>
      </c>
    </row>
    <row r="152" spans="1:26" ht="15.75" customHeight="1" x14ac:dyDescent="0.3">
      <c r="A152" s="9" t="s">
        <v>535</v>
      </c>
      <c r="B152" s="18">
        <v>42737</v>
      </c>
      <c r="C152" s="10">
        <f>YEAR(Table1[[#This Row],[Order Date]])</f>
        <v>2017</v>
      </c>
      <c r="D152" s="10" t="s">
        <v>536</v>
      </c>
      <c r="E152" s="10" t="s">
        <v>319</v>
      </c>
      <c r="F152" s="10" t="s">
        <v>71</v>
      </c>
      <c r="G152" s="10" t="s">
        <v>72</v>
      </c>
      <c r="H152" s="10" t="s">
        <v>304</v>
      </c>
      <c r="I152" s="10" t="str">
        <f>VLOOKUP(Table1[[#This Row],[Account Manager ID]],Table2[[Employee ID]:[Full Name]],4,FALSE)</f>
        <v>Sutan Tirtayasa Wasita</v>
      </c>
      <c r="J152" s="10" t="str">
        <f>INDEX(Employee!$D$4:$D$47,MATCH($H$4:$H$1003,Employee!$A$4:$A$47,0))</f>
        <v>Sutan Tirtayasa Wasita</v>
      </c>
      <c r="K152" s="10" t="s">
        <v>57</v>
      </c>
      <c r="L152" s="10" t="s">
        <v>126</v>
      </c>
      <c r="M152" s="10" t="s">
        <v>59</v>
      </c>
      <c r="N152" s="10" t="s">
        <v>60</v>
      </c>
      <c r="O152" s="10" t="s">
        <v>61</v>
      </c>
      <c r="P152" s="10">
        <v>42738</v>
      </c>
      <c r="Q152" s="15">
        <v>540300</v>
      </c>
      <c r="R152" s="15">
        <v>871500</v>
      </c>
      <c r="S152" s="15">
        <f>Table1[[#This Row],[Retail Price]]-Table1[[#This Row],[Cost Price]]</f>
        <v>331200</v>
      </c>
      <c r="T152" s="10">
        <v>7</v>
      </c>
      <c r="U152" s="15">
        <f>Table1[[#This Row],[Profit Margin]]*Table1[[#This Row],[Order Quantity]]</f>
        <v>2318400</v>
      </c>
      <c r="V152" s="11">
        <v>0.1</v>
      </c>
      <c r="W152" s="15">
        <f t="shared" si="2"/>
        <v>231840</v>
      </c>
      <c r="X152" s="15">
        <f>Table1[[#This Row],[Sub Total]]-Table1[[#This Row],[Discount Rp]]</f>
        <v>2086560</v>
      </c>
      <c r="Y152" s="15">
        <f ca="1">OFFSET(Helper!$C$3,MATCH(Data!$N$4:$N$1003,Helper!$C$4:$C$9,0),MATCH(Data!$O$4:$O$1003,Helper!$D$3:$F$3,0))</f>
        <v>15000</v>
      </c>
      <c r="Z152" s="16">
        <f ca="1">Table1[[#This Row],[Order Total]]+Table1[[#This Row],[Shipping Cost]]</f>
        <v>2101560</v>
      </c>
    </row>
    <row r="153" spans="1:26" ht="15.75" customHeight="1" x14ac:dyDescent="0.3">
      <c r="A153" s="9" t="s">
        <v>537</v>
      </c>
      <c r="B153" s="18">
        <v>42739</v>
      </c>
      <c r="C153" s="10">
        <f>YEAR(Table1[[#This Row],[Order Date]])</f>
        <v>2017</v>
      </c>
      <c r="D153" s="10" t="s">
        <v>538</v>
      </c>
      <c r="E153" s="10" t="s">
        <v>539</v>
      </c>
      <c r="F153" s="10" t="s">
        <v>71</v>
      </c>
      <c r="G153" s="10" t="s">
        <v>55</v>
      </c>
      <c r="H153" s="10" t="s">
        <v>146</v>
      </c>
      <c r="I153" s="10" t="str">
        <f>VLOOKUP(Table1[[#This Row],[Account Manager ID]],Table2[[Employee ID]:[Full Name]],4,FALSE)</f>
        <v>Kenari Rajasa</v>
      </c>
      <c r="J153" s="10" t="str">
        <f>INDEX(Employee!$D$4:$D$47,MATCH($H$4:$H$1003,Employee!$A$4:$A$47,0))</f>
        <v>Kenari Rajasa</v>
      </c>
      <c r="K153" s="10" t="s">
        <v>74</v>
      </c>
      <c r="L153" s="10" t="s">
        <v>166</v>
      </c>
      <c r="M153" s="10" t="s">
        <v>59</v>
      </c>
      <c r="N153" s="10" t="s">
        <v>136</v>
      </c>
      <c r="O153" s="10" t="s">
        <v>61</v>
      </c>
      <c r="P153" s="10">
        <v>42741</v>
      </c>
      <c r="Q153" s="15">
        <v>14100</v>
      </c>
      <c r="R153" s="15">
        <v>31200</v>
      </c>
      <c r="S153" s="15">
        <f>Table1[[#This Row],[Retail Price]]-Table1[[#This Row],[Cost Price]]</f>
        <v>17100</v>
      </c>
      <c r="T153" s="10">
        <v>43</v>
      </c>
      <c r="U153" s="15">
        <f>Table1[[#This Row],[Profit Margin]]*Table1[[#This Row],[Order Quantity]]</f>
        <v>735300</v>
      </c>
      <c r="V153" s="11">
        <v>0.05</v>
      </c>
      <c r="W153" s="15">
        <f t="shared" si="2"/>
        <v>36765</v>
      </c>
      <c r="X153" s="15">
        <f>Table1[[#This Row],[Sub Total]]-Table1[[#This Row],[Discount Rp]]</f>
        <v>698535</v>
      </c>
      <c r="Y153" s="15">
        <f ca="1">OFFSET(Helper!$C$3,MATCH(Data!$N$4:$N$1003,Helper!$C$4:$C$9,0),MATCH(Data!$O$4:$O$1003,Helper!$D$3:$F$3,0))</f>
        <v>10000</v>
      </c>
      <c r="Z153" s="16">
        <f ca="1">Table1[[#This Row],[Order Total]]+Table1[[#This Row],[Shipping Cost]]</f>
        <v>708535</v>
      </c>
    </row>
    <row r="154" spans="1:26" ht="15.75" customHeight="1" x14ac:dyDescent="0.3">
      <c r="A154" s="9" t="s">
        <v>540</v>
      </c>
      <c r="B154" s="18">
        <v>42740</v>
      </c>
      <c r="C154" s="10">
        <f>YEAR(Table1[[#This Row],[Order Date]])</f>
        <v>2017</v>
      </c>
      <c r="D154" s="10" t="s">
        <v>541</v>
      </c>
      <c r="E154" s="10" t="s">
        <v>542</v>
      </c>
      <c r="F154" s="10" t="s">
        <v>71</v>
      </c>
      <c r="G154" s="10" t="s">
        <v>87</v>
      </c>
      <c r="H154" s="10" t="s">
        <v>134</v>
      </c>
      <c r="I154" s="10" t="str">
        <f>VLOOKUP(Table1[[#This Row],[Account Manager ID]],Table2[[Employee ID]:[Full Name]],4,FALSE)</f>
        <v>Darmanto Laksita</v>
      </c>
      <c r="J154" s="10" t="str">
        <f>INDEX(Employee!$D$4:$D$47,MATCH($H$4:$H$1003,Employee!$A$4:$A$47,0))</f>
        <v>Darmanto Laksita</v>
      </c>
      <c r="K154" s="10" t="s">
        <v>92</v>
      </c>
      <c r="L154" s="10" t="s">
        <v>246</v>
      </c>
      <c r="M154" s="10" t="s">
        <v>81</v>
      </c>
      <c r="N154" s="10" t="s">
        <v>227</v>
      </c>
      <c r="O154" s="10" t="s">
        <v>61</v>
      </c>
      <c r="P154" s="10">
        <v>42747</v>
      </c>
      <c r="Q154" s="15">
        <v>148650</v>
      </c>
      <c r="R154" s="15">
        <v>239850</v>
      </c>
      <c r="S154" s="15">
        <f>Table1[[#This Row],[Retail Price]]-Table1[[#This Row],[Cost Price]]</f>
        <v>91200</v>
      </c>
      <c r="T154" s="10">
        <v>27</v>
      </c>
      <c r="U154" s="15">
        <f>Table1[[#This Row],[Profit Margin]]*Table1[[#This Row],[Order Quantity]]</f>
        <v>2462400</v>
      </c>
      <c r="V154" s="11">
        <v>0.01</v>
      </c>
      <c r="W154" s="15">
        <f t="shared" si="2"/>
        <v>24624</v>
      </c>
      <c r="X154" s="15">
        <f>Table1[[#This Row],[Sub Total]]-Table1[[#This Row],[Discount Rp]]</f>
        <v>2437776</v>
      </c>
      <c r="Y154" s="15">
        <f ca="1">OFFSET(Helper!$C$3,MATCH(Data!$N$4:$N$1003,Helper!$C$4:$C$9,0),MATCH(Data!$O$4:$O$1003,Helper!$D$3:$F$3,0))</f>
        <v>20000</v>
      </c>
      <c r="Z154" s="16">
        <f ca="1">Table1[[#This Row],[Order Total]]+Table1[[#This Row],[Shipping Cost]]</f>
        <v>2457776</v>
      </c>
    </row>
    <row r="155" spans="1:26" ht="15.75" customHeight="1" x14ac:dyDescent="0.3">
      <c r="A155" s="9" t="s">
        <v>543</v>
      </c>
      <c r="B155" s="18">
        <v>42743</v>
      </c>
      <c r="C155" s="10">
        <f>YEAR(Table1[[#This Row],[Order Date]])</f>
        <v>2017</v>
      </c>
      <c r="D155" s="10" t="s">
        <v>347</v>
      </c>
      <c r="E155" s="10" t="s">
        <v>348</v>
      </c>
      <c r="F155" s="10" t="s">
        <v>261</v>
      </c>
      <c r="G155" s="10" t="s">
        <v>55</v>
      </c>
      <c r="H155" s="10" t="s">
        <v>146</v>
      </c>
      <c r="I155" s="10" t="str">
        <f>VLOOKUP(Table1[[#This Row],[Account Manager ID]],Table2[[Employee ID]:[Full Name]],4,FALSE)</f>
        <v>Kenari Rajasa</v>
      </c>
      <c r="J155" s="10" t="str">
        <f>INDEX(Employee!$D$4:$D$47,MATCH($H$4:$H$1003,Employee!$A$4:$A$47,0))</f>
        <v>Kenari Rajasa</v>
      </c>
      <c r="K155" s="10" t="s">
        <v>117</v>
      </c>
      <c r="L155" s="10" t="s">
        <v>510</v>
      </c>
      <c r="M155" s="10" t="s">
        <v>59</v>
      </c>
      <c r="N155" s="10" t="s">
        <v>67</v>
      </c>
      <c r="O155" s="10" t="s">
        <v>61</v>
      </c>
      <c r="P155" s="10">
        <v>42745</v>
      </c>
      <c r="Q155" s="15">
        <v>49800</v>
      </c>
      <c r="R155" s="15">
        <v>77700</v>
      </c>
      <c r="S155" s="15">
        <f>Table1[[#This Row],[Retail Price]]-Table1[[#This Row],[Cost Price]]</f>
        <v>27900</v>
      </c>
      <c r="T155" s="10">
        <v>23</v>
      </c>
      <c r="U155" s="15">
        <f>Table1[[#This Row],[Profit Margin]]*Table1[[#This Row],[Order Quantity]]</f>
        <v>641700</v>
      </c>
      <c r="V155" s="11">
        <v>0.05</v>
      </c>
      <c r="W155" s="15">
        <f t="shared" si="2"/>
        <v>32085</v>
      </c>
      <c r="X155" s="15">
        <f>Table1[[#This Row],[Sub Total]]-Table1[[#This Row],[Discount Rp]]</f>
        <v>609615</v>
      </c>
      <c r="Y155" s="15">
        <f ca="1">OFFSET(Helper!$C$3,MATCH(Data!$N$4:$N$1003,Helper!$C$4:$C$9,0),MATCH(Data!$O$4:$O$1003,Helper!$D$3:$F$3,0))</f>
        <v>5000</v>
      </c>
      <c r="Z155" s="16">
        <f ca="1">Table1[[#This Row],[Order Total]]+Table1[[#This Row],[Shipping Cost]]</f>
        <v>614615</v>
      </c>
    </row>
    <row r="156" spans="1:26" ht="15.75" customHeight="1" x14ac:dyDescent="0.3">
      <c r="A156" s="9" t="s">
        <v>544</v>
      </c>
      <c r="B156" s="18">
        <v>42743</v>
      </c>
      <c r="C156" s="10">
        <f>YEAR(Table1[[#This Row],[Order Date]])</f>
        <v>2017</v>
      </c>
      <c r="D156" s="10" t="s">
        <v>545</v>
      </c>
      <c r="E156" s="10" t="s">
        <v>180</v>
      </c>
      <c r="F156" s="10" t="s">
        <v>54</v>
      </c>
      <c r="G156" s="10" t="s">
        <v>55</v>
      </c>
      <c r="H156" s="10" t="s">
        <v>65</v>
      </c>
      <c r="I156" s="10" t="str">
        <f>VLOOKUP(Table1[[#This Row],[Account Manager ID]],Table2[[Employee ID]:[Full Name]],4,FALSE)</f>
        <v>Laras Nuraini</v>
      </c>
      <c r="J156" s="10" t="str">
        <f>INDEX(Employee!$D$4:$D$47,MATCH($H$4:$H$1003,Employee!$A$4:$A$47,0))</f>
        <v>Laras Nuraini</v>
      </c>
      <c r="K156" s="10" t="s">
        <v>57</v>
      </c>
      <c r="L156" s="10" t="s">
        <v>546</v>
      </c>
      <c r="M156" s="10" t="s">
        <v>59</v>
      </c>
      <c r="N156" s="10" t="s">
        <v>60</v>
      </c>
      <c r="O156" s="10" t="s">
        <v>61</v>
      </c>
      <c r="P156" s="10">
        <v>42745</v>
      </c>
      <c r="Q156" s="15">
        <v>224250</v>
      </c>
      <c r="R156" s="15">
        <v>521399.99999999994</v>
      </c>
      <c r="S156" s="15">
        <f>Table1[[#This Row],[Retail Price]]-Table1[[#This Row],[Cost Price]]</f>
        <v>297149.99999999994</v>
      </c>
      <c r="T156" s="10">
        <v>15</v>
      </c>
      <c r="U156" s="15">
        <f>Table1[[#This Row],[Profit Margin]]*Table1[[#This Row],[Order Quantity]]</f>
        <v>4457249.9999999991</v>
      </c>
      <c r="V156" s="11">
        <v>0.09</v>
      </c>
      <c r="W156" s="15">
        <f t="shared" si="2"/>
        <v>401152.49999999988</v>
      </c>
      <c r="X156" s="15">
        <f>Table1[[#This Row],[Sub Total]]-Table1[[#This Row],[Discount Rp]]</f>
        <v>4056097.4999999991</v>
      </c>
      <c r="Y156" s="15">
        <f ca="1">OFFSET(Helper!$C$3,MATCH(Data!$N$4:$N$1003,Helper!$C$4:$C$9,0),MATCH(Data!$O$4:$O$1003,Helper!$D$3:$F$3,0))</f>
        <v>15000</v>
      </c>
      <c r="Z156" s="16">
        <f ca="1">Table1[[#This Row],[Order Total]]+Table1[[#This Row],[Shipping Cost]]</f>
        <v>4071097.4999999991</v>
      </c>
    </row>
    <row r="157" spans="1:26" ht="15.75" customHeight="1" x14ac:dyDescent="0.3">
      <c r="A157" s="9" t="s">
        <v>547</v>
      </c>
      <c r="B157" s="18">
        <v>42744</v>
      </c>
      <c r="C157" s="10">
        <f>YEAR(Table1[[#This Row],[Order Date]])</f>
        <v>2017</v>
      </c>
      <c r="D157" s="10" t="s">
        <v>140</v>
      </c>
      <c r="E157" s="10" t="s">
        <v>141</v>
      </c>
      <c r="F157" s="10" t="s">
        <v>71</v>
      </c>
      <c r="G157" s="10" t="s">
        <v>72</v>
      </c>
      <c r="H157" s="10" t="s">
        <v>112</v>
      </c>
      <c r="I157" s="10" t="str">
        <f>VLOOKUP(Table1[[#This Row],[Account Manager ID]],Table2[[Employee ID]:[Full Name]],4,FALSE)</f>
        <v>Paiman Firgantoro</v>
      </c>
      <c r="J157" s="10" t="str">
        <f>INDEX(Employee!$D$4:$D$47,MATCH($H$4:$H$1003,Employee!$A$4:$A$47,0))</f>
        <v>Paiman Firgantoro</v>
      </c>
      <c r="K157" s="10" t="s">
        <v>92</v>
      </c>
      <c r="L157" s="10" t="s">
        <v>548</v>
      </c>
      <c r="M157" s="10" t="s">
        <v>59</v>
      </c>
      <c r="N157" s="10" t="s">
        <v>60</v>
      </c>
      <c r="O157" s="10" t="s">
        <v>61</v>
      </c>
      <c r="P157" s="10">
        <v>42749</v>
      </c>
      <c r="Q157" s="15">
        <v>332700</v>
      </c>
      <c r="R157" s="15">
        <v>811500</v>
      </c>
      <c r="S157" s="15">
        <f>Table1[[#This Row],[Retail Price]]-Table1[[#This Row],[Cost Price]]</f>
        <v>478800</v>
      </c>
      <c r="T157" s="10">
        <v>19</v>
      </c>
      <c r="U157" s="15">
        <f>Table1[[#This Row],[Profit Margin]]*Table1[[#This Row],[Order Quantity]]</f>
        <v>9097200</v>
      </c>
      <c r="V157" s="11">
        <v>0.1</v>
      </c>
      <c r="W157" s="15">
        <f t="shared" si="2"/>
        <v>909720</v>
      </c>
      <c r="X157" s="15">
        <f>Table1[[#This Row],[Sub Total]]-Table1[[#This Row],[Discount Rp]]</f>
        <v>8187480</v>
      </c>
      <c r="Y157" s="15">
        <f ca="1">OFFSET(Helper!$C$3,MATCH(Data!$N$4:$N$1003,Helper!$C$4:$C$9,0),MATCH(Data!$O$4:$O$1003,Helper!$D$3:$F$3,0))</f>
        <v>15000</v>
      </c>
      <c r="Z157" s="16">
        <f ca="1">Table1[[#This Row],[Order Total]]+Table1[[#This Row],[Shipping Cost]]</f>
        <v>8202480</v>
      </c>
    </row>
    <row r="158" spans="1:26" ht="15.75" customHeight="1" x14ac:dyDescent="0.3">
      <c r="A158" s="9" t="s">
        <v>549</v>
      </c>
      <c r="B158" s="18">
        <v>42747</v>
      </c>
      <c r="C158" s="10">
        <f>YEAR(Table1[[#This Row],[Order Date]])</f>
        <v>2017</v>
      </c>
      <c r="D158" s="10" t="s">
        <v>550</v>
      </c>
      <c r="E158" s="10" t="s">
        <v>551</v>
      </c>
      <c r="F158" s="10" t="s">
        <v>71</v>
      </c>
      <c r="G158" s="10" t="s">
        <v>72</v>
      </c>
      <c r="H158" s="10" t="s">
        <v>112</v>
      </c>
      <c r="I158" s="10" t="str">
        <f>VLOOKUP(Table1[[#This Row],[Account Manager ID]],Table2[[Employee ID]:[Full Name]],4,FALSE)</f>
        <v>Paiman Firgantoro</v>
      </c>
      <c r="J158" s="10" t="str">
        <f>INDEX(Employee!$D$4:$D$47,MATCH($H$4:$H$1003,Employee!$A$4:$A$47,0))</f>
        <v>Paiman Firgantoro</v>
      </c>
      <c r="K158" s="10" t="s">
        <v>107</v>
      </c>
      <c r="L158" s="10" t="s">
        <v>510</v>
      </c>
      <c r="M158" s="10" t="s">
        <v>59</v>
      </c>
      <c r="N158" s="10" t="s">
        <v>67</v>
      </c>
      <c r="O158" s="10" t="s">
        <v>61</v>
      </c>
      <c r="P158" s="10">
        <v>42749</v>
      </c>
      <c r="Q158" s="15">
        <v>49800</v>
      </c>
      <c r="R158" s="15">
        <v>77700</v>
      </c>
      <c r="S158" s="15">
        <f>Table1[[#This Row],[Retail Price]]-Table1[[#This Row],[Cost Price]]</f>
        <v>27900</v>
      </c>
      <c r="T158" s="10">
        <v>10</v>
      </c>
      <c r="U158" s="15">
        <f>Table1[[#This Row],[Profit Margin]]*Table1[[#This Row],[Order Quantity]]</f>
        <v>279000</v>
      </c>
      <c r="V158" s="11">
        <v>0.01</v>
      </c>
      <c r="W158" s="15">
        <f t="shared" si="2"/>
        <v>2790</v>
      </c>
      <c r="X158" s="15">
        <f>Table1[[#This Row],[Sub Total]]-Table1[[#This Row],[Discount Rp]]</f>
        <v>276210</v>
      </c>
      <c r="Y158" s="15">
        <f ca="1">OFFSET(Helper!$C$3,MATCH(Data!$N$4:$N$1003,Helper!$C$4:$C$9,0),MATCH(Data!$O$4:$O$1003,Helper!$D$3:$F$3,0))</f>
        <v>5000</v>
      </c>
      <c r="Z158" s="16">
        <f ca="1">Table1[[#This Row],[Order Total]]+Table1[[#This Row],[Shipping Cost]]</f>
        <v>281210</v>
      </c>
    </row>
    <row r="159" spans="1:26" ht="15.75" customHeight="1" x14ac:dyDescent="0.3">
      <c r="A159" s="9" t="s">
        <v>552</v>
      </c>
      <c r="B159" s="18">
        <v>42748</v>
      </c>
      <c r="C159" s="10">
        <f>YEAR(Table1[[#This Row],[Order Date]])</f>
        <v>2017</v>
      </c>
      <c r="D159" s="10" t="s">
        <v>553</v>
      </c>
      <c r="E159" s="10" t="s">
        <v>180</v>
      </c>
      <c r="F159" s="10" t="s">
        <v>54</v>
      </c>
      <c r="G159" s="10" t="s">
        <v>72</v>
      </c>
      <c r="H159" s="10" t="s">
        <v>65</v>
      </c>
      <c r="I159" s="10" t="str">
        <f>VLOOKUP(Table1[[#This Row],[Account Manager ID]],Table2[[Employee ID]:[Full Name]],4,FALSE)</f>
        <v>Laras Nuraini</v>
      </c>
      <c r="J159" s="10" t="str">
        <f>INDEX(Employee!$D$4:$D$47,MATCH($H$4:$H$1003,Employee!$A$4:$A$47,0))</f>
        <v>Laras Nuraini</v>
      </c>
      <c r="K159" s="10" t="s">
        <v>117</v>
      </c>
      <c r="L159" s="10" t="s">
        <v>300</v>
      </c>
      <c r="M159" s="10" t="s">
        <v>81</v>
      </c>
      <c r="N159" s="10" t="s">
        <v>136</v>
      </c>
      <c r="O159" s="10" t="s">
        <v>76</v>
      </c>
      <c r="P159" s="10">
        <v>42749</v>
      </c>
      <c r="Q159" s="15">
        <v>302700</v>
      </c>
      <c r="R159" s="15">
        <v>531150</v>
      </c>
      <c r="S159" s="15">
        <f>Table1[[#This Row],[Retail Price]]-Table1[[#This Row],[Cost Price]]</f>
        <v>228450</v>
      </c>
      <c r="T159" s="10">
        <v>16</v>
      </c>
      <c r="U159" s="15">
        <f>Table1[[#This Row],[Profit Margin]]*Table1[[#This Row],[Order Quantity]]</f>
        <v>3655200</v>
      </c>
      <c r="V159" s="11">
        <v>0</v>
      </c>
      <c r="W159" s="15">
        <f t="shared" si="2"/>
        <v>0</v>
      </c>
      <c r="X159" s="15">
        <f>Table1[[#This Row],[Sub Total]]-Table1[[#This Row],[Discount Rp]]</f>
        <v>3655200</v>
      </c>
      <c r="Y159" s="15">
        <f ca="1">OFFSET(Helper!$C$3,MATCH(Data!$N$4:$N$1003,Helper!$C$4:$C$9,0),MATCH(Data!$O$4:$O$1003,Helper!$D$3:$F$3,0))</f>
        <v>20000</v>
      </c>
      <c r="Z159" s="16">
        <f ca="1">Table1[[#This Row],[Order Total]]+Table1[[#This Row],[Shipping Cost]]</f>
        <v>3675200</v>
      </c>
    </row>
    <row r="160" spans="1:26" ht="15.75" customHeight="1" x14ac:dyDescent="0.3">
      <c r="A160" s="9" t="s">
        <v>554</v>
      </c>
      <c r="B160" s="18">
        <v>42750</v>
      </c>
      <c r="C160" s="10">
        <f>YEAR(Table1[[#This Row],[Order Date]])</f>
        <v>2017</v>
      </c>
      <c r="D160" s="10" t="s">
        <v>417</v>
      </c>
      <c r="E160" s="10" t="s">
        <v>418</v>
      </c>
      <c r="F160" s="10" t="s">
        <v>261</v>
      </c>
      <c r="G160" s="10" t="s">
        <v>87</v>
      </c>
      <c r="H160" s="10" t="s">
        <v>97</v>
      </c>
      <c r="I160" s="10" t="str">
        <f>VLOOKUP(Table1[[#This Row],[Account Manager ID]],Table2[[Employee ID]:[Full Name]],4,FALSE)</f>
        <v>Violet Mentari</v>
      </c>
      <c r="J160" s="10" t="str">
        <f>INDEX(Employee!$D$4:$D$47,MATCH($H$4:$H$1003,Employee!$A$4:$A$47,0))</f>
        <v>Violet Mentari</v>
      </c>
      <c r="K160" s="10" t="s">
        <v>57</v>
      </c>
      <c r="L160" s="10" t="s">
        <v>238</v>
      </c>
      <c r="M160" s="10" t="s">
        <v>59</v>
      </c>
      <c r="N160" s="10" t="s">
        <v>67</v>
      </c>
      <c r="O160" s="10" t="s">
        <v>76</v>
      </c>
      <c r="P160" s="10">
        <v>42751</v>
      </c>
      <c r="Q160" s="15">
        <v>323400</v>
      </c>
      <c r="R160" s="15">
        <v>548250</v>
      </c>
      <c r="S160" s="15">
        <f>Table1[[#This Row],[Retail Price]]-Table1[[#This Row],[Cost Price]]</f>
        <v>224850</v>
      </c>
      <c r="T160" s="10">
        <v>46</v>
      </c>
      <c r="U160" s="15">
        <f>Table1[[#This Row],[Profit Margin]]*Table1[[#This Row],[Order Quantity]]</f>
        <v>10343100</v>
      </c>
      <c r="V160" s="11">
        <v>0.05</v>
      </c>
      <c r="W160" s="15">
        <f t="shared" si="2"/>
        <v>517155</v>
      </c>
      <c r="X160" s="15">
        <f>Table1[[#This Row],[Sub Total]]-Table1[[#This Row],[Discount Rp]]</f>
        <v>9825945</v>
      </c>
      <c r="Y160" s="15">
        <f ca="1">OFFSET(Helper!$C$3,MATCH(Data!$N$4:$N$1003,Helper!$C$4:$C$9,0),MATCH(Data!$O$4:$O$1003,Helper!$D$3:$F$3,0))</f>
        <v>10000</v>
      </c>
      <c r="Z160" s="16">
        <f ca="1">Table1[[#This Row],[Order Total]]+Table1[[#This Row],[Shipping Cost]]</f>
        <v>9835945</v>
      </c>
    </row>
    <row r="161" spans="1:26" ht="15.75" customHeight="1" x14ac:dyDescent="0.3">
      <c r="A161" s="9" t="s">
        <v>555</v>
      </c>
      <c r="B161" s="18">
        <v>42751</v>
      </c>
      <c r="C161" s="10">
        <f>YEAR(Table1[[#This Row],[Order Date]])</f>
        <v>2017</v>
      </c>
      <c r="D161" s="10" t="s">
        <v>556</v>
      </c>
      <c r="E161" s="10" t="s">
        <v>557</v>
      </c>
      <c r="F161" s="10" t="s">
        <v>71</v>
      </c>
      <c r="G161" s="10" t="s">
        <v>72</v>
      </c>
      <c r="H161" s="10" t="s">
        <v>185</v>
      </c>
      <c r="I161" s="10" t="str">
        <f>VLOOKUP(Table1[[#This Row],[Account Manager ID]],Table2[[Employee ID]:[Full Name]],4,FALSE)</f>
        <v>Clara Prasetyo</v>
      </c>
      <c r="J161" s="10" t="str">
        <f>INDEX(Employee!$D$4:$D$47,MATCH($H$4:$H$1003,Employee!$A$4:$A$47,0))</f>
        <v>Clara Prasetyo</v>
      </c>
      <c r="K161" s="10" t="s">
        <v>57</v>
      </c>
      <c r="L161" s="10" t="s">
        <v>320</v>
      </c>
      <c r="M161" s="10" t="s">
        <v>59</v>
      </c>
      <c r="N161" s="10" t="s">
        <v>60</v>
      </c>
      <c r="O161" s="10" t="s">
        <v>61</v>
      </c>
      <c r="P161" s="10">
        <v>42752</v>
      </c>
      <c r="Q161" s="15">
        <v>2682450</v>
      </c>
      <c r="R161" s="15">
        <v>6238200</v>
      </c>
      <c r="S161" s="15">
        <f>Table1[[#This Row],[Retail Price]]-Table1[[#This Row],[Cost Price]]</f>
        <v>3555750</v>
      </c>
      <c r="T161" s="10">
        <v>2</v>
      </c>
      <c r="U161" s="15">
        <f>Table1[[#This Row],[Profit Margin]]*Table1[[#This Row],[Order Quantity]]</f>
        <v>7111500</v>
      </c>
      <c r="V161" s="11">
        <v>0.08</v>
      </c>
      <c r="W161" s="15">
        <f t="shared" si="2"/>
        <v>568920</v>
      </c>
      <c r="X161" s="15">
        <f>Table1[[#This Row],[Sub Total]]-Table1[[#This Row],[Discount Rp]]</f>
        <v>6542580</v>
      </c>
      <c r="Y161" s="15">
        <f ca="1">OFFSET(Helper!$C$3,MATCH(Data!$N$4:$N$1003,Helper!$C$4:$C$9,0),MATCH(Data!$O$4:$O$1003,Helper!$D$3:$F$3,0))</f>
        <v>15000</v>
      </c>
      <c r="Z161" s="16">
        <f ca="1">Table1[[#This Row],[Order Total]]+Table1[[#This Row],[Shipping Cost]]</f>
        <v>6557580</v>
      </c>
    </row>
    <row r="162" spans="1:26" ht="15.75" customHeight="1" x14ac:dyDescent="0.3">
      <c r="A162" s="9" t="s">
        <v>558</v>
      </c>
      <c r="B162" s="18">
        <v>42752</v>
      </c>
      <c r="C162" s="10">
        <f>YEAR(Table1[[#This Row],[Order Date]])</f>
        <v>2017</v>
      </c>
      <c r="D162" s="10" t="s">
        <v>559</v>
      </c>
      <c r="E162" s="10" t="s">
        <v>462</v>
      </c>
      <c r="F162" s="10" t="s">
        <v>71</v>
      </c>
      <c r="G162" s="10" t="s">
        <v>87</v>
      </c>
      <c r="H162" s="10" t="s">
        <v>112</v>
      </c>
      <c r="I162" s="10" t="str">
        <f>VLOOKUP(Table1[[#This Row],[Account Manager ID]],Table2[[Employee ID]:[Full Name]],4,FALSE)</f>
        <v>Paiman Firgantoro</v>
      </c>
      <c r="J162" s="10" t="str">
        <f>INDEX(Employee!$D$4:$D$47,MATCH($H$4:$H$1003,Employee!$A$4:$A$47,0))</f>
        <v>Paiman Firgantoro</v>
      </c>
      <c r="K162" s="10" t="s">
        <v>92</v>
      </c>
      <c r="L162" s="10" t="s">
        <v>560</v>
      </c>
      <c r="M162" s="10" t="s">
        <v>81</v>
      </c>
      <c r="N162" s="10" t="s">
        <v>60</v>
      </c>
      <c r="O162" s="10" t="s">
        <v>61</v>
      </c>
      <c r="P162" s="10">
        <v>42759</v>
      </c>
      <c r="Q162" s="15">
        <v>619200</v>
      </c>
      <c r="R162" s="15">
        <v>1439850</v>
      </c>
      <c r="S162" s="15">
        <f>Table1[[#This Row],[Retail Price]]-Table1[[#This Row],[Cost Price]]</f>
        <v>820650</v>
      </c>
      <c r="T162" s="10">
        <v>17</v>
      </c>
      <c r="U162" s="15">
        <f>Table1[[#This Row],[Profit Margin]]*Table1[[#This Row],[Order Quantity]]</f>
        <v>13951050</v>
      </c>
      <c r="V162" s="11">
        <v>0.09</v>
      </c>
      <c r="W162" s="15">
        <f t="shared" si="2"/>
        <v>1255594.5</v>
      </c>
      <c r="X162" s="15">
        <f>Table1[[#This Row],[Sub Total]]-Table1[[#This Row],[Discount Rp]]</f>
        <v>12695455.5</v>
      </c>
      <c r="Y162" s="15">
        <f ca="1">OFFSET(Helper!$C$3,MATCH(Data!$N$4:$N$1003,Helper!$C$4:$C$9,0),MATCH(Data!$O$4:$O$1003,Helper!$D$3:$F$3,0))</f>
        <v>15000</v>
      </c>
      <c r="Z162" s="16">
        <f ca="1">Table1[[#This Row],[Order Total]]+Table1[[#This Row],[Shipping Cost]]</f>
        <v>12710455.5</v>
      </c>
    </row>
    <row r="163" spans="1:26" ht="15.75" customHeight="1" x14ac:dyDescent="0.3">
      <c r="A163" s="9" t="s">
        <v>561</v>
      </c>
      <c r="B163" s="18">
        <v>42752</v>
      </c>
      <c r="C163" s="10">
        <f>YEAR(Table1[[#This Row],[Order Date]])</f>
        <v>2017</v>
      </c>
      <c r="D163" s="10" t="s">
        <v>307</v>
      </c>
      <c r="E163" s="10" t="s">
        <v>215</v>
      </c>
      <c r="F163" s="10" t="s">
        <v>71</v>
      </c>
      <c r="G163" s="10" t="s">
        <v>72</v>
      </c>
      <c r="H163" s="10" t="s">
        <v>146</v>
      </c>
      <c r="I163" s="10" t="str">
        <f>VLOOKUP(Table1[[#This Row],[Account Manager ID]],Table2[[Employee ID]:[Full Name]],4,FALSE)</f>
        <v>Kenari Rajasa</v>
      </c>
      <c r="J163" s="10" t="str">
        <f>INDEX(Employee!$D$4:$D$47,MATCH($H$4:$H$1003,Employee!$A$4:$A$47,0))</f>
        <v>Kenari Rajasa</v>
      </c>
      <c r="K163" s="10" t="s">
        <v>117</v>
      </c>
      <c r="L163" s="10" t="s">
        <v>355</v>
      </c>
      <c r="M163" s="10" t="s">
        <v>59</v>
      </c>
      <c r="N163" s="10" t="s">
        <v>60</v>
      </c>
      <c r="O163" s="10" t="s">
        <v>61</v>
      </c>
      <c r="P163" s="10">
        <v>42754</v>
      </c>
      <c r="Q163" s="15">
        <v>19950</v>
      </c>
      <c r="R163" s="15">
        <v>31200</v>
      </c>
      <c r="S163" s="15">
        <f>Table1[[#This Row],[Retail Price]]-Table1[[#This Row],[Cost Price]]</f>
        <v>11250</v>
      </c>
      <c r="T163" s="10">
        <v>16</v>
      </c>
      <c r="U163" s="15">
        <f>Table1[[#This Row],[Profit Margin]]*Table1[[#This Row],[Order Quantity]]</f>
        <v>180000</v>
      </c>
      <c r="V163" s="11">
        <v>0.04</v>
      </c>
      <c r="W163" s="15">
        <f t="shared" si="2"/>
        <v>7200</v>
      </c>
      <c r="X163" s="15">
        <f>Table1[[#This Row],[Sub Total]]-Table1[[#This Row],[Discount Rp]]</f>
        <v>172800</v>
      </c>
      <c r="Y163" s="15">
        <f ca="1">OFFSET(Helper!$C$3,MATCH(Data!$N$4:$N$1003,Helper!$C$4:$C$9,0),MATCH(Data!$O$4:$O$1003,Helper!$D$3:$F$3,0))</f>
        <v>15000</v>
      </c>
      <c r="Z163" s="16">
        <f ca="1">Table1[[#This Row],[Order Total]]+Table1[[#This Row],[Shipping Cost]]</f>
        <v>187800</v>
      </c>
    </row>
    <row r="164" spans="1:26" ht="15.75" customHeight="1" x14ac:dyDescent="0.3">
      <c r="A164" s="9" t="s">
        <v>562</v>
      </c>
      <c r="B164" s="18">
        <v>42753</v>
      </c>
      <c r="C164" s="10">
        <f>YEAR(Table1[[#This Row],[Order Date]])</f>
        <v>2017</v>
      </c>
      <c r="D164" s="10" t="s">
        <v>250</v>
      </c>
      <c r="E164" s="10" t="s">
        <v>251</v>
      </c>
      <c r="F164" s="10" t="s">
        <v>71</v>
      </c>
      <c r="G164" s="10" t="s">
        <v>72</v>
      </c>
      <c r="H164" s="10" t="s">
        <v>122</v>
      </c>
      <c r="I164" s="10" t="str">
        <f>VLOOKUP(Table1[[#This Row],[Account Manager ID]],Table2[[Employee ID]:[Full Name]],4,FALSE)</f>
        <v>Ophelia Mustofa</v>
      </c>
      <c r="J164" s="10" t="str">
        <f>INDEX(Employee!$D$4:$D$47,MATCH($H$4:$H$1003,Employee!$A$4:$A$47,0))</f>
        <v>Ophelia Mustofa</v>
      </c>
      <c r="K164" s="10" t="s">
        <v>117</v>
      </c>
      <c r="L164" s="10" t="s">
        <v>226</v>
      </c>
      <c r="M164" s="10" t="s">
        <v>81</v>
      </c>
      <c r="N164" s="10" t="s">
        <v>227</v>
      </c>
      <c r="O164" s="10" t="s">
        <v>61</v>
      </c>
      <c r="P164" s="10">
        <v>42754</v>
      </c>
      <c r="Q164" s="15">
        <v>132300</v>
      </c>
      <c r="R164" s="15">
        <v>314850</v>
      </c>
      <c r="S164" s="15">
        <f>Table1[[#This Row],[Retail Price]]-Table1[[#This Row],[Cost Price]]</f>
        <v>182550</v>
      </c>
      <c r="T164" s="10">
        <v>25</v>
      </c>
      <c r="U164" s="15">
        <f>Table1[[#This Row],[Profit Margin]]*Table1[[#This Row],[Order Quantity]]</f>
        <v>4563750</v>
      </c>
      <c r="V164" s="11">
        <v>0.05</v>
      </c>
      <c r="W164" s="15">
        <f t="shared" si="2"/>
        <v>228187.5</v>
      </c>
      <c r="X164" s="15">
        <f>Table1[[#This Row],[Sub Total]]-Table1[[#This Row],[Discount Rp]]</f>
        <v>4335562.5</v>
      </c>
      <c r="Y164" s="15">
        <f ca="1">OFFSET(Helper!$C$3,MATCH(Data!$N$4:$N$1003,Helper!$C$4:$C$9,0),MATCH(Data!$O$4:$O$1003,Helper!$D$3:$F$3,0))</f>
        <v>20000</v>
      </c>
      <c r="Z164" s="16">
        <f ca="1">Table1[[#This Row],[Order Total]]+Table1[[#This Row],[Shipping Cost]]</f>
        <v>4355562.5</v>
      </c>
    </row>
    <row r="165" spans="1:26" ht="15.75" customHeight="1" x14ac:dyDescent="0.3">
      <c r="A165" s="9" t="s">
        <v>563</v>
      </c>
      <c r="B165" s="18">
        <v>42756</v>
      </c>
      <c r="C165" s="10">
        <f>YEAR(Table1[[#This Row],[Order Date]])</f>
        <v>2017</v>
      </c>
      <c r="D165" s="10" t="s">
        <v>564</v>
      </c>
      <c r="E165" s="10" t="s">
        <v>315</v>
      </c>
      <c r="F165" s="10" t="s">
        <v>71</v>
      </c>
      <c r="G165" s="10" t="s">
        <v>72</v>
      </c>
      <c r="H165" s="10" t="s">
        <v>316</v>
      </c>
      <c r="I165" s="10" t="str">
        <f>VLOOKUP(Table1[[#This Row],[Account Manager ID]],Table2[[Employee ID]:[Full Name]],4,FALSE)</f>
        <v>Sari Winarno</v>
      </c>
      <c r="J165" s="10" t="str">
        <f>INDEX(Employee!$D$4:$D$47,MATCH($H$4:$H$1003,Employee!$A$4:$A$47,0))</f>
        <v>Sari Winarno</v>
      </c>
      <c r="K165" s="10" t="s">
        <v>117</v>
      </c>
      <c r="L165" s="10" t="s">
        <v>442</v>
      </c>
      <c r="M165" s="10" t="s">
        <v>59</v>
      </c>
      <c r="N165" s="10" t="s">
        <v>67</v>
      </c>
      <c r="O165" s="10" t="s">
        <v>61</v>
      </c>
      <c r="P165" s="10">
        <v>42758</v>
      </c>
      <c r="Q165" s="15">
        <v>22950</v>
      </c>
      <c r="R165" s="15">
        <v>41700</v>
      </c>
      <c r="S165" s="15">
        <f>Table1[[#This Row],[Retail Price]]-Table1[[#This Row],[Cost Price]]</f>
        <v>18750</v>
      </c>
      <c r="T165" s="10">
        <v>6</v>
      </c>
      <c r="U165" s="15">
        <f>Table1[[#This Row],[Profit Margin]]*Table1[[#This Row],[Order Quantity]]</f>
        <v>112500</v>
      </c>
      <c r="V165" s="11">
        <v>0.01</v>
      </c>
      <c r="W165" s="15">
        <f t="shared" si="2"/>
        <v>1125</v>
      </c>
      <c r="X165" s="15">
        <f>Table1[[#This Row],[Sub Total]]-Table1[[#This Row],[Discount Rp]]</f>
        <v>111375</v>
      </c>
      <c r="Y165" s="15">
        <f ca="1">OFFSET(Helper!$C$3,MATCH(Data!$N$4:$N$1003,Helper!$C$4:$C$9,0),MATCH(Data!$O$4:$O$1003,Helper!$D$3:$F$3,0))</f>
        <v>5000</v>
      </c>
      <c r="Z165" s="16">
        <f ca="1">Table1[[#This Row],[Order Total]]+Table1[[#This Row],[Shipping Cost]]</f>
        <v>116375</v>
      </c>
    </row>
    <row r="166" spans="1:26" ht="15.75" customHeight="1" x14ac:dyDescent="0.3">
      <c r="A166" s="9" t="s">
        <v>565</v>
      </c>
      <c r="B166" s="18">
        <v>42758</v>
      </c>
      <c r="C166" s="10">
        <f>YEAR(Table1[[#This Row],[Order Date]])</f>
        <v>2017</v>
      </c>
      <c r="D166" s="10" t="s">
        <v>566</v>
      </c>
      <c r="E166" s="10" t="s">
        <v>129</v>
      </c>
      <c r="F166" s="10" t="s">
        <v>54</v>
      </c>
      <c r="G166" s="10" t="s">
        <v>87</v>
      </c>
      <c r="H166" s="10" t="s">
        <v>56</v>
      </c>
      <c r="I166" s="10" t="str">
        <f>VLOOKUP(Table1[[#This Row],[Account Manager ID]],Table2[[Employee ID]:[Full Name]],4,FALSE)</f>
        <v>Gaduh Pratama</v>
      </c>
      <c r="J166" s="10" t="str">
        <f>INDEX(Employee!$D$4:$D$47,MATCH($H$4:$H$1003,Employee!$A$4:$A$47,0))</f>
        <v>Gaduh Pratama</v>
      </c>
      <c r="K166" s="10" t="s">
        <v>107</v>
      </c>
      <c r="L166" s="10" t="s">
        <v>500</v>
      </c>
      <c r="M166" s="10" t="s">
        <v>59</v>
      </c>
      <c r="N166" s="10" t="s">
        <v>60</v>
      </c>
      <c r="O166" s="10" t="s">
        <v>61</v>
      </c>
      <c r="P166" s="10">
        <v>42760</v>
      </c>
      <c r="Q166" s="15">
        <v>36750</v>
      </c>
      <c r="R166" s="15">
        <v>58350</v>
      </c>
      <c r="S166" s="15">
        <f>Table1[[#This Row],[Retail Price]]-Table1[[#This Row],[Cost Price]]</f>
        <v>21600</v>
      </c>
      <c r="T166" s="10">
        <v>2</v>
      </c>
      <c r="U166" s="15">
        <f>Table1[[#This Row],[Profit Margin]]*Table1[[#This Row],[Order Quantity]]</f>
        <v>43200</v>
      </c>
      <c r="V166" s="11">
        <v>7.0000000000000007E-2</v>
      </c>
      <c r="W166" s="15">
        <f t="shared" si="2"/>
        <v>3024.0000000000005</v>
      </c>
      <c r="X166" s="15">
        <f>Table1[[#This Row],[Sub Total]]-Table1[[#This Row],[Discount Rp]]</f>
        <v>40176</v>
      </c>
      <c r="Y166" s="15">
        <f ca="1">OFFSET(Helper!$C$3,MATCH(Data!$N$4:$N$1003,Helper!$C$4:$C$9,0),MATCH(Data!$O$4:$O$1003,Helper!$D$3:$F$3,0))</f>
        <v>15000</v>
      </c>
      <c r="Z166" s="16">
        <f ca="1">Table1[[#This Row],[Order Total]]+Table1[[#This Row],[Shipping Cost]]</f>
        <v>55176</v>
      </c>
    </row>
    <row r="167" spans="1:26" ht="15.75" customHeight="1" x14ac:dyDescent="0.3">
      <c r="A167" s="9" t="s">
        <v>567</v>
      </c>
      <c r="B167" s="18">
        <v>42758</v>
      </c>
      <c r="C167" s="10">
        <f>YEAR(Table1[[#This Row],[Order Date]])</f>
        <v>2017</v>
      </c>
      <c r="D167" s="10" t="s">
        <v>566</v>
      </c>
      <c r="E167" s="10" t="s">
        <v>129</v>
      </c>
      <c r="F167" s="10" t="s">
        <v>54</v>
      </c>
      <c r="G167" s="10" t="s">
        <v>87</v>
      </c>
      <c r="H167" s="10" t="s">
        <v>56</v>
      </c>
      <c r="I167" s="10" t="str">
        <f>VLOOKUP(Table1[[#This Row],[Account Manager ID]],Table2[[Employee ID]:[Full Name]],4,FALSE)</f>
        <v>Gaduh Pratama</v>
      </c>
      <c r="J167" s="10" t="str">
        <f>INDEX(Employee!$D$4:$D$47,MATCH($H$4:$H$1003,Employee!$A$4:$A$47,0))</f>
        <v>Gaduh Pratama</v>
      </c>
      <c r="K167" s="10" t="s">
        <v>107</v>
      </c>
      <c r="L167" s="10" t="s">
        <v>471</v>
      </c>
      <c r="M167" s="10" t="s">
        <v>59</v>
      </c>
      <c r="N167" s="10" t="s">
        <v>60</v>
      </c>
      <c r="O167" s="10" t="s">
        <v>61</v>
      </c>
      <c r="P167" s="10">
        <v>42759</v>
      </c>
      <c r="Q167" s="15">
        <v>1015950.0000000001</v>
      </c>
      <c r="R167" s="15">
        <v>2478000</v>
      </c>
      <c r="S167" s="15">
        <f>Table1[[#This Row],[Retail Price]]-Table1[[#This Row],[Cost Price]]</f>
        <v>1462050</v>
      </c>
      <c r="T167" s="10">
        <v>6</v>
      </c>
      <c r="U167" s="15">
        <f>Table1[[#This Row],[Profit Margin]]*Table1[[#This Row],[Order Quantity]]</f>
        <v>8772300</v>
      </c>
      <c r="V167" s="11">
        <v>0.09</v>
      </c>
      <c r="W167" s="15">
        <f t="shared" si="2"/>
        <v>789507</v>
      </c>
      <c r="X167" s="15">
        <f>Table1[[#This Row],[Sub Total]]-Table1[[#This Row],[Discount Rp]]</f>
        <v>7982793</v>
      </c>
      <c r="Y167" s="15">
        <f ca="1">OFFSET(Helper!$C$3,MATCH(Data!$N$4:$N$1003,Helper!$C$4:$C$9,0),MATCH(Data!$O$4:$O$1003,Helper!$D$3:$F$3,0))</f>
        <v>15000</v>
      </c>
      <c r="Z167" s="16">
        <f ca="1">Table1[[#This Row],[Order Total]]+Table1[[#This Row],[Shipping Cost]]</f>
        <v>7997793</v>
      </c>
    </row>
    <row r="168" spans="1:26" ht="15.75" customHeight="1" x14ac:dyDescent="0.3">
      <c r="A168" s="9" t="s">
        <v>568</v>
      </c>
      <c r="B168" s="18">
        <v>42758</v>
      </c>
      <c r="C168" s="10">
        <f>YEAR(Table1[[#This Row],[Order Date]])</f>
        <v>2017</v>
      </c>
      <c r="D168" s="10" t="s">
        <v>569</v>
      </c>
      <c r="E168" s="10" t="s">
        <v>506</v>
      </c>
      <c r="F168" s="10" t="s">
        <v>71</v>
      </c>
      <c r="G168" s="10" t="s">
        <v>106</v>
      </c>
      <c r="H168" s="10" t="s">
        <v>155</v>
      </c>
      <c r="I168" s="10" t="str">
        <f>VLOOKUP(Table1[[#This Row],[Account Manager ID]],Table2[[Employee ID]:[Full Name]],4,FALSE)</f>
        <v>Puti Nadine Prakasa</v>
      </c>
      <c r="J168" s="10" t="str">
        <f>INDEX(Employee!$D$4:$D$47,MATCH($H$4:$H$1003,Employee!$A$4:$A$47,0))</f>
        <v>Puti Nadine Prakasa</v>
      </c>
      <c r="K168" s="10" t="s">
        <v>74</v>
      </c>
      <c r="L168" s="10" t="s">
        <v>102</v>
      </c>
      <c r="M168" s="10" t="s">
        <v>59</v>
      </c>
      <c r="N168" s="10" t="s">
        <v>67</v>
      </c>
      <c r="O168" s="10" t="s">
        <v>61</v>
      </c>
      <c r="P168" s="10">
        <v>42759</v>
      </c>
      <c r="Q168" s="15">
        <v>16350.000000000002</v>
      </c>
      <c r="R168" s="15">
        <v>25200</v>
      </c>
      <c r="S168" s="15">
        <f>Table1[[#This Row],[Retail Price]]-Table1[[#This Row],[Cost Price]]</f>
        <v>8849.9999999999982</v>
      </c>
      <c r="T168" s="10">
        <v>38</v>
      </c>
      <c r="U168" s="15">
        <f>Table1[[#This Row],[Profit Margin]]*Table1[[#This Row],[Order Quantity]]</f>
        <v>336299.99999999994</v>
      </c>
      <c r="V168" s="11">
        <v>7.0000000000000007E-2</v>
      </c>
      <c r="W168" s="15">
        <f t="shared" si="2"/>
        <v>23540.999999999996</v>
      </c>
      <c r="X168" s="15">
        <f>Table1[[#This Row],[Sub Total]]-Table1[[#This Row],[Discount Rp]]</f>
        <v>312758.99999999994</v>
      </c>
      <c r="Y168" s="15">
        <f ca="1">OFFSET(Helper!$C$3,MATCH(Data!$N$4:$N$1003,Helper!$C$4:$C$9,0),MATCH(Data!$O$4:$O$1003,Helper!$D$3:$F$3,0))</f>
        <v>5000</v>
      </c>
      <c r="Z168" s="16">
        <f ca="1">Table1[[#This Row],[Order Total]]+Table1[[#This Row],[Shipping Cost]]</f>
        <v>317758.99999999994</v>
      </c>
    </row>
    <row r="169" spans="1:26" ht="15.75" customHeight="1" x14ac:dyDescent="0.3">
      <c r="A169" s="9" t="s">
        <v>570</v>
      </c>
      <c r="B169" s="18">
        <v>42760</v>
      </c>
      <c r="C169" s="10">
        <f>YEAR(Table1[[#This Row],[Order Date]])</f>
        <v>2017</v>
      </c>
      <c r="D169" s="10" t="s">
        <v>571</v>
      </c>
      <c r="E169" s="10" t="s">
        <v>572</v>
      </c>
      <c r="F169" s="10" t="s">
        <v>261</v>
      </c>
      <c r="G169" s="10" t="s">
        <v>72</v>
      </c>
      <c r="H169" s="10" t="s">
        <v>146</v>
      </c>
      <c r="I169" s="10" t="str">
        <f>VLOOKUP(Table1[[#This Row],[Account Manager ID]],Table2[[Employee ID]:[Full Name]],4,FALSE)</f>
        <v>Kenari Rajasa</v>
      </c>
      <c r="J169" s="10" t="str">
        <f>INDEX(Employee!$D$4:$D$47,MATCH($H$4:$H$1003,Employee!$A$4:$A$47,0))</f>
        <v>Kenari Rajasa</v>
      </c>
      <c r="K169" s="10" t="s">
        <v>74</v>
      </c>
      <c r="L169" s="10" t="s">
        <v>573</v>
      </c>
      <c r="M169" s="10" t="s">
        <v>81</v>
      </c>
      <c r="N169" s="10" t="s">
        <v>60</v>
      </c>
      <c r="O169" s="10" t="s">
        <v>61</v>
      </c>
      <c r="P169" s="10">
        <v>42761</v>
      </c>
      <c r="Q169" s="15">
        <v>936000</v>
      </c>
      <c r="R169" s="15">
        <v>2339850</v>
      </c>
      <c r="S169" s="15">
        <f>Table1[[#This Row],[Retail Price]]-Table1[[#This Row],[Cost Price]]</f>
        <v>1403850</v>
      </c>
      <c r="T169" s="10">
        <v>48</v>
      </c>
      <c r="U169" s="15">
        <f>Table1[[#This Row],[Profit Margin]]*Table1[[#This Row],[Order Quantity]]</f>
        <v>67384800</v>
      </c>
      <c r="V169" s="11">
        <v>0.04</v>
      </c>
      <c r="W169" s="15">
        <f t="shared" si="2"/>
        <v>2695392</v>
      </c>
      <c r="X169" s="15">
        <f>Table1[[#This Row],[Sub Total]]-Table1[[#This Row],[Discount Rp]]</f>
        <v>64689408</v>
      </c>
      <c r="Y169" s="15">
        <f ca="1">OFFSET(Helper!$C$3,MATCH(Data!$N$4:$N$1003,Helper!$C$4:$C$9,0),MATCH(Data!$O$4:$O$1003,Helper!$D$3:$F$3,0))</f>
        <v>15000</v>
      </c>
      <c r="Z169" s="16">
        <f ca="1">Table1[[#This Row],[Order Total]]+Table1[[#This Row],[Shipping Cost]]</f>
        <v>64704408</v>
      </c>
    </row>
    <row r="170" spans="1:26" ht="15.75" customHeight="1" x14ac:dyDescent="0.3">
      <c r="A170" s="9" t="s">
        <v>574</v>
      </c>
      <c r="B170" s="18">
        <v>42760</v>
      </c>
      <c r="C170" s="10">
        <f>YEAR(Table1[[#This Row],[Order Date]])</f>
        <v>2017</v>
      </c>
      <c r="D170" s="10" t="s">
        <v>571</v>
      </c>
      <c r="E170" s="10" t="s">
        <v>572</v>
      </c>
      <c r="F170" s="10" t="s">
        <v>261</v>
      </c>
      <c r="G170" s="10" t="s">
        <v>72</v>
      </c>
      <c r="H170" s="10" t="s">
        <v>146</v>
      </c>
      <c r="I170" s="10" t="str">
        <f>VLOOKUP(Table1[[#This Row],[Account Manager ID]],Table2[[Employee ID]:[Full Name]],4,FALSE)</f>
        <v>Kenari Rajasa</v>
      </c>
      <c r="J170" s="10" t="str">
        <f>INDEX(Employee!$D$4:$D$47,MATCH($H$4:$H$1003,Employee!$A$4:$A$47,0))</f>
        <v>Kenari Rajasa</v>
      </c>
      <c r="K170" s="10" t="s">
        <v>74</v>
      </c>
      <c r="L170" s="10" t="s">
        <v>345</v>
      </c>
      <c r="M170" s="10" t="s">
        <v>59</v>
      </c>
      <c r="N170" s="10" t="s">
        <v>60</v>
      </c>
      <c r="O170" s="10" t="s">
        <v>61</v>
      </c>
      <c r="P170" s="10">
        <v>42760</v>
      </c>
      <c r="Q170" s="15">
        <v>51000</v>
      </c>
      <c r="R170" s="15">
        <v>81000</v>
      </c>
      <c r="S170" s="15">
        <f>Table1[[#This Row],[Retail Price]]-Table1[[#This Row],[Cost Price]]</f>
        <v>30000</v>
      </c>
      <c r="T170" s="10">
        <v>8</v>
      </c>
      <c r="U170" s="15">
        <f>Table1[[#This Row],[Profit Margin]]*Table1[[#This Row],[Order Quantity]]</f>
        <v>240000</v>
      </c>
      <c r="V170" s="11">
        <v>0.08</v>
      </c>
      <c r="W170" s="15">
        <f t="shared" si="2"/>
        <v>19200</v>
      </c>
      <c r="X170" s="15">
        <f>Table1[[#This Row],[Sub Total]]-Table1[[#This Row],[Discount Rp]]</f>
        <v>220800</v>
      </c>
      <c r="Y170" s="15">
        <f ca="1">OFFSET(Helper!$C$3,MATCH(Data!$N$4:$N$1003,Helper!$C$4:$C$9,0),MATCH(Data!$O$4:$O$1003,Helper!$D$3:$F$3,0))</f>
        <v>15000</v>
      </c>
      <c r="Z170" s="16">
        <f ca="1">Table1[[#This Row],[Order Total]]+Table1[[#This Row],[Shipping Cost]]</f>
        <v>235800</v>
      </c>
    </row>
    <row r="171" spans="1:26" ht="15.75" customHeight="1" x14ac:dyDescent="0.3">
      <c r="A171" s="9" t="s">
        <v>575</v>
      </c>
      <c r="B171" s="18">
        <v>42767</v>
      </c>
      <c r="C171" s="10">
        <f>YEAR(Table1[[#This Row],[Order Date]])</f>
        <v>2017</v>
      </c>
      <c r="D171" s="10" t="s">
        <v>576</v>
      </c>
      <c r="E171" s="10" t="s">
        <v>424</v>
      </c>
      <c r="F171" s="10" t="s">
        <v>54</v>
      </c>
      <c r="G171" s="10" t="s">
        <v>72</v>
      </c>
      <c r="H171" s="10" t="s">
        <v>56</v>
      </c>
      <c r="I171" s="10" t="str">
        <f>VLOOKUP(Table1[[#This Row],[Account Manager ID]],Table2[[Employee ID]:[Full Name]],4,FALSE)</f>
        <v>Gaduh Pratama</v>
      </c>
      <c r="J171" s="10" t="str">
        <f>INDEX(Employee!$D$4:$D$47,MATCH($H$4:$H$1003,Employee!$A$4:$A$47,0))</f>
        <v>Gaduh Pratama</v>
      </c>
      <c r="K171" s="10" t="s">
        <v>74</v>
      </c>
      <c r="L171" s="10" t="s">
        <v>93</v>
      </c>
      <c r="M171" s="10" t="s">
        <v>59</v>
      </c>
      <c r="N171" s="10" t="s">
        <v>67</v>
      </c>
      <c r="O171" s="10" t="s">
        <v>61</v>
      </c>
      <c r="P171" s="10">
        <v>42769</v>
      </c>
      <c r="Q171" s="15">
        <v>16350.000000000002</v>
      </c>
      <c r="R171" s="15">
        <v>39000</v>
      </c>
      <c r="S171" s="15">
        <f>Table1[[#This Row],[Retail Price]]-Table1[[#This Row],[Cost Price]]</f>
        <v>22650</v>
      </c>
      <c r="T171" s="10">
        <v>36</v>
      </c>
      <c r="U171" s="15">
        <f>Table1[[#This Row],[Profit Margin]]*Table1[[#This Row],[Order Quantity]]</f>
        <v>815400</v>
      </c>
      <c r="V171" s="11">
        <v>0</v>
      </c>
      <c r="W171" s="15">
        <f t="shared" si="2"/>
        <v>0</v>
      </c>
      <c r="X171" s="15">
        <f>Table1[[#This Row],[Sub Total]]-Table1[[#This Row],[Discount Rp]]</f>
        <v>815400</v>
      </c>
      <c r="Y171" s="15">
        <f ca="1">OFFSET(Helper!$C$3,MATCH(Data!$N$4:$N$1003,Helper!$C$4:$C$9,0),MATCH(Data!$O$4:$O$1003,Helper!$D$3:$F$3,0))</f>
        <v>5000</v>
      </c>
      <c r="Z171" s="16">
        <f ca="1">Table1[[#This Row],[Order Total]]+Table1[[#This Row],[Shipping Cost]]</f>
        <v>820400</v>
      </c>
    </row>
    <row r="172" spans="1:26" ht="15.75" customHeight="1" x14ac:dyDescent="0.3">
      <c r="A172" s="9" t="s">
        <v>577</v>
      </c>
      <c r="B172" s="18">
        <v>42767</v>
      </c>
      <c r="C172" s="10">
        <f>YEAR(Table1[[#This Row],[Order Date]])</f>
        <v>2017</v>
      </c>
      <c r="D172" s="10" t="s">
        <v>578</v>
      </c>
      <c r="E172" s="10" t="s">
        <v>579</v>
      </c>
      <c r="F172" s="10" t="s">
        <v>71</v>
      </c>
      <c r="G172" s="10" t="s">
        <v>72</v>
      </c>
      <c r="H172" s="10" t="s">
        <v>73</v>
      </c>
      <c r="I172" s="10" t="str">
        <f>VLOOKUP(Table1[[#This Row],[Account Manager ID]],Table2[[Employee ID]:[Full Name]],4,FALSE)</f>
        <v>Cinthia Gunawan</v>
      </c>
      <c r="J172" s="10" t="str">
        <f>INDEX(Employee!$D$4:$D$47,MATCH($H$4:$H$1003,Employee!$A$4:$A$47,0))</f>
        <v>Cinthia Gunawan</v>
      </c>
      <c r="K172" s="10" t="s">
        <v>74</v>
      </c>
      <c r="L172" s="10" t="s">
        <v>181</v>
      </c>
      <c r="M172" s="10" t="s">
        <v>59</v>
      </c>
      <c r="N172" s="10" t="s">
        <v>60</v>
      </c>
      <c r="O172" s="10" t="s">
        <v>76</v>
      </c>
      <c r="P172" s="10">
        <v>42767</v>
      </c>
      <c r="Q172" s="15">
        <v>23850</v>
      </c>
      <c r="R172" s="15">
        <v>39150</v>
      </c>
      <c r="S172" s="15">
        <f>Table1[[#This Row],[Retail Price]]-Table1[[#This Row],[Cost Price]]</f>
        <v>15300</v>
      </c>
      <c r="T172" s="10">
        <v>1</v>
      </c>
      <c r="U172" s="15">
        <f>Table1[[#This Row],[Profit Margin]]*Table1[[#This Row],[Order Quantity]]</f>
        <v>15300</v>
      </c>
      <c r="V172" s="11">
        <v>0.06</v>
      </c>
      <c r="W172" s="15">
        <f t="shared" si="2"/>
        <v>918</v>
      </c>
      <c r="X172" s="15">
        <f>Table1[[#This Row],[Sub Total]]-Table1[[#This Row],[Discount Rp]]</f>
        <v>14382</v>
      </c>
      <c r="Y172" s="15">
        <f ca="1">OFFSET(Helper!$C$3,MATCH(Data!$N$4:$N$1003,Helper!$C$4:$C$9,0),MATCH(Data!$O$4:$O$1003,Helper!$D$3:$F$3,0))</f>
        <v>30000</v>
      </c>
      <c r="Z172" s="16">
        <f ca="1">Table1[[#This Row],[Order Total]]+Table1[[#This Row],[Shipping Cost]]</f>
        <v>44382</v>
      </c>
    </row>
    <row r="173" spans="1:26" ht="15.75" customHeight="1" x14ac:dyDescent="0.3">
      <c r="A173" s="9" t="s">
        <v>580</v>
      </c>
      <c r="B173" s="18">
        <v>42767</v>
      </c>
      <c r="C173" s="10">
        <f>YEAR(Table1[[#This Row],[Order Date]])</f>
        <v>2017</v>
      </c>
      <c r="D173" s="10" t="s">
        <v>581</v>
      </c>
      <c r="E173" s="10" t="s">
        <v>101</v>
      </c>
      <c r="F173" s="10" t="s">
        <v>71</v>
      </c>
      <c r="G173" s="10" t="s">
        <v>72</v>
      </c>
      <c r="H173" s="10" t="s">
        <v>97</v>
      </c>
      <c r="I173" s="10" t="str">
        <f>VLOOKUP(Table1[[#This Row],[Account Manager ID]],Table2[[Employee ID]:[Full Name]],4,FALSE)</f>
        <v>Violet Mentari</v>
      </c>
      <c r="J173" s="10" t="str">
        <f>INDEX(Employee!$D$4:$D$47,MATCH($H$4:$H$1003,Employee!$A$4:$A$47,0))</f>
        <v>Violet Mentari</v>
      </c>
      <c r="K173" s="10" t="s">
        <v>117</v>
      </c>
      <c r="L173" s="10" t="s">
        <v>415</v>
      </c>
      <c r="M173" s="10" t="s">
        <v>59</v>
      </c>
      <c r="N173" s="10" t="s">
        <v>60</v>
      </c>
      <c r="O173" s="10" t="s">
        <v>61</v>
      </c>
      <c r="P173" s="10">
        <v>42768</v>
      </c>
      <c r="Q173" s="15">
        <v>54750</v>
      </c>
      <c r="R173" s="15">
        <v>89700</v>
      </c>
      <c r="S173" s="15">
        <f>Table1[[#This Row],[Retail Price]]-Table1[[#This Row],[Cost Price]]</f>
        <v>34950</v>
      </c>
      <c r="T173" s="10">
        <v>21</v>
      </c>
      <c r="U173" s="15">
        <f>Table1[[#This Row],[Profit Margin]]*Table1[[#This Row],[Order Quantity]]</f>
        <v>733950</v>
      </c>
      <c r="V173" s="11">
        <v>0.02</v>
      </c>
      <c r="W173" s="15">
        <f t="shared" si="2"/>
        <v>14679</v>
      </c>
      <c r="X173" s="15">
        <f>Table1[[#This Row],[Sub Total]]-Table1[[#This Row],[Discount Rp]]</f>
        <v>719271</v>
      </c>
      <c r="Y173" s="15">
        <f ca="1">OFFSET(Helper!$C$3,MATCH(Data!$N$4:$N$1003,Helper!$C$4:$C$9,0),MATCH(Data!$O$4:$O$1003,Helper!$D$3:$F$3,0))</f>
        <v>15000</v>
      </c>
      <c r="Z173" s="16">
        <f ca="1">Table1[[#This Row],[Order Total]]+Table1[[#This Row],[Shipping Cost]]</f>
        <v>734271</v>
      </c>
    </row>
    <row r="174" spans="1:26" ht="15.75" customHeight="1" x14ac:dyDescent="0.3">
      <c r="A174" s="9" t="s">
        <v>582</v>
      </c>
      <c r="B174" s="18">
        <v>42768</v>
      </c>
      <c r="C174" s="10">
        <f>YEAR(Table1[[#This Row],[Order Date]])</f>
        <v>2017</v>
      </c>
      <c r="D174" s="10" t="s">
        <v>583</v>
      </c>
      <c r="E174" s="10" t="s">
        <v>101</v>
      </c>
      <c r="F174" s="10" t="s">
        <v>71</v>
      </c>
      <c r="G174" s="10" t="s">
        <v>87</v>
      </c>
      <c r="H174" s="10" t="s">
        <v>97</v>
      </c>
      <c r="I174" s="10" t="str">
        <f>VLOOKUP(Table1[[#This Row],[Account Manager ID]],Table2[[Employee ID]:[Full Name]],4,FALSE)</f>
        <v>Violet Mentari</v>
      </c>
      <c r="J174" s="10" t="str">
        <f>INDEX(Employee!$D$4:$D$47,MATCH($H$4:$H$1003,Employee!$A$4:$A$47,0))</f>
        <v>Violet Mentari</v>
      </c>
      <c r="K174" s="10" t="s">
        <v>107</v>
      </c>
      <c r="L174" s="10" t="s">
        <v>415</v>
      </c>
      <c r="M174" s="10" t="s">
        <v>59</v>
      </c>
      <c r="N174" s="10" t="s">
        <v>60</v>
      </c>
      <c r="O174" s="10" t="s">
        <v>61</v>
      </c>
      <c r="P174" s="10">
        <v>42770</v>
      </c>
      <c r="Q174" s="15">
        <v>54750</v>
      </c>
      <c r="R174" s="15">
        <v>89700</v>
      </c>
      <c r="S174" s="15">
        <f>Table1[[#This Row],[Retail Price]]-Table1[[#This Row],[Cost Price]]</f>
        <v>34950</v>
      </c>
      <c r="T174" s="10">
        <v>40</v>
      </c>
      <c r="U174" s="15">
        <f>Table1[[#This Row],[Profit Margin]]*Table1[[#This Row],[Order Quantity]]</f>
        <v>1398000</v>
      </c>
      <c r="V174" s="11">
        <v>0</v>
      </c>
      <c r="W174" s="15">
        <f t="shared" si="2"/>
        <v>0</v>
      </c>
      <c r="X174" s="15">
        <f>Table1[[#This Row],[Sub Total]]-Table1[[#This Row],[Discount Rp]]</f>
        <v>1398000</v>
      </c>
      <c r="Y174" s="15">
        <f ca="1">OFFSET(Helper!$C$3,MATCH(Data!$N$4:$N$1003,Helper!$C$4:$C$9,0),MATCH(Data!$O$4:$O$1003,Helper!$D$3:$F$3,0))</f>
        <v>15000</v>
      </c>
      <c r="Z174" s="16">
        <f ca="1">Table1[[#This Row],[Order Total]]+Table1[[#This Row],[Shipping Cost]]</f>
        <v>1413000</v>
      </c>
    </row>
    <row r="175" spans="1:26" ht="15.75" customHeight="1" x14ac:dyDescent="0.3">
      <c r="A175" s="9" t="s">
        <v>584</v>
      </c>
      <c r="B175" s="18">
        <v>42768</v>
      </c>
      <c r="C175" s="10">
        <f>YEAR(Table1[[#This Row],[Order Date]])</f>
        <v>2017</v>
      </c>
      <c r="D175" s="10" t="s">
        <v>569</v>
      </c>
      <c r="E175" s="10" t="s">
        <v>64</v>
      </c>
      <c r="F175" s="10" t="s">
        <v>71</v>
      </c>
      <c r="G175" s="10" t="s">
        <v>106</v>
      </c>
      <c r="H175" s="10" t="s">
        <v>155</v>
      </c>
      <c r="I175" s="10" t="str">
        <f>VLOOKUP(Table1[[#This Row],[Account Manager ID]],Table2[[Employee ID]:[Full Name]],4,FALSE)</f>
        <v>Puti Nadine Prakasa</v>
      </c>
      <c r="J175" s="10" t="str">
        <f>INDEX(Employee!$D$4:$D$47,MATCH($H$4:$H$1003,Employee!$A$4:$A$47,0))</f>
        <v>Puti Nadine Prakasa</v>
      </c>
      <c r="K175" s="10" t="s">
        <v>107</v>
      </c>
      <c r="L175" s="10" t="s">
        <v>265</v>
      </c>
      <c r="M175" s="10" t="s">
        <v>59</v>
      </c>
      <c r="N175" s="10" t="s">
        <v>60</v>
      </c>
      <c r="O175" s="10" t="s">
        <v>61</v>
      </c>
      <c r="P175" s="10">
        <v>42770</v>
      </c>
      <c r="Q175" s="15">
        <v>17700</v>
      </c>
      <c r="R175" s="15">
        <v>28200</v>
      </c>
      <c r="S175" s="15">
        <f>Table1[[#This Row],[Retail Price]]-Table1[[#This Row],[Cost Price]]</f>
        <v>10500</v>
      </c>
      <c r="T175" s="10">
        <v>33</v>
      </c>
      <c r="U175" s="15">
        <f>Table1[[#This Row],[Profit Margin]]*Table1[[#This Row],[Order Quantity]]</f>
        <v>346500</v>
      </c>
      <c r="V175" s="11">
        <v>7.0000000000000007E-2</v>
      </c>
      <c r="W175" s="15">
        <f t="shared" si="2"/>
        <v>24255.000000000004</v>
      </c>
      <c r="X175" s="15">
        <f>Table1[[#This Row],[Sub Total]]-Table1[[#This Row],[Discount Rp]]</f>
        <v>322245</v>
      </c>
      <c r="Y175" s="15">
        <f ca="1">OFFSET(Helper!$C$3,MATCH(Data!$N$4:$N$1003,Helper!$C$4:$C$9,0),MATCH(Data!$O$4:$O$1003,Helper!$D$3:$F$3,0))</f>
        <v>15000</v>
      </c>
      <c r="Z175" s="16">
        <f ca="1">Table1[[#This Row],[Order Total]]+Table1[[#This Row],[Shipping Cost]]</f>
        <v>337245</v>
      </c>
    </row>
    <row r="176" spans="1:26" ht="15.75" customHeight="1" x14ac:dyDescent="0.3">
      <c r="A176" s="9" t="s">
        <v>585</v>
      </c>
      <c r="B176" s="18">
        <v>42771</v>
      </c>
      <c r="C176" s="10">
        <f>YEAR(Table1[[#This Row],[Order Date]])</f>
        <v>2017</v>
      </c>
      <c r="D176" s="10" t="s">
        <v>586</v>
      </c>
      <c r="E176" s="10" t="s">
        <v>587</v>
      </c>
      <c r="F176" s="10" t="s">
        <v>71</v>
      </c>
      <c r="G176" s="10" t="s">
        <v>106</v>
      </c>
      <c r="H176" s="10" t="s">
        <v>194</v>
      </c>
      <c r="I176" s="10" t="str">
        <f>VLOOKUP(Table1[[#This Row],[Account Manager ID]],Table2[[Employee ID]:[Full Name]],4,FALSE)</f>
        <v>Nabila Prakasa</v>
      </c>
      <c r="J176" s="10" t="str">
        <f>INDEX(Employee!$D$4:$D$47,MATCH($H$4:$H$1003,Employee!$A$4:$A$47,0))</f>
        <v>Nabila Prakasa</v>
      </c>
      <c r="K176" s="10" t="s">
        <v>57</v>
      </c>
      <c r="L176" s="10" t="s">
        <v>588</v>
      </c>
      <c r="M176" s="10" t="s">
        <v>59</v>
      </c>
      <c r="N176" s="10" t="s">
        <v>60</v>
      </c>
      <c r="O176" s="10" t="s">
        <v>61</v>
      </c>
      <c r="P176" s="10">
        <v>42774</v>
      </c>
      <c r="Q176" s="15">
        <v>67950</v>
      </c>
      <c r="R176" s="15">
        <v>109500</v>
      </c>
      <c r="S176" s="15">
        <f>Table1[[#This Row],[Retail Price]]-Table1[[#This Row],[Cost Price]]</f>
        <v>41550</v>
      </c>
      <c r="T176" s="10">
        <v>31</v>
      </c>
      <c r="U176" s="15">
        <f>Table1[[#This Row],[Profit Margin]]*Table1[[#This Row],[Order Quantity]]</f>
        <v>1288050</v>
      </c>
      <c r="V176" s="11">
        <v>0.03</v>
      </c>
      <c r="W176" s="15">
        <f t="shared" si="2"/>
        <v>38641.5</v>
      </c>
      <c r="X176" s="15">
        <f>Table1[[#This Row],[Sub Total]]-Table1[[#This Row],[Discount Rp]]</f>
        <v>1249408.5</v>
      </c>
      <c r="Y176" s="15">
        <f ca="1">OFFSET(Helper!$C$3,MATCH(Data!$N$4:$N$1003,Helper!$C$4:$C$9,0),MATCH(Data!$O$4:$O$1003,Helper!$D$3:$F$3,0))</f>
        <v>15000</v>
      </c>
      <c r="Z176" s="16">
        <f ca="1">Table1[[#This Row],[Order Total]]+Table1[[#This Row],[Shipping Cost]]</f>
        <v>1264408.5</v>
      </c>
    </row>
    <row r="177" spans="1:26" ht="15.75" customHeight="1" x14ac:dyDescent="0.3">
      <c r="A177" s="9" t="s">
        <v>589</v>
      </c>
      <c r="B177" s="18">
        <v>42772</v>
      </c>
      <c r="C177" s="10">
        <f>YEAR(Table1[[#This Row],[Order Date]])</f>
        <v>2017</v>
      </c>
      <c r="D177" s="10" t="s">
        <v>590</v>
      </c>
      <c r="E177" s="10" t="s">
        <v>579</v>
      </c>
      <c r="F177" s="10" t="s">
        <v>71</v>
      </c>
      <c r="G177" s="10" t="s">
        <v>106</v>
      </c>
      <c r="H177" s="10" t="s">
        <v>73</v>
      </c>
      <c r="I177" s="10" t="str">
        <f>VLOOKUP(Table1[[#This Row],[Account Manager ID]],Table2[[Employee ID]:[Full Name]],4,FALSE)</f>
        <v>Cinthia Gunawan</v>
      </c>
      <c r="J177" s="10" t="str">
        <f>INDEX(Employee!$D$4:$D$47,MATCH($H$4:$H$1003,Employee!$A$4:$A$47,0))</f>
        <v>Cinthia Gunawan</v>
      </c>
      <c r="K177" s="10" t="s">
        <v>57</v>
      </c>
      <c r="L177" s="10" t="s">
        <v>591</v>
      </c>
      <c r="M177" s="10" t="s">
        <v>59</v>
      </c>
      <c r="N177" s="10" t="s">
        <v>60</v>
      </c>
      <c r="O177" s="10" t="s">
        <v>61</v>
      </c>
      <c r="P177" s="10">
        <v>42774</v>
      </c>
      <c r="Q177" s="15">
        <v>165600</v>
      </c>
      <c r="R177" s="15">
        <v>254700</v>
      </c>
      <c r="S177" s="15">
        <f>Table1[[#This Row],[Retail Price]]-Table1[[#This Row],[Cost Price]]</f>
        <v>89100</v>
      </c>
      <c r="T177" s="10">
        <v>27</v>
      </c>
      <c r="U177" s="15">
        <f>Table1[[#This Row],[Profit Margin]]*Table1[[#This Row],[Order Quantity]]</f>
        <v>2405700</v>
      </c>
      <c r="V177" s="11">
        <v>0.1</v>
      </c>
      <c r="W177" s="15">
        <f t="shared" si="2"/>
        <v>240570</v>
      </c>
      <c r="X177" s="15">
        <f>Table1[[#This Row],[Sub Total]]-Table1[[#This Row],[Discount Rp]]</f>
        <v>2165130</v>
      </c>
      <c r="Y177" s="15">
        <f ca="1">OFFSET(Helper!$C$3,MATCH(Data!$N$4:$N$1003,Helper!$C$4:$C$9,0),MATCH(Data!$O$4:$O$1003,Helper!$D$3:$F$3,0))</f>
        <v>15000</v>
      </c>
      <c r="Z177" s="16">
        <f ca="1">Table1[[#This Row],[Order Total]]+Table1[[#This Row],[Shipping Cost]]</f>
        <v>2180130</v>
      </c>
    </row>
    <row r="178" spans="1:26" ht="15.75" customHeight="1" x14ac:dyDescent="0.3">
      <c r="A178" s="9" t="s">
        <v>592</v>
      </c>
      <c r="B178" s="18">
        <v>42773</v>
      </c>
      <c r="C178" s="10">
        <f>YEAR(Table1[[#This Row],[Order Date]])</f>
        <v>2017</v>
      </c>
      <c r="D178" s="10" t="s">
        <v>593</v>
      </c>
      <c r="E178" s="10" t="s">
        <v>594</v>
      </c>
      <c r="F178" s="10" t="s">
        <v>71</v>
      </c>
      <c r="G178" s="10" t="s">
        <v>87</v>
      </c>
      <c r="H178" s="10" t="s">
        <v>194</v>
      </c>
      <c r="I178" s="10" t="str">
        <f>VLOOKUP(Table1[[#This Row],[Account Manager ID]],Table2[[Employee ID]:[Full Name]],4,FALSE)</f>
        <v>Nabila Prakasa</v>
      </c>
      <c r="J178" s="10" t="str">
        <f>INDEX(Employee!$D$4:$D$47,MATCH($H$4:$H$1003,Employee!$A$4:$A$47,0))</f>
        <v>Nabila Prakasa</v>
      </c>
      <c r="K178" s="10" t="s">
        <v>107</v>
      </c>
      <c r="L178" s="10" t="s">
        <v>345</v>
      </c>
      <c r="M178" s="10" t="s">
        <v>59</v>
      </c>
      <c r="N178" s="10" t="s">
        <v>60</v>
      </c>
      <c r="O178" s="10" t="s">
        <v>61</v>
      </c>
      <c r="P178" s="10">
        <v>42775</v>
      </c>
      <c r="Q178" s="15">
        <v>51000</v>
      </c>
      <c r="R178" s="15">
        <v>81000</v>
      </c>
      <c r="S178" s="15">
        <f>Table1[[#This Row],[Retail Price]]-Table1[[#This Row],[Cost Price]]</f>
        <v>30000</v>
      </c>
      <c r="T178" s="10">
        <v>47</v>
      </c>
      <c r="U178" s="15">
        <f>Table1[[#This Row],[Profit Margin]]*Table1[[#This Row],[Order Quantity]]</f>
        <v>1410000</v>
      </c>
      <c r="V178" s="11">
        <v>0.03</v>
      </c>
      <c r="W178" s="15">
        <f t="shared" si="2"/>
        <v>42300</v>
      </c>
      <c r="X178" s="15">
        <f>Table1[[#This Row],[Sub Total]]-Table1[[#This Row],[Discount Rp]]</f>
        <v>1367700</v>
      </c>
      <c r="Y178" s="15">
        <f ca="1">OFFSET(Helper!$C$3,MATCH(Data!$N$4:$N$1003,Helper!$C$4:$C$9,0),MATCH(Data!$O$4:$O$1003,Helper!$D$3:$F$3,0))</f>
        <v>15000</v>
      </c>
      <c r="Z178" s="16">
        <f ca="1">Table1[[#This Row],[Order Total]]+Table1[[#This Row],[Shipping Cost]]</f>
        <v>1382700</v>
      </c>
    </row>
    <row r="179" spans="1:26" ht="15.75" customHeight="1" x14ac:dyDescent="0.3">
      <c r="A179" s="9" t="s">
        <v>595</v>
      </c>
      <c r="B179" s="18">
        <v>42775</v>
      </c>
      <c r="C179" s="10">
        <f>YEAR(Table1[[#This Row],[Order Date]])</f>
        <v>2017</v>
      </c>
      <c r="D179" s="10" t="s">
        <v>596</v>
      </c>
      <c r="E179" s="10" t="s">
        <v>449</v>
      </c>
      <c r="F179" s="10" t="s">
        <v>54</v>
      </c>
      <c r="G179" s="10" t="s">
        <v>72</v>
      </c>
      <c r="H179" s="10" t="s">
        <v>65</v>
      </c>
      <c r="I179" s="10" t="str">
        <f>VLOOKUP(Table1[[#This Row],[Account Manager ID]],Table2[[Employee ID]:[Full Name]],4,FALSE)</f>
        <v>Laras Nuraini</v>
      </c>
      <c r="J179" s="10" t="str">
        <f>INDEX(Employee!$D$4:$D$47,MATCH($H$4:$H$1003,Employee!$A$4:$A$47,0))</f>
        <v>Laras Nuraini</v>
      </c>
      <c r="K179" s="10" t="s">
        <v>57</v>
      </c>
      <c r="L179" s="10" t="s">
        <v>216</v>
      </c>
      <c r="M179" s="10" t="s">
        <v>81</v>
      </c>
      <c r="N179" s="10" t="s">
        <v>136</v>
      </c>
      <c r="O179" s="10" t="s">
        <v>61</v>
      </c>
      <c r="P179" s="10">
        <v>42776</v>
      </c>
      <c r="Q179" s="15">
        <v>28050</v>
      </c>
      <c r="R179" s="15">
        <v>121799.99999999999</v>
      </c>
      <c r="S179" s="15">
        <f>Table1[[#This Row],[Retail Price]]-Table1[[#This Row],[Cost Price]]</f>
        <v>93749.999999999985</v>
      </c>
      <c r="T179" s="10">
        <v>37</v>
      </c>
      <c r="U179" s="15">
        <f>Table1[[#This Row],[Profit Margin]]*Table1[[#This Row],[Order Quantity]]</f>
        <v>3468749.9999999995</v>
      </c>
      <c r="V179" s="11">
        <v>0</v>
      </c>
      <c r="W179" s="15">
        <f t="shared" si="2"/>
        <v>0</v>
      </c>
      <c r="X179" s="15">
        <f>Table1[[#This Row],[Sub Total]]-Table1[[#This Row],[Discount Rp]]</f>
        <v>3468749.9999999995</v>
      </c>
      <c r="Y179" s="15">
        <f ca="1">OFFSET(Helper!$C$3,MATCH(Data!$N$4:$N$1003,Helper!$C$4:$C$9,0),MATCH(Data!$O$4:$O$1003,Helper!$D$3:$F$3,0))</f>
        <v>10000</v>
      </c>
      <c r="Z179" s="16">
        <f ca="1">Table1[[#This Row],[Order Total]]+Table1[[#This Row],[Shipping Cost]]</f>
        <v>3478749.9999999995</v>
      </c>
    </row>
    <row r="180" spans="1:26" ht="15.75" customHeight="1" x14ac:dyDescent="0.3">
      <c r="A180" s="9" t="s">
        <v>597</v>
      </c>
      <c r="B180" s="18">
        <v>42775</v>
      </c>
      <c r="C180" s="10">
        <f>YEAR(Table1[[#This Row],[Order Date]])</f>
        <v>2017</v>
      </c>
      <c r="D180" s="10" t="s">
        <v>115</v>
      </c>
      <c r="E180" s="10" t="s">
        <v>116</v>
      </c>
      <c r="F180" s="10" t="s">
        <v>54</v>
      </c>
      <c r="G180" s="10" t="s">
        <v>72</v>
      </c>
      <c r="H180" s="10" t="s">
        <v>65</v>
      </c>
      <c r="I180" s="10" t="str">
        <f>VLOOKUP(Table1[[#This Row],[Account Manager ID]],Table2[[Employee ID]:[Full Name]],4,FALSE)</f>
        <v>Laras Nuraini</v>
      </c>
      <c r="J180" s="10" t="str">
        <f>INDEX(Employee!$D$4:$D$47,MATCH($H$4:$H$1003,Employee!$A$4:$A$47,0))</f>
        <v>Laras Nuraini</v>
      </c>
      <c r="K180" s="10" t="s">
        <v>57</v>
      </c>
      <c r="L180" s="10" t="s">
        <v>598</v>
      </c>
      <c r="M180" s="10" t="s">
        <v>59</v>
      </c>
      <c r="N180" s="10" t="s">
        <v>136</v>
      </c>
      <c r="O180" s="10" t="s">
        <v>76</v>
      </c>
      <c r="P180" s="10">
        <v>42776</v>
      </c>
      <c r="Q180" s="15">
        <v>252000</v>
      </c>
      <c r="R180" s="15">
        <v>614550</v>
      </c>
      <c r="S180" s="15">
        <f>Table1[[#This Row],[Retail Price]]-Table1[[#This Row],[Cost Price]]</f>
        <v>362550</v>
      </c>
      <c r="T180" s="10">
        <v>11</v>
      </c>
      <c r="U180" s="15">
        <f>Table1[[#This Row],[Profit Margin]]*Table1[[#This Row],[Order Quantity]]</f>
        <v>3988050</v>
      </c>
      <c r="V180" s="11">
        <v>0.03</v>
      </c>
      <c r="W180" s="15">
        <f t="shared" si="2"/>
        <v>119641.5</v>
      </c>
      <c r="X180" s="15">
        <f>Table1[[#This Row],[Sub Total]]-Table1[[#This Row],[Discount Rp]]</f>
        <v>3868408.5</v>
      </c>
      <c r="Y180" s="15">
        <f ca="1">OFFSET(Helper!$C$3,MATCH(Data!$N$4:$N$1003,Helper!$C$4:$C$9,0),MATCH(Data!$O$4:$O$1003,Helper!$D$3:$F$3,0))</f>
        <v>20000</v>
      </c>
      <c r="Z180" s="16">
        <f ca="1">Table1[[#This Row],[Order Total]]+Table1[[#This Row],[Shipping Cost]]</f>
        <v>3888408.5</v>
      </c>
    </row>
    <row r="181" spans="1:26" ht="15.75" customHeight="1" x14ac:dyDescent="0.3">
      <c r="A181" s="9" t="s">
        <v>599</v>
      </c>
      <c r="B181" s="18">
        <v>42776</v>
      </c>
      <c r="C181" s="10">
        <f>YEAR(Table1[[#This Row],[Order Date]])</f>
        <v>2017</v>
      </c>
      <c r="D181" s="10" t="s">
        <v>600</v>
      </c>
      <c r="E181" s="10" t="s">
        <v>601</v>
      </c>
      <c r="F181" s="10" t="s">
        <v>71</v>
      </c>
      <c r="G181" s="10" t="s">
        <v>55</v>
      </c>
      <c r="H181" s="10" t="s">
        <v>122</v>
      </c>
      <c r="I181" s="10" t="str">
        <f>VLOOKUP(Table1[[#This Row],[Account Manager ID]],Table2[[Employee ID]:[Full Name]],4,FALSE)</f>
        <v>Ophelia Mustofa</v>
      </c>
      <c r="J181" s="10" t="str">
        <f>INDEX(Employee!$D$4:$D$47,MATCH($H$4:$H$1003,Employee!$A$4:$A$47,0))</f>
        <v>Ophelia Mustofa</v>
      </c>
      <c r="K181" s="10" t="s">
        <v>74</v>
      </c>
      <c r="L181" s="10" t="s">
        <v>429</v>
      </c>
      <c r="M181" s="10" t="s">
        <v>59</v>
      </c>
      <c r="N181" s="10" t="s">
        <v>60</v>
      </c>
      <c r="O181" s="10" t="s">
        <v>61</v>
      </c>
      <c r="P181" s="10">
        <v>42777</v>
      </c>
      <c r="Q181" s="15">
        <v>29100</v>
      </c>
      <c r="R181" s="15">
        <v>46200</v>
      </c>
      <c r="S181" s="15">
        <f>Table1[[#This Row],[Retail Price]]-Table1[[#This Row],[Cost Price]]</f>
        <v>17100</v>
      </c>
      <c r="T181" s="10">
        <v>41</v>
      </c>
      <c r="U181" s="15">
        <f>Table1[[#This Row],[Profit Margin]]*Table1[[#This Row],[Order Quantity]]</f>
        <v>701100</v>
      </c>
      <c r="V181" s="11">
        <v>0.04</v>
      </c>
      <c r="W181" s="15">
        <f t="shared" si="2"/>
        <v>28044</v>
      </c>
      <c r="X181" s="15">
        <f>Table1[[#This Row],[Sub Total]]-Table1[[#This Row],[Discount Rp]]</f>
        <v>673056</v>
      </c>
      <c r="Y181" s="15">
        <f ca="1">OFFSET(Helper!$C$3,MATCH(Data!$N$4:$N$1003,Helper!$C$4:$C$9,0),MATCH(Data!$O$4:$O$1003,Helper!$D$3:$F$3,0))</f>
        <v>15000</v>
      </c>
      <c r="Z181" s="16">
        <f ca="1">Table1[[#This Row],[Order Total]]+Table1[[#This Row],[Shipping Cost]]</f>
        <v>688056</v>
      </c>
    </row>
    <row r="182" spans="1:26" ht="15.75" customHeight="1" x14ac:dyDescent="0.3">
      <c r="A182" s="9" t="s">
        <v>602</v>
      </c>
      <c r="B182" s="18">
        <v>42779</v>
      </c>
      <c r="C182" s="10">
        <f>YEAR(Table1[[#This Row],[Order Date]])</f>
        <v>2017</v>
      </c>
      <c r="D182" s="10" t="s">
        <v>603</v>
      </c>
      <c r="E182" s="10" t="s">
        <v>587</v>
      </c>
      <c r="F182" s="10" t="s">
        <v>71</v>
      </c>
      <c r="G182" s="10" t="s">
        <v>87</v>
      </c>
      <c r="H182" s="10" t="s">
        <v>194</v>
      </c>
      <c r="I182" s="10" t="str">
        <f>VLOOKUP(Table1[[#This Row],[Account Manager ID]],Table2[[Employee ID]:[Full Name]],4,FALSE)</f>
        <v>Nabila Prakasa</v>
      </c>
      <c r="J182" s="10" t="str">
        <f>INDEX(Employee!$D$4:$D$47,MATCH($H$4:$H$1003,Employee!$A$4:$A$47,0))</f>
        <v>Nabila Prakasa</v>
      </c>
      <c r="K182" s="10" t="s">
        <v>74</v>
      </c>
      <c r="L182" s="10" t="s">
        <v>216</v>
      </c>
      <c r="M182" s="10" t="s">
        <v>81</v>
      </c>
      <c r="N182" s="10" t="s">
        <v>136</v>
      </c>
      <c r="O182" s="10" t="s">
        <v>61</v>
      </c>
      <c r="P182" s="10">
        <v>42780</v>
      </c>
      <c r="Q182" s="15">
        <v>28050</v>
      </c>
      <c r="R182" s="15">
        <v>121799.99999999999</v>
      </c>
      <c r="S182" s="15">
        <f>Table1[[#This Row],[Retail Price]]-Table1[[#This Row],[Cost Price]]</f>
        <v>93749.999999999985</v>
      </c>
      <c r="T182" s="10">
        <v>16</v>
      </c>
      <c r="U182" s="15">
        <f>Table1[[#This Row],[Profit Margin]]*Table1[[#This Row],[Order Quantity]]</f>
        <v>1499999.9999999998</v>
      </c>
      <c r="V182" s="11">
        <v>0.03</v>
      </c>
      <c r="W182" s="15">
        <f t="shared" si="2"/>
        <v>44999.999999999993</v>
      </c>
      <c r="X182" s="15">
        <f>Table1[[#This Row],[Sub Total]]-Table1[[#This Row],[Discount Rp]]</f>
        <v>1454999.9999999998</v>
      </c>
      <c r="Y182" s="15">
        <f ca="1">OFFSET(Helper!$C$3,MATCH(Data!$N$4:$N$1003,Helper!$C$4:$C$9,0),MATCH(Data!$O$4:$O$1003,Helper!$D$3:$F$3,0))</f>
        <v>10000</v>
      </c>
      <c r="Z182" s="16">
        <f ca="1">Table1[[#This Row],[Order Total]]+Table1[[#This Row],[Shipping Cost]]</f>
        <v>1464999.9999999998</v>
      </c>
    </row>
    <row r="183" spans="1:26" ht="15.75" customHeight="1" x14ac:dyDescent="0.3">
      <c r="A183" s="9" t="s">
        <v>604</v>
      </c>
      <c r="B183" s="18">
        <v>42780</v>
      </c>
      <c r="C183" s="10">
        <f>YEAR(Table1[[#This Row],[Order Date]])</f>
        <v>2017</v>
      </c>
      <c r="D183" s="10" t="s">
        <v>354</v>
      </c>
      <c r="E183" s="10" t="s">
        <v>116</v>
      </c>
      <c r="F183" s="10" t="s">
        <v>54</v>
      </c>
      <c r="G183" s="10" t="s">
        <v>55</v>
      </c>
      <c r="H183" s="10" t="s">
        <v>56</v>
      </c>
      <c r="I183" s="10" t="str">
        <f>VLOOKUP(Table1[[#This Row],[Account Manager ID]],Table2[[Employee ID]:[Full Name]],4,FALSE)</f>
        <v>Gaduh Pratama</v>
      </c>
      <c r="J183" s="10" t="str">
        <f>INDEX(Employee!$D$4:$D$47,MATCH($H$4:$H$1003,Employee!$A$4:$A$47,0))</f>
        <v>Gaduh Pratama</v>
      </c>
      <c r="K183" s="10" t="s">
        <v>117</v>
      </c>
      <c r="L183" s="10" t="s">
        <v>588</v>
      </c>
      <c r="M183" s="10" t="s">
        <v>59</v>
      </c>
      <c r="N183" s="10" t="s">
        <v>60</v>
      </c>
      <c r="O183" s="10" t="s">
        <v>61</v>
      </c>
      <c r="P183" s="10">
        <v>42781</v>
      </c>
      <c r="Q183" s="15">
        <v>67950</v>
      </c>
      <c r="R183" s="15">
        <v>109500</v>
      </c>
      <c r="S183" s="15">
        <f>Table1[[#This Row],[Retail Price]]-Table1[[#This Row],[Cost Price]]</f>
        <v>41550</v>
      </c>
      <c r="T183" s="10">
        <v>45</v>
      </c>
      <c r="U183" s="15">
        <f>Table1[[#This Row],[Profit Margin]]*Table1[[#This Row],[Order Quantity]]</f>
        <v>1869750</v>
      </c>
      <c r="V183" s="11">
        <v>0.04</v>
      </c>
      <c r="W183" s="15">
        <f t="shared" si="2"/>
        <v>74790</v>
      </c>
      <c r="X183" s="15">
        <f>Table1[[#This Row],[Sub Total]]-Table1[[#This Row],[Discount Rp]]</f>
        <v>1794960</v>
      </c>
      <c r="Y183" s="15">
        <f ca="1">OFFSET(Helper!$C$3,MATCH(Data!$N$4:$N$1003,Helper!$C$4:$C$9,0),MATCH(Data!$O$4:$O$1003,Helper!$D$3:$F$3,0))</f>
        <v>15000</v>
      </c>
      <c r="Z183" s="16">
        <f ca="1">Table1[[#This Row],[Order Total]]+Table1[[#This Row],[Shipping Cost]]</f>
        <v>1809960</v>
      </c>
    </row>
    <row r="184" spans="1:26" ht="15.75" customHeight="1" x14ac:dyDescent="0.3">
      <c r="A184" s="9" t="s">
        <v>605</v>
      </c>
      <c r="B184" s="18">
        <v>42781</v>
      </c>
      <c r="C184" s="10">
        <f>YEAR(Table1[[#This Row],[Order Date]])</f>
        <v>2017</v>
      </c>
      <c r="D184" s="10" t="s">
        <v>606</v>
      </c>
      <c r="E184" s="10" t="s">
        <v>607</v>
      </c>
      <c r="F184" s="10" t="s">
        <v>71</v>
      </c>
      <c r="G184" s="10" t="s">
        <v>72</v>
      </c>
      <c r="H184" s="10" t="s">
        <v>185</v>
      </c>
      <c r="I184" s="10" t="str">
        <f>VLOOKUP(Table1[[#This Row],[Account Manager ID]],Table2[[Employee ID]:[Full Name]],4,FALSE)</f>
        <v>Clara Prasetyo</v>
      </c>
      <c r="J184" s="10" t="str">
        <f>INDEX(Employee!$D$4:$D$47,MATCH($H$4:$H$1003,Employee!$A$4:$A$47,0))</f>
        <v>Clara Prasetyo</v>
      </c>
      <c r="K184" s="10" t="s">
        <v>74</v>
      </c>
      <c r="L184" s="10" t="s">
        <v>488</v>
      </c>
      <c r="M184" s="10" t="s">
        <v>59</v>
      </c>
      <c r="N184" s="10" t="s">
        <v>136</v>
      </c>
      <c r="O184" s="10" t="s">
        <v>61</v>
      </c>
      <c r="P184" s="10">
        <v>42781</v>
      </c>
      <c r="Q184" s="15">
        <v>77850</v>
      </c>
      <c r="R184" s="15">
        <v>194700</v>
      </c>
      <c r="S184" s="15">
        <f>Table1[[#This Row],[Retail Price]]-Table1[[#This Row],[Cost Price]]</f>
        <v>116850</v>
      </c>
      <c r="T184" s="10">
        <v>40</v>
      </c>
      <c r="U184" s="15">
        <f>Table1[[#This Row],[Profit Margin]]*Table1[[#This Row],[Order Quantity]]</f>
        <v>4674000</v>
      </c>
      <c r="V184" s="11">
        <v>0.05</v>
      </c>
      <c r="W184" s="15">
        <f t="shared" si="2"/>
        <v>233700</v>
      </c>
      <c r="X184" s="15">
        <f>Table1[[#This Row],[Sub Total]]-Table1[[#This Row],[Discount Rp]]</f>
        <v>4440300</v>
      </c>
      <c r="Y184" s="15">
        <f ca="1">OFFSET(Helper!$C$3,MATCH(Data!$N$4:$N$1003,Helper!$C$4:$C$9,0),MATCH(Data!$O$4:$O$1003,Helper!$D$3:$F$3,0))</f>
        <v>10000</v>
      </c>
      <c r="Z184" s="16">
        <f ca="1">Table1[[#This Row],[Order Total]]+Table1[[#This Row],[Shipping Cost]]</f>
        <v>4450300</v>
      </c>
    </row>
    <row r="185" spans="1:26" ht="15.75" customHeight="1" x14ac:dyDescent="0.3">
      <c r="A185" s="9" t="s">
        <v>608</v>
      </c>
      <c r="B185" s="18">
        <v>42783</v>
      </c>
      <c r="C185" s="10">
        <f>YEAR(Table1[[#This Row],[Order Date]])</f>
        <v>2017</v>
      </c>
      <c r="D185" s="10" t="s">
        <v>609</v>
      </c>
      <c r="E185" s="10" t="s">
        <v>610</v>
      </c>
      <c r="F185" s="10" t="s">
        <v>261</v>
      </c>
      <c r="G185" s="10" t="s">
        <v>72</v>
      </c>
      <c r="H185" s="10" t="s">
        <v>112</v>
      </c>
      <c r="I185" s="10" t="str">
        <f>VLOOKUP(Table1[[#This Row],[Account Manager ID]],Table2[[Employee ID]:[Full Name]],4,FALSE)</f>
        <v>Paiman Firgantoro</v>
      </c>
      <c r="J185" s="10" t="str">
        <f>INDEX(Employee!$D$4:$D$47,MATCH($H$4:$H$1003,Employee!$A$4:$A$47,0))</f>
        <v>Paiman Firgantoro</v>
      </c>
      <c r="K185" s="10" t="s">
        <v>107</v>
      </c>
      <c r="L185" s="10" t="s">
        <v>611</v>
      </c>
      <c r="M185" s="10" t="s">
        <v>59</v>
      </c>
      <c r="N185" s="10" t="s">
        <v>60</v>
      </c>
      <c r="O185" s="10" t="s">
        <v>61</v>
      </c>
      <c r="P185" s="10">
        <v>42785</v>
      </c>
      <c r="Q185" s="15">
        <v>34350</v>
      </c>
      <c r="R185" s="15">
        <v>55350</v>
      </c>
      <c r="S185" s="15">
        <f>Table1[[#This Row],[Retail Price]]-Table1[[#This Row],[Cost Price]]</f>
        <v>21000</v>
      </c>
      <c r="T185" s="10">
        <v>42</v>
      </c>
      <c r="U185" s="15">
        <f>Table1[[#This Row],[Profit Margin]]*Table1[[#This Row],[Order Quantity]]</f>
        <v>882000</v>
      </c>
      <c r="V185" s="11">
        <v>0.04</v>
      </c>
      <c r="W185" s="15">
        <f t="shared" si="2"/>
        <v>35280</v>
      </c>
      <c r="X185" s="15">
        <f>Table1[[#This Row],[Sub Total]]-Table1[[#This Row],[Discount Rp]]</f>
        <v>846720</v>
      </c>
      <c r="Y185" s="15">
        <f ca="1">OFFSET(Helper!$C$3,MATCH(Data!$N$4:$N$1003,Helper!$C$4:$C$9,0),MATCH(Data!$O$4:$O$1003,Helper!$D$3:$F$3,0))</f>
        <v>15000</v>
      </c>
      <c r="Z185" s="16">
        <f ca="1">Table1[[#This Row],[Order Total]]+Table1[[#This Row],[Shipping Cost]]</f>
        <v>861720</v>
      </c>
    </row>
    <row r="186" spans="1:26" ht="15.75" customHeight="1" x14ac:dyDescent="0.3">
      <c r="A186" s="9" t="s">
        <v>612</v>
      </c>
      <c r="B186" s="18">
        <v>42783</v>
      </c>
      <c r="C186" s="10">
        <f>YEAR(Table1[[#This Row],[Order Date]])</f>
        <v>2017</v>
      </c>
      <c r="D186" s="10" t="s">
        <v>613</v>
      </c>
      <c r="E186" s="10" t="s">
        <v>614</v>
      </c>
      <c r="F186" s="10" t="s">
        <v>71</v>
      </c>
      <c r="G186" s="10" t="s">
        <v>72</v>
      </c>
      <c r="H186" s="10" t="s">
        <v>97</v>
      </c>
      <c r="I186" s="10" t="str">
        <f>VLOOKUP(Table1[[#This Row],[Account Manager ID]],Table2[[Employee ID]:[Full Name]],4,FALSE)</f>
        <v>Violet Mentari</v>
      </c>
      <c r="J186" s="10" t="str">
        <f>INDEX(Employee!$D$4:$D$47,MATCH($H$4:$H$1003,Employee!$A$4:$A$47,0))</f>
        <v>Violet Mentari</v>
      </c>
      <c r="K186" s="10" t="s">
        <v>74</v>
      </c>
      <c r="L186" s="10" t="s">
        <v>615</v>
      </c>
      <c r="M186" s="10" t="s">
        <v>59</v>
      </c>
      <c r="N186" s="10" t="s">
        <v>67</v>
      </c>
      <c r="O186" s="10" t="s">
        <v>61</v>
      </c>
      <c r="P186" s="10">
        <v>42784</v>
      </c>
      <c r="Q186" s="15">
        <v>78300</v>
      </c>
      <c r="R186" s="15">
        <v>147750</v>
      </c>
      <c r="S186" s="15">
        <f>Table1[[#This Row],[Retail Price]]-Table1[[#This Row],[Cost Price]]</f>
        <v>69450</v>
      </c>
      <c r="T186" s="10">
        <v>27</v>
      </c>
      <c r="U186" s="15">
        <f>Table1[[#This Row],[Profit Margin]]*Table1[[#This Row],[Order Quantity]]</f>
        <v>1875150</v>
      </c>
      <c r="V186" s="11">
        <v>0.1</v>
      </c>
      <c r="W186" s="15">
        <f t="shared" si="2"/>
        <v>187515</v>
      </c>
      <c r="X186" s="15">
        <f>Table1[[#This Row],[Sub Total]]-Table1[[#This Row],[Discount Rp]]</f>
        <v>1687635</v>
      </c>
      <c r="Y186" s="15">
        <f ca="1">OFFSET(Helper!$C$3,MATCH(Data!$N$4:$N$1003,Helper!$C$4:$C$9,0),MATCH(Data!$O$4:$O$1003,Helper!$D$3:$F$3,0))</f>
        <v>5000</v>
      </c>
      <c r="Z186" s="16">
        <f ca="1">Table1[[#This Row],[Order Total]]+Table1[[#This Row],[Shipping Cost]]</f>
        <v>1692635</v>
      </c>
    </row>
    <row r="187" spans="1:26" ht="15.75" customHeight="1" x14ac:dyDescent="0.3">
      <c r="A187" s="9" t="s">
        <v>616</v>
      </c>
      <c r="B187" s="18">
        <v>42785</v>
      </c>
      <c r="C187" s="10">
        <f>YEAR(Table1[[#This Row],[Order Date]])</f>
        <v>2017</v>
      </c>
      <c r="D187" s="10" t="s">
        <v>617</v>
      </c>
      <c r="E187" s="10" t="s">
        <v>618</v>
      </c>
      <c r="F187" s="10" t="s">
        <v>71</v>
      </c>
      <c r="G187" s="10" t="s">
        <v>106</v>
      </c>
      <c r="H187" s="10" t="s">
        <v>112</v>
      </c>
      <c r="I187" s="10" t="str">
        <f>VLOOKUP(Table1[[#This Row],[Account Manager ID]],Table2[[Employee ID]:[Full Name]],4,FALSE)</f>
        <v>Paiman Firgantoro</v>
      </c>
      <c r="J187" s="10" t="str">
        <f>INDEX(Employee!$D$4:$D$47,MATCH($H$4:$H$1003,Employee!$A$4:$A$47,0))</f>
        <v>Paiman Firgantoro</v>
      </c>
      <c r="K187" s="10" t="s">
        <v>117</v>
      </c>
      <c r="L187" s="10" t="s">
        <v>248</v>
      </c>
      <c r="M187" s="10" t="s">
        <v>59</v>
      </c>
      <c r="N187" s="10" t="s">
        <v>67</v>
      </c>
      <c r="O187" s="10" t="s">
        <v>76</v>
      </c>
      <c r="P187" s="10">
        <v>42786</v>
      </c>
      <c r="Q187" s="15">
        <v>56250</v>
      </c>
      <c r="R187" s="15">
        <v>106200</v>
      </c>
      <c r="S187" s="15">
        <f>Table1[[#This Row],[Retail Price]]-Table1[[#This Row],[Cost Price]]</f>
        <v>49950</v>
      </c>
      <c r="T187" s="10">
        <v>29</v>
      </c>
      <c r="U187" s="15">
        <f>Table1[[#This Row],[Profit Margin]]*Table1[[#This Row],[Order Quantity]]</f>
        <v>1448550</v>
      </c>
      <c r="V187" s="11">
        <v>7.0000000000000007E-2</v>
      </c>
      <c r="W187" s="15">
        <f t="shared" si="2"/>
        <v>101398.50000000001</v>
      </c>
      <c r="X187" s="15">
        <f>Table1[[#This Row],[Sub Total]]-Table1[[#This Row],[Discount Rp]]</f>
        <v>1347151.5</v>
      </c>
      <c r="Y187" s="15">
        <f ca="1">OFFSET(Helper!$C$3,MATCH(Data!$N$4:$N$1003,Helper!$C$4:$C$9,0),MATCH(Data!$O$4:$O$1003,Helper!$D$3:$F$3,0))</f>
        <v>10000</v>
      </c>
      <c r="Z187" s="16">
        <f ca="1">Table1[[#This Row],[Order Total]]+Table1[[#This Row],[Shipping Cost]]</f>
        <v>1357151.5</v>
      </c>
    </row>
    <row r="188" spans="1:26" ht="15.75" customHeight="1" x14ac:dyDescent="0.3">
      <c r="A188" s="9" t="s">
        <v>619</v>
      </c>
      <c r="B188" s="18">
        <v>42787</v>
      </c>
      <c r="C188" s="10">
        <f>YEAR(Table1[[#This Row],[Order Date]])</f>
        <v>2017</v>
      </c>
      <c r="D188" s="10" t="s">
        <v>620</v>
      </c>
      <c r="E188" s="10" t="s">
        <v>180</v>
      </c>
      <c r="F188" s="10" t="s">
        <v>54</v>
      </c>
      <c r="G188" s="10" t="s">
        <v>106</v>
      </c>
      <c r="H188" s="10" t="s">
        <v>65</v>
      </c>
      <c r="I188" s="10" t="str">
        <f>VLOOKUP(Table1[[#This Row],[Account Manager ID]],Table2[[Employee ID]:[Full Name]],4,FALSE)</f>
        <v>Laras Nuraini</v>
      </c>
      <c r="J188" s="10" t="str">
        <f>INDEX(Employee!$D$4:$D$47,MATCH($H$4:$H$1003,Employee!$A$4:$A$47,0))</f>
        <v>Laras Nuraini</v>
      </c>
      <c r="K188" s="10" t="s">
        <v>92</v>
      </c>
      <c r="L188" s="10" t="s">
        <v>510</v>
      </c>
      <c r="M188" s="10" t="s">
        <v>59</v>
      </c>
      <c r="N188" s="10" t="s">
        <v>67</v>
      </c>
      <c r="O188" s="10" t="s">
        <v>61</v>
      </c>
      <c r="P188" s="10">
        <v>42787</v>
      </c>
      <c r="Q188" s="15">
        <v>49800</v>
      </c>
      <c r="R188" s="15">
        <v>77700</v>
      </c>
      <c r="S188" s="15">
        <f>Table1[[#This Row],[Retail Price]]-Table1[[#This Row],[Cost Price]]</f>
        <v>27900</v>
      </c>
      <c r="T188" s="10">
        <v>8</v>
      </c>
      <c r="U188" s="15">
        <f>Table1[[#This Row],[Profit Margin]]*Table1[[#This Row],[Order Quantity]]</f>
        <v>223200</v>
      </c>
      <c r="V188" s="11">
        <v>0.06</v>
      </c>
      <c r="W188" s="15">
        <f t="shared" si="2"/>
        <v>13392</v>
      </c>
      <c r="X188" s="15">
        <f>Table1[[#This Row],[Sub Total]]-Table1[[#This Row],[Discount Rp]]</f>
        <v>209808</v>
      </c>
      <c r="Y188" s="15">
        <f ca="1">OFFSET(Helper!$C$3,MATCH(Data!$N$4:$N$1003,Helper!$C$4:$C$9,0),MATCH(Data!$O$4:$O$1003,Helper!$D$3:$F$3,0))</f>
        <v>5000</v>
      </c>
      <c r="Z188" s="16">
        <f ca="1">Table1[[#This Row],[Order Total]]+Table1[[#This Row],[Shipping Cost]]</f>
        <v>214808</v>
      </c>
    </row>
    <row r="189" spans="1:26" ht="15.75" customHeight="1" x14ac:dyDescent="0.3">
      <c r="A189" s="9" t="s">
        <v>621</v>
      </c>
      <c r="B189" s="18">
        <v>42790</v>
      </c>
      <c r="C189" s="10">
        <f>YEAR(Table1[[#This Row],[Order Date]])</f>
        <v>2017</v>
      </c>
      <c r="D189" s="10" t="s">
        <v>622</v>
      </c>
      <c r="E189" s="10" t="s">
        <v>79</v>
      </c>
      <c r="F189" s="10" t="s">
        <v>54</v>
      </c>
      <c r="G189" s="10" t="s">
        <v>72</v>
      </c>
      <c r="H189" s="10" t="s">
        <v>56</v>
      </c>
      <c r="I189" s="10" t="str">
        <f>VLOOKUP(Table1[[#This Row],[Account Manager ID]],Table2[[Employee ID]:[Full Name]],4,FALSE)</f>
        <v>Gaduh Pratama</v>
      </c>
      <c r="J189" s="10" t="str">
        <f>INDEX(Employee!$D$4:$D$47,MATCH($H$4:$H$1003,Employee!$A$4:$A$47,0))</f>
        <v>Gaduh Pratama</v>
      </c>
      <c r="K189" s="10" t="s">
        <v>117</v>
      </c>
      <c r="L189" s="10" t="s">
        <v>623</v>
      </c>
      <c r="M189" s="10" t="s">
        <v>59</v>
      </c>
      <c r="N189" s="10" t="s">
        <v>60</v>
      </c>
      <c r="O189" s="10" t="s">
        <v>61</v>
      </c>
      <c r="P189" s="10">
        <v>42792</v>
      </c>
      <c r="Q189" s="15">
        <v>50550</v>
      </c>
      <c r="R189" s="15">
        <v>82950</v>
      </c>
      <c r="S189" s="15">
        <f>Table1[[#This Row],[Retail Price]]-Table1[[#This Row],[Cost Price]]</f>
        <v>32400</v>
      </c>
      <c r="T189" s="10">
        <v>17</v>
      </c>
      <c r="U189" s="15">
        <f>Table1[[#This Row],[Profit Margin]]*Table1[[#This Row],[Order Quantity]]</f>
        <v>550800</v>
      </c>
      <c r="V189" s="11">
        <v>0.02</v>
      </c>
      <c r="W189" s="15">
        <f t="shared" si="2"/>
        <v>11016</v>
      </c>
      <c r="X189" s="15">
        <f>Table1[[#This Row],[Sub Total]]-Table1[[#This Row],[Discount Rp]]</f>
        <v>539784</v>
      </c>
      <c r="Y189" s="15">
        <f ca="1">OFFSET(Helper!$C$3,MATCH(Data!$N$4:$N$1003,Helper!$C$4:$C$9,0),MATCH(Data!$O$4:$O$1003,Helper!$D$3:$F$3,0))</f>
        <v>15000</v>
      </c>
      <c r="Z189" s="16">
        <f ca="1">Table1[[#This Row],[Order Total]]+Table1[[#This Row],[Shipping Cost]]</f>
        <v>554784</v>
      </c>
    </row>
    <row r="190" spans="1:26" ht="15.75" customHeight="1" x14ac:dyDescent="0.3">
      <c r="A190" s="9" t="s">
        <v>624</v>
      </c>
      <c r="B190" s="18">
        <v>42793</v>
      </c>
      <c r="C190" s="10">
        <f>YEAR(Table1[[#This Row],[Order Date]])</f>
        <v>2017</v>
      </c>
      <c r="D190" s="10" t="s">
        <v>515</v>
      </c>
      <c r="E190" s="10" t="s">
        <v>101</v>
      </c>
      <c r="F190" s="10" t="s">
        <v>71</v>
      </c>
      <c r="G190" s="10" t="s">
        <v>87</v>
      </c>
      <c r="H190" s="10" t="s">
        <v>97</v>
      </c>
      <c r="I190" s="10" t="str">
        <f>VLOOKUP(Table1[[#This Row],[Account Manager ID]],Table2[[Employee ID]:[Full Name]],4,FALSE)</f>
        <v>Violet Mentari</v>
      </c>
      <c r="J190" s="10" t="str">
        <f>INDEX(Employee!$D$4:$D$47,MATCH($H$4:$H$1003,Employee!$A$4:$A$47,0))</f>
        <v>Violet Mentari</v>
      </c>
      <c r="K190" s="10" t="s">
        <v>107</v>
      </c>
      <c r="L190" s="10" t="s">
        <v>287</v>
      </c>
      <c r="M190" s="10" t="s">
        <v>59</v>
      </c>
      <c r="N190" s="10" t="s">
        <v>60</v>
      </c>
      <c r="O190" s="10" t="s">
        <v>61</v>
      </c>
      <c r="P190" s="10">
        <v>42795</v>
      </c>
      <c r="Q190" s="15">
        <v>185850</v>
      </c>
      <c r="R190" s="15">
        <v>299700</v>
      </c>
      <c r="S190" s="15">
        <f>Table1[[#This Row],[Retail Price]]-Table1[[#This Row],[Cost Price]]</f>
        <v>113850</v>
      </c>
      <c r="T190" s="10">
        <v>47</v>
      </c>
      <c r="U190" s="15">
        <f>Table1[[#This Row],[Profit Margin]]*Table1[[#This Row],[Order Quantity]]</f>
        <v>5350950</v>
      </c>
      <c r="V190" s="11">
        <v>0.04</v>
      </c>
      <c r="W190" s="15">
        <f t="shared" si="2"/>
        <v>214038</v>
      </c>
      <c r="X190" s="15">
        <f>Table1[[#This Row],[Sub Total]]-Table1[[#This Row],[Discount Rp]]</f>
        <v>5136912</v>
      </c>
      <c r="Y190" s="15">
        <f ca="1">OFFSET(Helper!$C$3,MATCH(Data!$N$4:$N$1003,Helper!$C$4:$C$9,0),MATCH(Data!$O$4:$O$1003,Helper!$D$3:$F$3,0))</f>
        <v>15000</v>
      </c>
      <c r="Z190" s="16">
        <f ca="1">Table1[[#This Row],[Order Total]]+Table1[[#This Row],[Shipping Cost]]</f>
        <v>5151912</v>
      </c>
    </row>
    <row r="191" spans="1:26" ht="15.75" customHeight="1" x14ac:dyDescent="0.3">
      <c r="A191" s="9" t="s">
        <v>625</v>
      </c>
      <c r="B191" s="18">
        <v>42794</v>
      </c>
      <c r="C191" s="10">
        <f>YEAR(Table1[[#This Row],[Order Date]])</f>
        <v>2017</v>
      </c>
      <c r="D191" s="10" t="s">
        <v>196</v>
      </c>
      <c r="E191" s="10" t="s">
        <v>105</v>
      </c>
      <c r="F191" s="10" t="s">
        <v>71</v>
      </c>
      <c r="G191" s="10" t="s">
        <v>87</v>
      </c>
      <c r="H191" s="10" t="s">
        <v>73</v>
      </c>
      <c r="I191" s="10" t="str">
        <f>VLOOKUP(Table1[[#This Row],[Account Manager ID]],Table2[[Employee ID]:[Full Name]],4,FALSE)</f>
        <v>Cinthia Gunawan</v>
      </c>
      <c r="J191" s="10" t="str">
        <f>INDEX(Employee!$D$4:$D$47,MATCH($H$4:$H$1003,Employee!$A$4:$A$47,0))</f>
        <v>Cinthia Gunawan</v>
      </c>
      <c r="K191" s="10" t="s">
        <v>107</v>
      </c>
      <c r="L191" s="10" t="s">
        <v>252</v>
      </c>
      <c r="M191" s="10" t="s">
        <v>253</v>
      </c>
      <c r="N191" s="10" t="s">
        <v>136</v>
      </c>
      <c r="O191" s="10" t="s">
        <v>61</v>
      </c>
      <c r="P191" s="10">
        <v>42794</v>
      </c>
      <c r="Q191" s="15">
        <v>82500</v>
      </c>
      <c r="R191" s="15">
        <v>183300</v>
      </c>
      <c r="S191" s="15">
        <f>Table1[[#This Row],[Retail Price]]-Table1[[#This Row],[Cost Price]]</f>
        <v>100800</v>
      </c>
      <c r="T191" s="10">
        <v>27</v>
      </c>
      <c r="U191" s="15">
        <f>Table1[[#This Row],[Profit Margin]]*Table1[[#This Row],[Order Quantity]]</f>
        <v>2721600</v>
      </c>
      <c r="V191" s="11">
        <v>7.0000000000000007E-2</v>
      </c>
      <c r="W191" s="15">
        <f t="shared" si="2"/>
        <v>190512.00000000003</v>
      </c>
      <c r="X191" s="15">
        <f>Table1[[#This Row],[Sub Total]]-Table1[[#This Row],[Discount Rp]]</f>
        <v>2531088</v>
      </c>
      <c r="Y191" s="15">
        <f ca="1">OFFSET(Helper!$C$3,MATCH(Data!$N$4:$N$1003,Helper!$C$4:$C$9,0),MATCH(Data!$O$4:$O$1003,Helper!$D$3:$F$3,0))</f>
        <v>10000</v>
      </c>
      <c r="Z191" s="16">
        <f ca="1">Table1[[#This Row],[Order Total]]+Table1[[#This Row],[Shipping Cost]]</f>
        <v>2541088</v>
      </c>
    </row>
    <row r="192" spans="1:26" ht="15.75" customHeight="1" x14ac:dyDescent="0.3">
      <c r="A192" s="9" t="s">
        <v>626</v>
      </c>
      <c r="B192" s="18">
        <v>42794</v>
      </c>
      <c r="C192" s="10">
        <f>YEAR(Table1[[#This Row],[Order Date]])</f>
        <v>2017</v>
      </c>
      <c r="D192" s="10" t="s">
        <v>627</v>
      </c>
      <c r="E192" s="10" t="s">
        <v>628</v>
      </c>
      <c r="F192" s="10" t="s">
        <v>71</v>
      </c>
      <c r="G192" s="10" t="s">
        <v>72</v>
      </c>
      <c r="H192" s="10" t="s">
        <v>304</v>
      </c>
      <c r="I192" s="10" t="str">
        <f>VLOOKUP(Table1[[#This Row],[Account Manager ID]],Table2[[Employee ID]:[Full Name]],4,FALSE)</f>
        <v>Sutan Tirtayasa Wasita</v>
      </c>
      <c r="J192" s="10" t="str">
        <f>INDEX(Employee!$D$4:$D$47,MATCH($H$4:$H$1003,Employee!$A$4:$A$47,0))</f>
        <v>Sutan Tirtayasa Wasita</v>
      </c>
      <c r="K192" s="10" t="s">
        <v>74</v>
      </c>
      <c r="L192" s="10" t="s">
        <v>629</v>
      </c>
      <c r="M192" s="10" t="s">
        <v>59</v>
      </c>
      <c r="N192" s="10" t="s">
        <v>67</v>
      </c>
      <c r="O192" s="10" t="s">
        <v>61</v>
      </c>
      <c r="P192" s="10">
        <v>42795</v>
      </c>
      <c r="Q192" s="15">
        <v>26400</v>
      </c>
      <c r="R192" s="15">
        <v>44100</v>
      </c>
      <c r="S192" s="15">
        <f>Table1[[#This Row],[Retail Price]]-Table1[[#This Row],[Cost Price]]</f>
        <v>17700</v>
      </c>
      <c r="T192" s="10">
        <v>23</v>
      </c>
      <c r="U192" s="15">
        <f>Table1[[#This Row],[Profit Margin]]*Table1[[#This Row],[Order Quantity]]</f>
        <v>407100</v>
      </c>
      <c r="V192" s="11">
        <v>7.0000000000000007E-2</v>
      </c>
      <c r="W192" s="15">
        <f t="shared" si="2"/>
        <v>28497.000000000004</v>
      </c>
      <c r="X192" s="15">
        <f>Table1[[#This Row],[Sub Total]]-Table1[[#This Row],[Discount Rp]]</f>
        <v>378603</v>
      </c>
      <c r="Y192" s="15">
        <f ca="1">OFFSET(Helper!$C$3,MATCH(Data!$N$4:$N$1003,Helper!$C$4:$C$9,0),MATCH(Data!$O$4:$O$1003,Helper!$D$3:$F$3,0))</f>
        <v>5000</v>
      </c>
      <c r="Z192" s="16">
        <f ca="1">Table1[[#This Row],[Order Total]]+Table1[[#This Row],[Shipping Cost]]</f>
        <v>383603</v>
      </c>
    </row>
    <row r="193" spans="1:26" ht="15.75" customHeight="1" x14ac:dyDescent="0.3">
      <c r="A193" s="9" t="s">
        <v>630</v>
      </c>
      <c r="B193" s="18">
        <v>42795</v>
      </c>
      <c r="C193" s="10">
        <f>YEAR(Table1[[#This Row],[Order Date]])</f>
        <v>2017</v>
      </c>
      <c r="D193" s="10" t="s">
        <v>631</v>
      </c>
      <c r="E193" s="10" t="s">
        <v>70</v>
      </c>
      <c r="F193" s="10" t="s">
        <v>71</v>
      </c>
      <c r="G193" s="10" t="s">
        <v>87</v>
      </c>
      <c r="H193" s="10" t="s">
        <v>73</v>
      </c>
      <c r="I193" s="10" t="str">
        <f>VLOOKUP(Table1[[#This Row],[Account Manager ID]],Table2[[Employee ID]:[Full Name]],4,FALSE)</f>
        <v>Cinthia Gunawan</v>
      </c>
      <c r="J193" s="10" t="str">
        <f>INDEX(Employee!$D$4:$D$47,MATCH($H$4:$H$1003,Employee!$A$4:$A$47,0))</f>
        <v>Cinthia Gunawan</v>
      </c>
      <c r="K193" s="10" t="s">
        <v>74</v>
      </c>
      <c r="L193" s="10" t="s">
        <v>190</v>
      </c>
      <c r="M193" s="10" t="s">
        <v>81</v>
      </c>
      <c r="N193" s="10" t="s">
        <v>60</v>
      </c>
      <c r="O193" s="10" t="s">
        <v>76</v>
      </c>
      <c r="P193" s="10">
        <v>42797</v>
      </c>
      <c r="Q193" s="15">
        <v>594600</v>
      </c>
      <c r="R193" s="15">
        <v>2287200</v>
      </c>
      <c r="S193" s="15">
        <f>Table1[[#This Row],[Retail Price]]-Table1[[#This Row],[Cost Price]]</f>
        <v>1692600</v>
      </c>
      <c r="T193" s="10">
        <v>2</v>
      </c>
      <c r="U193" s="15">
        <f>Table1[[#This Row],[Profit Margin]]*Table1[[#This Row],[Order Quantity]]</f>
        <v>3385200</v>
      </c>
      <c r="V193" s="11">
        <v>0.02</v>
      </c>
      <c r="W193" s="15">
        <f t="shared" si="2"/>
        <v>67704</v>
      </c>
      <c r="X193" s="15">
        <f>Table1[[#This Row],[Sub Total]]-Table1[[#This Row],[Discount Rp]]</f>
        <v>3317496</v>
      </c>
      <c r="Y193" s="15">
        <f ca="1">OFFSET(Helper!$C$3,MATCH(Data!$N$4:$N$1003,Helper!$C$4:$C$9,0),MATCH(Data!$O$4:$O$1003,Helper!$D$3:$F$3,0))</f>
        <v>30000</v>
      </c>
      <c r="Z193" s="16">
        <f ca="1">Table1[[#This Row],[Order Total]]+Table1[[#This Row],[Shipping Cost]]</f>
        <v>3347496</v>
      </c>
    </row>
    <row r="194" spans="1:26" ht="15.75" customHeight="1" x14ac:dyDescent="0.3">
      <c r="A194" s="9" t="s">
        <v>632</v>
      </c>
      <c r="B194" s="18">
        <v>42795</v>
      </c>
      <c r="C194" s="10">
        <f>YEAR(Table1[[#This Row],[Order Date]])</f>
        <v>2017</v>
      </c>
      <c r="D194" s="10" t="s">
        <v>633</v>
      </c>
      <c r="E194" s="10" t="s">
        <v>64</v>
      </c>
      <c r="F194" s="10" t="s">
        <v>54</v>
      </c>
      <c r="G194" s="10" t="s">
        <v>55</v>
      </c>
      <c r="H194" s="10" t="s">
        <v>65</v>
      </c>
      <c r="I194" s="10" t="str">
        <f>VLOOKUP(Table1[[#This Row],[Account Manager ID]],Table2[[Employee ID]:[Full Name]],4,FALSE)</f>
        <v>Laras Nuraini</v>
      </c>
      <c r="J194" s="10" t="str">
        <f>INDEX(Employee!$D$4:$D$47,MATCH($H$4:$H$1003,Employee!$A$4:$A$47,0))</f>
        <v>Laras Nuraini</v>
      </c>
      <c r="K194" s="10" t="s">
        <v>74</v>
      </c>
      <c r="L194" s="10" t="s">
        <v>634</v>
      </c>
      <c r="M194" s="10" t="s">
        <v>59</v>
      </c>
      <c r="N194" s="10" t="s">
        <v>136</v>
      </c>
      <c r="O194" s="10" t="s">
        <v>61</v>
      </c>
      <c r="P194" s="10">
        <v>42796</v>
      </c>
      <c r="Q194" s="15">
        <v>52650</v>
      </c>
      <c r="R194" s="15">
        <v>128550</v>
      </c>
      <c r="S194" s="15">
        <f>Table1[[#This Row],[Retail Price]]-Table1[[#This Row],[Cost Price]]</f>
        <v>75900</v>
      </c>
      <c r="T194" s="10">
        <v>24</v>
      </c>
      <c r="U194" s="15">
        <f>Table1[[#This Row],[Profit Margin]]*Table1[[#This Row],[Order Quantity]]</f>
        <v>1821600</v>
      </c>
      <c r="V194" s="11">
        <v>0.06</v>
      </c>
      <c r="W194" s="15">
        <f t="shared" si="2"/>
        <v>109296</v>
      </c>
      <c r="X194" s="15">
        <f>Table1[[#This Row],[Sub Total]]-Table1[[#This Row],[Discount Rp]]</f>
        <v>1712304</v>
      </c>
      <c r="Y194" s="15">
        <f ca="1">OFFSET(Helper!$C$3,MATCH(Data!$N$4:$N$1003,Helper!$C$4:$C$9,0),MATCH(Data!$O$4:$O$1003,Helper!$D$3:$F$3,0))</f>
        <v>10000</v>
      </c>
      <c r="Z194" s="16">
        <f ca="1">Table1[[#This Row],[Order Total]]+Table1[[#This Row],[Shipping Cost]]</f>
        <v>1722304</v>
      </c>
    </row>
    <row r="195" spans="1:26" ht="15.75" customHeight="1" x14ac:dyDescent="0.3">
      <c r="A195" s="9" t="s">
        <v>635</v>
      </c>
      <c r="B195" s="18">
        <v>42795</v>
      </c>
      <c r="C195" s="10">
        <f>YEAR(Table1[[#This Row],[Order Date]])</f>
        <v>2017</v>
      </c>
      <c r="D195" s="10" t="s">
        <v>636</v>
      </c>
      <c r="E195" s="10" t="s">
        <v>449</v>
      </c>
      <c r="F195" s="10" t="s">
        <v>54</v>
      </c>
      <c r="G195" s="10" t="s">
        <v>72</v>
      </c>
      <c r="H195" s="10" t="s">
        <v>65</v>
      </c>
      <c r="I195" s="10" t="str">
        <f>VLOOKUP(Table1[[#This Row],[Account Manager ID]],Table2[[Employee ID]:[Full Name]],4,FALSE)</f>
        <v>Laras Nuraini</v>
      </c>
      <c r="J195" s="10" t="str">
        <f>INDEX(Employee!$D$4:$D$47,MATCH($H$4:$H$1003,Employee!$A$4:$A$47,0))</f>
        <v>Laras Nuraini</v>
      </c>
      <c r="K195" s="10" t="s">
        <v>57</v>
      </c>
      <c r="L195" s="10" t="s">
        <v>500</v>
      </c>
      <c r="M195" s="10" t="s">
        <v>59</v>
      </c>
      <c r="N195" s="10" t="s">
        <v>60</v>
      </c>
      <c r="O195" s="10" t="s">
        <v>61</v>
      </c>
      <c r="P195" s="10">
        <v>42795</v>
      </c>
      <c r="Q195" s="15">
        <v>36750</v>
      </c>
      <c r="R195" s="15">
        <v>58350</v>
      </c>
      <c r="S195" s="15">
        <f>Table1[[#This Row],[Retail Price]]-Table1[[#This Row],[Cost Price]]</f>
        <v>21600</v>
      </c>
      <c r="T195" s="10">
        <v>47</v>
      </c>
      <c r="U195" s="15">
        <f>Table1[[#This Row],[Profit Margin]]*Table1[[#This Row],[Order Quantity]]</f>
        <v>1015200</v>
      </c>
      <c r="V195" s="11">
        <v>0</v>
      </c>
      <c r="W195" s="15">
        <f t="shared" si="2"/>
        <v>0</v>
      </c>
      <c r="X195" s="15">
        <f>Table1[[#This Row],[Sub Total]]-Table1[[#This Row],[Discount Rp]]</f>
        <v>1015200</v>
      </c>
      <c r="Y195" s="15">
        <f ca="1">OFFSET(Helper!$C$3,MATCH(Data!$N$4:$N$1003,Helper!$C$4:$C$9,0),MATCH(Data!$O$4:$O$1003,Helper!$D$3:$F$3,0))</f>
        <v>15000</v>
      </c>
      <c r="Z195" s="16">
        <f ca="1">Table1[[#This Row],[Order Total]]+Table1[[#This Row],[Shipping Cost]]</f>
        <v>1030200</v>
      </c>
    </row>
    <row r="196" spans="1:26" ht="15.75" customHeight="1" x14ac:dyDescent="0.3">
      <c r="A196" s="9" t="s">
        <v>637</v>
      </c>
      <c r="B196" s="18">
        <v>42796</v>
      </c>
      <c r="C196" s="10">
        <f>YEAR(Table1[[#This Row],[Order Date]])</f>
        <v>2017</v>
      </c>
      <c r="D196" s="10" t="s">
        <v>638</v>
      </c>
      <c r="E196" s="10" t="s">
        <v>165</v>
      </c>
      <c r="F196" s="10" t="s">
        <v>71</v>
      </c>
      <c r="G196" s="10" t="s">
        <v>106</v>
      </c>
      <c r="H196" s="10" t="s">
        <v>88</v>
      </c>
      <c r="I196" s="10" t="str">
        <f>VLOOKUP(Table1[[#This Row],[Account Manager ID]],Table2[[Employee ID]:[Full Name]],4,FALSE)</f>
        <v>Bagiya Sihombing</v>
      </c>
      <c r="J196" s="10" t="str">
        <f>INDEX(Employee!$D$4:$D$47,MATCH($H$4:$H$1003,Employee!$A$4:$A$47,0))</f>
        <v>Bagiya Sihombing</v>
      </c>
      <c r="K196" s="10" t="s">
        <v>92</v>
      </c>
      <c r="L196" s="10" t="s">
        <v>341</v>
      </c>
      <c r="M196" s="10" t="s">
        <v>59</v>
      </c>
      <c r="N196" s="10" t="s">
        <v>67</v>
      </c>
      <c r="O196" s="10" t="s">
        <v>61</v>
      </c>
      <c r="P196" s="10">
        <v>42798</v>
      </c>
      <c r="Q196" s="15">
        <v>24000</v>
      </c>
      <c r="R196" s="15">
        <v>39300</v>
      </c>
      <c r="S196" s="15">
        <f>Table1[[#This Row],[Retail Price]]-Table1[[#This Row],[Cost Price]]</f>
        <v>15300</v>
      </c>
      <c r="T196" s="10">
        <v>26</v>
      </c>
      <c r="U196" s="15">
        <f>Table1[[#This Row],[Profit Margin]]*Table1[[#This Row],[Order Quantity]]</f>
        <v>397800</v>
      </c>
      <c r="V196" s="11">
        <v>0.09</v>
      </c>
      <c r="W196" s="15">
        <f t="shared" ref="W196:W259" si="3">V196*U196</f>
        <v>35802</v>
      </c>
      <c r="X196" s="15">
        <f>Table1[[#This Row],[Sub Total]]-Table1[[#This Row],[Discount Rp]]</f>
        <v>361998</v>
      </c>
      <c r="Y196" s="15">
        <f ca="1">OFFSET(Helper!$C$3,MATCH(Data!$N$4:$N$1003,Helper!$C$4:$C$9,0),MATCH(Data!$O$4:$O$1003,Helper!$D$3:$F$3,0))</f>
        <v>5000</v>
      </c>
      <c r="Z196" s="16">
        <f ca="1">Table1[[#This Row],[Order Total]]+Table1[[#This Row],[Shipping Cost]]</f>
        <v>366998</v>
      </c>
    </row>
    <row r="197" spans="1:26" ht="15.75" customHeight="1" x14ac:dyDescent="0.3">
      <c r="A197" s="9" t="s">
        <v>639</v>
      </c>
      <c r="B197" s="18">
        <v>42796</v>
      </c>
      <c r="C197" s="10">
        <f>YEAR(Table1[[#This Row],[Order Date]])</f>
        <v>2017</v>
      </c>
      <c r="D197" s="10" t="s">
        <v>640</v>
      </c>
      <c r="E197" s="9" t="s">
        <v>641</v>
      </c>
      <c r="F197" s="10" t="s">
        <v>261</v>
      </c>
      <c r="G197" s="10" t="s">
        <v>72</v>
      </c>
      <c r="H197" s="10" t="s">
        <v>194</v>
      </c>
      <c r="I197" s="10" t="str">
        <f>VLOOKUP(Table1[[#This Row],[Account Manager ID]],Table2[[Employee ID]:[Full Name]],4,FALSE)</f>
        <v>Nabila Prakasa</v>
      </c>
      <c r="J197" s="10" t="str">
        <f>INDEX(Employee!$D$4:$D$47,MATCH($H$4:$H$1003,Employee!$A$4:$A$47,0))</f>
        <v>Nabila Prakasa</v>
      </c>
      <c r="K197" s="10" t="s">
        <v>57</v>
      </c>
      <c r="L197" s="10" t="s">
        <v>379</v>
      </c>
      <c r="M197" s="10" t="s">
        <v>59</v>
      </c>
      <c r="N197" s="10" t="s">
        <v>60</v>
      </c>
      <c r="O197" s="10" t="s">
        <v>61</v>
      </c>
      <c r="P197" s="10">
        <v>42798</v>
      </c>
      <c r="Q197" s="15">
        <v>323400</v>
      </c>
      <c r="R197" s="15">
        <v>539100</v>
      </c>
      <c r="S197" s="15">
        <f>Table1[[#This Row],[Retail Price]]-Table1[[#This Row],[Cost Price]]</f>
        <v>215700</v>
      </c>
      <c r="T197" s="10">
        <v>19</v>
      </c>
      <c r="U197" s="15">
        <f>Table1[[#This Row],[Profit Margin]]*Table1[[#This Row],[Order Quantity]]</f>
        <v>4098300</v>
      </c>
      <c r="V197" s="11">
        <v>0.09</v>
      </c>
      <c r="W197" s="15">
        <f t="shared" si="3"/>
        <v>368847</v>
      </c>
      <c r="X197" s="15">
        <f>Table1[[#This Row],[Sub Total]]-Table1[[#This Row],[Discount Rp]]</f>
        <v>3729453</v>
      </c>
      <c r="Y197" s="15">
        <f ca="1">OFFSET(Helper!$C$3,MATCH(Data!$N$4:$N$1003,Helper!$C$4:$C$9,0),MATCH(Data!$O$4:$O$1003,Helper!$D$3:$F$3,0))</f>
        <v>15000</v>
      </c>
      <c r="Z197" s="16">
        <f ca="1">Table1[[#This Row],[Order Total]]+Table1[[#This Row],[Shipping Cost]]</f>
        <v>3744453</v>
      </c>
    </row>
    <row r="198" spans="1:26" ht="15.75" customHeight="1" x14ac:dyDescent="0.3">
      <c r="A198" s="9" t="s">
        <v>642</v>
      </c>
      <c r="B198" s="18">
        <v>42797</v>
      </c>
      <c r="C198" s="10">
        <f>YEAR(Table1[[#This Row],[Order Date]])</f>
        <v>2017</v>
      </c>
      <c r="D198" s="10" t="s">
        <v>441</v>
      </c>
      <c r="E198" s="10" t="s">
        <v>206</v>
      </c>
      <c r="F198" s="10" t="s">
        <v>71</v>
      </c>
      <c r="G198" s="10" t="s">
        <v>72</v>
      </c>
      <c r="H198" s="10" t="s">
        <v>155</v>
      </c>
      <c r="I198" s="10" t="str">
        <f>VLOOKUP(Table1[[#This Row],[Account Manager ID]],Table2[[Employee ID]:[Full Name]],4,FALSE)</f>
        <v>Puti Nadine Prakasa</v>
      </c>
      <c r="J198" s="10" t="str">
        <f>INDEX(Employee!$D$4:$D$47,MATCH($H$4:$H$1003,Employee!$A$4:$A$47,0))</f>
        <v>Puti Nadine Prakasa</v>
      </c>
      <c r="K198" s="10" t="s">
        <v>117</v>
      </c>
      <c r="L198" s="10" t="s">
        <v>142</v>
      </c>
      <c r="M198" s="10" t="s">
        <v>59</v>
      </c>
      <c r="N198" s="10" t="s">
        <v>60</v>
      </c>
      <c r="O198" s="10" t="s">
        <v>61</v>
      </c>
      <c r="P198" s="10">
        <v>42799</v>
      </c>
      <c r="Q198" s="15">
        <v>68850</v>
      </c>
      <c r="R198" s="15">
        <v>109200</v>
      </c>
      <c r="S198" s="15">
        <f>Table1[[#This Row],[Retail Price]]-Table1[[#This Row],[Cost Price]]</f>
        <v>40350</v>
      </c>
      <c r="T198" s="10">
        <v>3</v>
      </c>
      <c r="U198" s="15">
        <f>Table1[[#This Row],[Profit Margin]]*Table1[[#This Row],[Order Quantity]]</f>
        <v>121050</v>
      </c>
      <c r="V198" s="11">
        <v>0.01</v>
      </c>
      <c r="W198" s="15">
        <f t="shared" si="3"/>
        <v>1210.5</v>
      </c>
      <c r="X198" s="15">
        <f>Table1[[#This Row],[Sub Total]]-Table1[[#This Row],[Discount Rp]]</f>
        <v>119839.5</v>
      </c>
      <c r="Y198" s="15">
        <f ca="1">OFFSET(Helper!$C$3,MATCH(Data!$N$4:$N$1003,Helper!$C$4:$C$9,0),MATCH(Data!$O$4:$O$1003,Helper!$D$3:$F$3,0))</f>
        <v>15000</v>
      </c>
      <c r="Z198" s="16">
        <f ca="1">Table1[[#This Row],[Order Total]]+Table1[[#This Row],[Shipping Cost]]</f>
        <v>134839.5</v>
      </c>
    </row>
    <row r="199" spans="1:26" ht="15.75" customHeight="1" x14ac:dyDescent="0.3">
      <c r="A199" s="9" t="s">
        <v>643</v>
      </c>
      <c r="B199" s="18">
        <v>42798</v>
      </c>
      <c r="C199" s="10">
        <f>YEAR(Table1[[#This Row],[Order Date]])</f>
        <v>2017</v>
      </c>
      <c r="D199" s="10" t="s">
        <v>578</v>
      </c>
      <c r="E199" s="10" t="s">
        <v>579</v>
      </c>
      <c r="F199" s="10" t="s">
        <v>71</v>
      </c>
      <c r="G199" s="10" t="s">
        <v>87</v>
      </c>
      <c r="H199" s="10" t="s">
        <v>73</v>
      </c>
      <c r="I199" s="10" t="str">
        <f>VLOOKUP(Table1[[#This Row],[Account Manager ID]],Table2[[Employee ID]:[Full Name]],4,FALSE)</f>
        <v>Cinthia Gunawan</v>
      </c>
      <c r="J199" s="10" t="str">
        <f>INDEX(Employee!$D$4:$D$47,MATCH($H$4:$H$1003,Employee!$A$4:$A$47,0))</f>
        <v>Cinthia Gunawan</v>
      </c>
      <c r="K199" s="10" t="s">
        <v>92</v>
      </c>
      <c r="L199" s="10" t="s">
        <v>433</v>
      </c>
      <c r="M199" s="10" t="s">
        <v>81</v>
      </c>
      <c r="N199" s="10" t="s">
        <v>82</v>
      </c>
      <c r="O199" s="10" t="s">
        <v>83</v>
      </c>
      <c r="P199" s="10">
        <v>42805</v>
      </c>
      <c r="Q199" s="15">
        <v>1151850</v>
      </c>
      <c r="R199" s="15">
        <v>1799850</v>
      </c>
      <c r="S199" s="15">
        <f>Table1[[#This Row],[Retail Price]]-Table1[[#This Row],[Cost Price]]</f>
        <v>648000</v>
      </c>
      <c r="T199" s="10">
        <v>4</v>
      </c>
      <c r="U199" s="15">
        <f>Table1[[#This Row],[Profit Margin]]*Table1[[#This Row],[Order Quantity]]</f>
        <v>2592000</v>
      </c>
      <c r="V199" s="11">
        <v>0.06</v>
      </c>
      <c r="W199" s="15">
        <f t="shared" si="3"/>
        <v>155520</v>
      </c>
      <c r="X199" s="15">
        <f>Table1[[#This Row],[Sub Total]]-Table1[[#This Row],[Discount Rp]]</f>
        <v>2436480</v>
      </c>
      <c r="Y199" s="15">
        <f ca="1">OFFSET(Helper!$C$3,MATCH(Data!$N$4:$N$1003,Helper!$C$4:$C$9,0),MATCH(Data!$O$4:$O$1003,Helper!$D$3:$F$3,0))</f>
        <v>500000</v>
      </c>
      <c r="Z199" s="16">
        <f ca="1">Table1[[#This Row],[Order Total]]+Table1[[#This Row],[Shipping Cost]]</f>
        <v>2936480</v>
      </c>
    </row>
    <row r="200" spans="1:26" ht="15.75" customHeight="1" x14ac:dyDescent="0.3">
      <c r="A200" s="9" t="s">
        <v>644</v>
      </c>
      <c r="B200" s="18">
        <v>42798</v>
      </c>
      <c r="C200" s="10">
        <f>YEAR(Table1[[#This Row],[Order Date]])</f>
        <v>2017</v>
      </c>
      <c r="D200" s="10" t="s">
        <v>596</v>
      </c>
      <c r="E200" s="10" t="s">
        <v>449</v>
      </c>
      <c r="F200" s="10" t="s">
        <v>54</v>
      </c>
      <c r="G200" s="10" t="s">
        <v>72</v>
      </c>
      <c r="H200" s="10" t="s">
        <v>65</v>
      </c>
      <c r="I200" s="10" t="str">
        <f>VLOOKUP(Table1[[#This Row],[Account Manager ID]],Table2[[Employee ID]:[Full Name]],4,FALSE)</f>
        <v>Laras Nuraini</v>
      </c>
      <c r="J200" s="10" t="str">
        <f>INDEX(Employee!$D$4:$D$47,MATCH($H$4:$H$1003,Employee!$A$4:$A$47,0))</f>
        <v>Laras Nuraini</v>
      </c>
      <c r="K200" s="10" t="s">
        <v>107</v>
      </c>
      <c r="L200" s="10" t="s">
        <v>212</v>
      </c>
      <c r="M200" s="10" t="s">
        <v>59</v>
      </c>
      <c r="N200" s="10" t="s">
        <v>67</v>
      </c>
      <c r="O200" s="10" t="s">
        <v>61</v>
      </c>
      <c r="P200" s="10">
        <v>42799</v>
      </c>
      <c r="Q200" s="15">
        <v>52050</v>
      </c>
      <c r="R200" s="15">
        <v>100200</v>
      </c>
      <c r="S200" s="15">
        <f>Table1[[#This Row],[Retail Price]]-Table1[[#This Row],[Cost Price]]</f>
        <v>48150</v>
      </c>
      <c r="T200" s="10">
        <v>15</v>
      </c>
      <c r="U200" s="15">
        <f>Table1[[#This Row],[Profit Margin]]*Table1[[#This Row],[Order Quantity]]</f>
        <v>722250</v>
      </c>
      <c r="V200" s="11">
        <v>0.03</v>
      </c>
      <c r="W200" s="15">
        <f t="shared" si="3"/>
        <v>21667.5</v>
      </c>
      <c r="X200" s="15">
        <f>Table1[[#This Row],[Sub Total]]-Table1[[#This Row],[Discount Rp]]</f>
        <v>700582.5</v>
      </c>
      <c r="Y200" s="15">
        <f ca="1">OFFSET(Helper!$C$3,MATCH(Data!$N$4:$N$1003,Helper!$C$4:$C$9,0),MATCH(Data!$O$4:$O$1003,Helper!$D$3:$F$3,0))</f>
        <v>5000</v>
      </c>
      <c r="Z200" s="16">
        <f ca="1">Table1[[#This Row],[Order Total]]+Table1[[#This Row],[Shipping Cost]]</f>
        <v>705582.5</v>
      </c>
    </row>
    <row r="201" spans="1:26" ht="15.75" customHeight="1" x14ac:dyDescent="0.3">
      <c r="A201" s="9" t="s">
        <v>645</v>
      </c>
      <c r="B201" s="18">
        <v>42801</v>
      </c>
      <c r="C201" s="10">
        <f>YEAR(Table1[[#This Row],[Order Date]])</f>
        <v>2017</v>
      </c>
      <c r="D201" s="10" t="s">
        <v>646</v>
      </c>
      <c r="E201" s="10" t="s">
        <v>647</v>
      </c>
      <c r="F201" s="10" t="s">
        <v>71</v>
      </c>
      <c r="G201" s="10" t="s">
        <v>87</v>
      </c>
      <c r="H201" s="10" t="s">
        <v>97</v>
      </c>
      <c r="I201" s="10" t="str">
        <f>VLOOKUP(Table1[[#This Row],[Account Manager ID]],Table2[[Employee ID]:[Full Name]],4,FALSE)</f>
        <v>Violet Mentari</v>
      </c>
      <c r="J201" s="10" t="str">
        <f>INDEX(Employee!$D$4:$D$47,MATCH($H$4:$H$1003,Employee!$A$4:$A$47,0))</f>
        <v>Violet Mentari</v>
      </c>
      <c r="K201" s="10" t="s">
        <v>107</v>
      </c>
      <c r="L201" s="10" t="s">
        <v>648</v>
      </c>
      <c r="M201" s="10" t="s">
        <v>253</v>
      </c>
      <c r="N201" s="10" t="s">
        <v>136</v>
      </c>
      <c r="O201" s="10" t="s">
        <v>61</v>
      </c>
      <c r="P201" s="10">
        <v>42802</v>
      </c>
      <c r="Q201" s="15">
        <v>170700</v>
      </c>
      <c r="R201" s="15">
        <v>279750</v>
      </c>
      <c r="S201" s="15">
        <f>Table1[[#This Row],[Retail Price]]-Table1[[#This Row],[Cost Price]]</f>
        <v>109050</v>
      </c>
      <c r="T201" s="10">
        <v>19</v>
      </c>
      <c r="U201" s="15">
        <f>Table1[[#This Row],[Profit Margin]]*Table1[[#This Row],[Order Quantity]]</f>
        <v>2071950</v>
      </c>
      <c r="V201" s="11">
        <v>7.0000000000000007E-2</v>
      </c>
      <c r="W201" s="15">
        <f t="shared" si="3"/>
        <v>145036.5</v>
      </c>
      <c r="X201" s="15">
        <f>Table1[[#This Row],[Sub Total]]-Table1[[#This Row],[Discount Rp]]</f>
        <v>1926913.5</v>
      </c>
      <c r="Y201" s="15">
        <f ca="1">OFFSET(Helper!$C$3,MATCH(Data!$N$4:$N$1003,Helper!$C$4:$C$9,0),MATCH(Data!$O$4:$O$1003,Helper!$D$3:$F$3,0))</f>
        <v>10000</v>
      </c>
      <c r="Z201" s="16">
        <f ca="1">Table1[[#This Row],[Order Total]]+Table1[[#This Row],[Shipping Cost]]</f>
        <v>1936913.5</v>
      </c>
    </row>
    <row r="202" spans="1:26" ht="15.75" customHeight="1" x14ac:dyDescent="0.3">
      <c r="A202" s="9" t="s">
        <v>649</v>
      </c>
      <c r="B202" s="18">
        <v>42801</v>
      </c>
      <c r="C202" s="10">
        <f>YEAR(Table1[[#This Row],[Order Date]])</f>
        <v>2017</v>
      </c>
      <c r="D202" s="10" t="s">
        <v>650</v>
      </c>
      <c r="E202" s="10" t="s">
        <v>101</v>
      </c>
      <c r="F202" s="10" t="s">
        <v>71</v>
      </c>
      <c r="G202" s="10" t="s">
        <v>72</v>
      </c>
      <c r="H202" s="10" t="s">
        <v>97</v>
      </c>
      <c r="I202" s="10" t="str">
        <f>VLOOKUP(Table1[[#This Row],[Account Manager ID]],Table2[[Employee ID]:[Full Name]],4,FALSE)</f>
        <v>Violet Mentari</v>
      </c>
      <c r="J202" s="10" t="str">
        <f>INDEX(Employee!$D$4:$D$47,MATCH($H$4:$H$1003,Employee!$A$4:$A$47,0))</f>
        <v>Violet Mentari</v>
      </c>
      <c r="K202" s="10" t="s">
        <v>117</v>
      </c>
      <c r="L202" s="10" t="s">
        <v>465</v>
      </c>
      <c r="M202" s="10" t="s">
        <v>59</v>
      </c>
      <c r="N202" s="10" t="s">
        <v>60</v>
      </c>
      <c r="O202" s="10" t="s">
        <v>76</v>
      </c>
      <c r="P202" s="10">
        <v>42803</v>
      </c>
      <c r="Q202" s="15">
        <v>52500</v>
      </c>
      <c r="R202" s="15">
        <v>86100</v>
      </c>
      <c r="S202" s="15">
        <f>Table1[[#This Row],[Retail Price]]-Table1[[#This Row],[Cost Price]]</f>
        <v>33600</v>
      </c>
      <c r="T202" s="10">
        <v>27</v>
      </c>
      <c r="U202" s="15">
        <f>Table1[[#This Row],[Profit Margin]]*Table1[[#This Row],[Order Quantity]]</f>
        <v>907200</v>
      </c>
      <c r="V202" s="11">
        <v>0.08</v>
      </c>
      <c r="W202" s="15">
        <f t="shared" si="3"/>
        <v>72576</v>
      </c>
      <c r="X202" s="15">
        <f>Table1[[#This Row],[Sub Total]]-Table1[[#This Row],[Discount Rp]]</f>
        <v>834624</v>
      </c>
      <c r="Y202" s="15">
        <f ca="1">OFFSET(Helper!$C$3,MATCH(Data!$N$4:$N$1003,Helper!$C$4:$C$9,0),MATCH(Data!$O$4:$O$1003,Helper!$D$3:$F$3,0))</f>
        <v>30000</v>
      </c>
      <c r="Z202" s="16">
        <f ca="1">Table1[[#This Row],[Order Total]]+Table1[[#This Row],[Shipping Cost]]</f>
        <v>864624</v>
      </c>
    </row>
    <row r="203" spans="1:26" ht="15.75" customHeight="1" x14ac:dyDescent="0.3">
      <c r="A203" s="9" t="s">
        <v>651</v>
      </c>
      <c r="B203" s="18">
        <v>42805</v>
      </c>
      <c r="C203" s="10">
        <f>YEAR(Table1[[#This Row],[Order Date]])</f>
        <v>2017</v>
      </c>
      <c r="D203" s="10" t="s">
        <v>652</v>
      </c>
      <c r="E203" s="10" t="s">
        <v>445</v>
      </c>
      <c r="F203" s="10" t="s">
        <v>54</v>
      </c>
      <c r="G203" s="10" t="s">
        <v>87</v>
      </c>
      <c r="H203" s="10" t="s">
        <v>56</v>
      </c>
      <c r="I203" s="10" t="str">
        <f>VLOOKUP(Table1[[#This Row],[Account Manager ID]],Table2[[Employee ID]:[Full Name]],4,FALSE)</f>
        <v>Gaduh Pratama</v>
      </c>
      <c r="J203" s="10" t="str">
        <f>INDEX(Employee!$D$4:$D$47,MATCH($H$4:$H$1003,Employee!$A$4:$A$47,0))</f>
        <v>Gaduh Pratama</v>
      </c>
      <c r="K203" s="10" t="s">
        <v>74</v>
      </c>
      <c r="L203" s="10" t="s">
        <v>156</v>
      </c>
      <c r="M203" s="10" t="s">
        <v>81</v>
      </c>
      <c r="N203" s="10" t="s">
        <v>60</v>
      </c>
      <c r="O203" s="10" t="s">
        <v>61</v>
      </c>
      <c r="P203" s="10">
        <v>42807</v>
      </c>
      <c r="Q203" s="15">
        <v>1223850</v>
      </c>
      <c r="R203" s="15">
        <v>2399850</v>
      </c>
      <c r="S203" s="15">
        <f>Table1[[#This Row],[Retail Price]]-Table1[[#This Row],[Cost Price]]</f>
        <v>1176000</v>
      </c>
      <c r="T203" s="10">
        <v>50</v>
      </c>
      <c r="U203" s="15">
        <f>Table1[[#This Row],[Profit Margin]]*Table1[[#This Row],[Order Quantity]]</f>
        <v>58800000</v>
      </c>
      <c r="V203" s="11">
        <v>0.05</v>
      </c>
      <c r="W203" s="15">
        <f t="shared" si="3"/>
        <v>2940000</v>
      </c>
      <c r="X203" s="15">
        <f>Table1[[#This Row],[Sub Total]]-Table1[[#This Row],[Discount Rp]]</f>
        <v>55860000</v>
      </c>
      <c r="Y203" s="15">
        <f ca="1">OFFSET(Helper!$C$3,MATCH(Data!$N$4:$N$1003,Helper!$C$4:$C$9,0),MATCH(Data!$O$4:$O$1003,Helper!$D$3:$F$3,0))</f>
        <v>15000</v>
      </c>
      <c r="Z203" s="16">
        <f ca="1">Table1[[#This Row],[Order Total]]+Table1[[#This Row],[Shipping Cost]]</f>
        <v>55875000</v>
      </c>
    </row>
    <row r="204" spans="1:26" ht="15.75" customHeight="1" x14ac:dyDescent="0.3">
      <c r="A204" s="9" t="s">
        <v>653</v>
      </c>
      <c r="B204" s="18">
        <v>42807</v>
      </c>
      <c r="C204" s="10">
        <f>YEAR(Table1[[#This Row],[Order Date]])</f>
        <v>2017</v>
      </c>
      <c r="D204" s="10" t="s">
        <v>654</v>
      </c>
      <c r="E204" s="10" t="s">
        <v>105</v>
      </c>
      <c r="F204" s="10" t="s">
        <v>71</v>
      </c>
      <c r="G204" s="10" t="s">
        <v>72</v>
      </c>
      <c r="H204" s="10" t="s">
        <v>73</v>
      </c>
      <c r="I204" s="10" t="str">
        <f>VLOOKUP(Table1[[#This Row],[Account Manager ID]],Table2[[Employee ID]:[Full Name]],4,FALSE)</f>
        <v>Cinthia Gunawan</v>
      </c>
      <c r="J204" s="10" t="str">
        <f>INDEX(Employee!$D$4:$D$47,MATCH($H$4:$H$1003,Employee!$A$4:$A$47,0))</f>
        <v>Cinthia Gunawan</v>
      </c>
      <c r="K204" s="10" t="s">
        <v>57</v>
      </c>
      <c r="L204" s="10" t="s">
        <v>433</v>
      </c>
      <c r="M204" s="10" t="s">
        <v>81</v>
      </c>
      <c r="N204" s="10" t="s">
        <v>82</v>
      </c>
      <c r="O204" s="10" t="s">
        <v>83</v>
      </c>
      <c r="P204" s="10">
        <v>42809</v>
      </c>
      <c r="Q204" s="15">
        <v>1151850</v>
      </c>
      <c r="R204" s="15">
        <v>1799850</v>
      </c>
      <c r="S204" s="15">
        <f>Table1[[#This Row],[Retail Price]]-Table1[[#This Row],[Cost Price]]</f>
        <v>648000</v>
      </c>
      <c r="T204" s="10">
        <v>8</v>
      </c>
      <c r="U204" s="15">
        <f>Table1[[#This Row],[Profit Margin]]*Table1[[#This Row],[Order Quantity]]</f>
        <v>5184000</v>
      </c>
      <c r="V204" s="11">
        <v>0.09</v>
      </c>
      <c r="W204" s="15">
        <f t="shared" si="3"/>
        <v>466560</v>
      </c>
      <c r="X204" s="15">
        <f>Table1[[#This Row],[Sub Total]]-Table1[[#This Row],[Discount Rp]]</f>
        <v>4717440</v>
      </c>
      <c r="Y204" s="15">
        <f ca="1">OFFSET(Helper!$C$3,MATCH(Data!$N$4:$N$1003,Helper!$C$4:$C$9,0),MATCH(Data!$O$4:$O$1003,Helper!$D$3:$F$3,0))</f>
        <v>500000</v>
      </c>
      <c r="Z204" s="16">
        <f ca="1">Table1[[#This Row],[Order Total]]+Table1[[#This Row],[Shipping Cost]]</f>
        <v>5217440</v>
      </c>
    </row>
    <row r="205" spans="1:26" ht="15.75" customHeight="1" x14ac:dyDescent="0.3">
      <c r="A205" s="9" t="s">
        <v>655</v>
      </c>
      <c r="B205" s="18">
        <v>42813</v>
      </c>
      <c r="C205" s="10">
        <f>YEAR(Table1[[#This Row],[Order Date]])</f>
        <v>2017</v>
      </c>
      <c r="D205" s="10" t="s">
        <v>656</v>
      </c>
      <c r="E205" s="10" t="s">
        <v>340</v>
      </c>
      <c r="F205" s="10" t="s">
        <v>54</v>
      </c>
      <c r="G205" s="10" t="s">
        <v>106</v>
      </c>
      <c r="H205" s="10" t="s">
        <v>65</v>
      </c>
      <c r="I205" s="10" t="str">
        <f>VLOOKUP(Table1[[#This Row],[Account Manager ID]],Table2[[Employee ID]:[Full Name]],4,FALSE)</f>
        <v>Laras Nuraini</v>
      </c>
      <c r="J205" s="10" t="str">
        <f>INDEX(Employee!$D$4:$D$47,MATCH($H$4:$H$1003,Employee!$A$4:$A$47,0))</f>
        <v>Laras Nuraini</v>
      </c>
      <c r="K205" s="10" t="s">
        <v>107</v>
      </c>
      <c r="L205" s="10" t="s">
        <v>598</v>
      </c>
      <c r="M205" s="10" t="s">
        <v>59</v>
      </c>
      <c r="N205" s="10" t="s">
        <v>136</v>
      </c>
      <c r="O205" s="10" t="s">
        <v>76</v>
      </c>
      <c r="P205" s="10">
        <v>42815</v>
      </c>
      <c r="Q205" s="15">
        <v>252000</v>
      </c>
      <c r="R205" s="15">
        <v>614550</v>
      </c>
      <c r="S205" s="15">
        <f>Table1[[#This Row],[Retail Price]]-Table1[[#This Row],[Cost Price]]</f>
        <v>362550</v>
      </c>
      <c r="T205" s="10">
        <v>49</v>
      </c>
      <c r="U205" s="15">
        <f>Table1[[#This Row],[Profit Margin]]*Table1[[#This Row],[Order Quantity]]</f>
        <v>17764950</v>
      </c>
      <c r="V205" s="11">
        <v>0.09</v>
      </c>
      <c r="W205" s="15">
        <f t="shared" si="3"/>
        <v>1598845.5</v>
      </c>
      <c r="X205" s="15">
        <f>Table1[[#This Row],[Sub Total]]-Table1[[#This Row],[Discount Rp]]</f>
        <v>16166104.5</v>
      </c>
      <c r="Y205" s="15">
        <f ca="1">OFFSET(Helper!$C$3,MATCH(Data!$N$4:$N$1003,Helper!$C$4:$C$9,0),MATCH(Data!$O$4:$O$1003,Helper!$D$3:$F$3,0))</f>
        <v>20000</v>
      </c>
      <c r="Z205" s="16">
        <f ca="1">Table1[[#This Row],[Order Total]]+Table1[[#This Row],[Shipping Cost]]</f>
        <v>16186104.5</v>
      </c>
    </row>
    <row r="206" spans="1:26" ht="15.75" customHeight="1" x14ac:dyDescent="0.3">
      <c r="A206" s="9" t="s">
        <v>657</v>
      </c>
      <c r="B206" s="18">
        <v>42816</v>
      </c>
      <c r="C206" s="10">
        <f>YEAR(Table1[[#This Row],[Order Date]])</f>
        <v>2017</v>
      </c>
      <c r="D206" s="10" t="s">
        <v>658</v>
      </c>
      <c r="E206" s="10" t="s">
        <v>209</v>
      </c>
      <c r="F206" s="10" t="s">
        <v>71</v>
      </c>
      <c r="G206" s="10" t="s">
        <v>55</v>
      </c>
      <c r="H206" s="10" t="s">
        <v>185</v>
      </c>
      <c r="I206" s="10" t="str">
        <f>VLOOKUP(Table1[[#This Row],[Account Manager ID]],Table2[[Employee ID]:[Full Name]],4,FALSE)</f>
        <v>Clara Prasetyo</v>
      </c>
      <c r="J206" s="10" t="str">
        <f>INDEX(Employee!$D$4:$D$47,MATCH($H$4:$H$1003,Employee!$A$4:$A$47,0))</f>
        <v>Clara Prasetyo</v>
      </c>
      <c r="K206" s="10" t="s">
        <v>92</v>
      </c>
      <c r="L206" s="10" t="s">
        <v>341</v>
      </c>
      <c r="M206" s="10" t="s">
        <v>59</v>
      </c>
      <c r="N206" s="10" t="s">
        <v>67</v>
      </c>
      <c r="O206" s="10" t="s">
        <v>61</v>
      </c>
      <c r="P206" s="10">
        <v>42823</v>
      </c>
      <c r="Q206" s="15">
        <v>24000</v>
      </c>
      <c r="R206" s="15">
        <v>39300</v>
      </c>
      <c r="S206" s="15">
        <f>Table1[[#This Row],[Retail Price]]-Table1[[#This Row],[Cost Price]]</f>
        <v>15300</v>
      </c>
      <c r="T206" s="10">
        <v>47</v>
      </c>
      <c r="U206" s="15">
        <f>Table1[[#This Row],[Profit Margin]]*Table1[[#This Row],[Order Quantity]]</f>
        <v>719100</v>
      </c>
      <c r="V206" s="11">
        <v>0.1</v>
      </c>
      <c r="W206" s="15">
        <f t="shared" si="3"/>
        <v>71910</v>
      </c>
      <c r="X206" s="15">
        <f>Table1[[#This Row],[Sub Total]]-Table1[[#This Row],[Discount Rp]]</f>
        <v>647190</v>
      </c>
      <c r="Y206" s="15">
        <f ca="1">OFFSET(Helper!$C$3,MATCH(Data!$N$4:$N$1003,Helper!$C$4:$C$9,0),MATCH(Data!$O$4:$O$1003,Helper!$D$3:$F$3,0))</f>
        <v>5000</v>
      </c>
      <c r="Z206" s="16">
        <f ca="1">Table1[[#This Row],[Order Total]]+Table1[[#This Row],[Shipping Cost]]</f>
        <v>652190</v>
      </c>
    </row>
    <row r="207" spans="1:26" ht="15.75" customHeight="1" x14ac:dyDescent="0.3">
      <c r="A207" s="9" t="s">
        <v>659</v>
      </c>
      <c r="B207" s="18">
        <v>42816</v>
      </c>
      <c r="C207" s="10">
        <f>YEAR(Table1[[#This Row],[Order Date]])</f>
        <v>2017</v>
      </c>
      <c r="D207" s="10" t="s">
        <v>660</v>
      </c>
      <c r="E207" s="10" t="s">
        <v>215</v>
      </c>
      <c r="F207" s="10" t="s">
        <v>71</v>
      </c>
      <c r="G207" s="10" t="s">
        <v>55</v>
      </c>
      <c r="H207" s="10" t="s">
        <v>146</v>
      </c>
      <c r="I207" s="10" t="str">
        <f>VLOOKUP(Table1[[#This Row],[Account Manager ID]],Table2[[Employee ID]:[Full Name]],4,FALSE)</f>
        <v>Kenari Rajasa</v>
      </c>
      <c r="J207" s="10" t="str">
        <f>INDEX(Employee!$D$4:$D$47,MATCH($H$4:$H$1003,Employee!$A$4:$A$47,0))</f>
        <v>Kenari Rajasa</v>
      </c>
      <c r="K207" s="10" t="s">
        <v>117</v>
      </c>
      <c r="L207" s="10" t="s">
        <v>661</v>
      </c>
      <c r="M207" s="10" t="s">
        <v>59</v>
      </c>
      <c r="N207" s="10" t="s">
        <v>67</v>
      </c>
      <c r="O207" s="10" t="s">
        <v>61</v>
      </c>
      <c r="P207" s="10">
        <v>42816</v>
      </c>
      <c r="Q207" s="15">
        <v>13950</v>
      </c>
      <c r="R207" s="15">
        <v>24000</v>
      </c>
      <c r="S207" s="15">
        <f>Table1[[#This Row],[Retail Price]]-Table1[[#This Row],[Cost Price]]</f>
        <v>10050</v>
      </c>
      <c r="T207" s="10">
        <v>25</v>
      </c>
      <c r="U207" s="15">
        <f>Table1[[#This Row],[Profit Margin]]*Table1[[#This Row],[Order Quantity]]</f>
        <v>251250</v>
      </c>
      <c r="V207" s="11">
        <v>0.1</v>
      </c>
      <c r="W207" s="15">
        <f t="shared" si="3"/>
        <v>25125</v>
      </c>
      <c r="X207" s="15">
        <f>Table1[[#This Row],[Sub Total]]-Table1[[#This Row],[Discount Rp]]</f>
        <v>226125</v>
      </c>
      <c r="Y207" s="15">
        <f ca="1">OFFSET(Helper!$C$3,MATCH(Data!$N$4:$N$1003,Helper!$C$4:$C$9,0),MATCH(Data!$O$4:$O$1003,Helper!$D$3:$F$3,0))</f>
        <v>5000</v>
      </c>
      <c r="Z207" s="16">
        <f ca="1">Table1[[#This Row],[Order Total]]+Table1[[#This Row],[Shipping Cost]]</f>
        <v>231125</v>
      </c>
    </row>
    <row r="208" spans="1:26" ht="15.75" customHeight="1" x14ac:dyDescent="0.3">
      <c r="A208" s="9" t="s">
        <v>662</v>
      </c>
      <c r="B208" s="18">
        <v>42817</v>
      </c>
      <c r="C208" s="10">
        <f>YEAR(Table1[[#This Row],[Order Date]])</f>
        <v>2017</v>
      </c>
      <c r="D208" s="10" t="s">
        <v>590</v>
      </c>
      <c r="E208" s="10" t="s">
        <v>579</v>
      </c>
      <c r="F208" s="10" t="s">
        <v>71</v>
      </c>
      <c r="G208" s="10" t="s">
        <v>72</v>
      </c>
      <c r="H208" s="10" t="s">
        <v>73</v>
      </c>
      <c r="I208" s="10" t="str">
        <f>VLOOKUP(Table1[[#This Row],[Account Manager ID]],Table2[[Employee ID]:[Full Name]],4,FALSE)</f>
        <v>Cinthia Gunawan</v>
      </c>
      <c r="J208" s="10" t="str">
        <f>INDEX(Employee!$D$4:$D$47,MATCH($H$4:$H$1003,Employee!$A$4:$A$47,0))</f>
        <v>Cinthia Gunawan</v>
      </c>
      <c r="K208" s="10" t="s">
        <v>74</v>
      </c>
      <c r="L208" s="10" t="s">
        <v>394</v>
      </c>
      <c r="M208" s="10" t="s">
        <v>59</v>
      </c>
      <c r="N208" s="10" t="s">
        <v>67</v>
      </c>
      <c r="O208" s="10" t="s">
        <v>61</v>
      </c>
      <c r="P208" s="10">
        <v>42817</v>
      </c>
      <c r="Q208" s="15">
        <v>3600</v>
      </c>
      <c r="R208" s="15">
        <v>18900</v>
      </c>
      <c r="S208" s="15">
        <f>Table1[[#This Row],[Retail Price]]-Table1[[#This Row],[Cost Price]]</f>
        <v>15300</v>
      </c>
      <c r="T208" s="10">
        <v>9</v>
      </c>
      <c r="U208" s="15">
        <f>Table1[[#This Row],[Profit Margin]]*Table1[[#This Row],[Order Quantity]]</f>
        <v>137700</v>
      </c>
      <c r="V208" s="11">
        <v>0.06</v>
      </c>
      <c r="W208" s="15">
        <f t="shared" si="3"/>
        <v>8262</v>
      </c>
      <c r="X208" s="15">
        <f>Table1[[#This Row],[Sub Total]]-Table1[[#This Row],[Discount Rp]]</f>
        <v>129438</v>
      </c>
      <c r="Y208" s="15">
        <f ca="1">OFFSET(Helper!$C$3,MATCH(Data!$N$4:$N$1003,Helper!$C$4:$C$9,0),MATCH(Data!$O$4:$O$1003,Helper!$D$3:$F$3,0))</f>
        <v>5000</v>
      </c>
      <c r="Z208" s="16">
        <f ca="1">Table1[[#This Row],[Order Total]]+Table1[[#This Row],[Shipping Cost]]</f>
        <v>134438</v>
      </c>
    </row>
    <row r="209" spans="1:26" ht="15.75" customHeight="1" x14ac:dyDescent="0.3">
      <c r="A209" s="9" t="s">
        <v>663</v>
      </c>
      <c r="B209" s="18">
        <v>42818</v>
      </c>
      <c r="C209" s="10">
        <f>YEAR(Table1[[#This Row],[Order Date]])</f>
        <v>2017</v>
      </c>
      <c r="D209" s="10" t="s">
        <v>417</v>
      </c>
      <c r="E209" s="10" t="s">
        <v>418</v>
      </c>
      <c r="F209" s="10" t="s">
        <v>261</v>
      </c>
      <c r="G209" s="10" t="s">
        <v>106</v>
      </c>
      <c r="H209" s="10" t="s">
        <v>97</v>
      </c>
      <c r="I209" s="10" t="str">
        <f>VLOOKUP(Table1[[#This Row],[Account Manager ID]],Table2[[Employee ID]:[Full Name]],4,FALSE)</f>
        <v>Violet Mentari</v>
      </c>
      <c r="J209" s="10" t="str">
        <f>INDEX(Employee!$D$4:$D$47,MATCH($H$4:$H$1003,Employee!$A$4:$A$47,0))</f>
        <v>Violet Mentari</v>
      </c>
      <c r="K209" s="10" t="s">
        <v>107</v>
      </c>
      <c r="L209" s="10" t="s">
        <v>415</v>
      </c>
      <c r="M209" s="10" t="s">
        <v>59</v>
      </c>
      <c r="N209" s="10" t="s">
        <v>60</v>
      </c>
      <c r="O209" s="10" t="s">
        <v>61</v>
      </c>
      <c r="P209" s="10">
        <v>42820</v>
      </c>
      <c r="Q209" s="15">
        <v>54750</v>
      </c>
      <c r="R209" s="15">
        <v>89700</v>
      </c>
      <c r="S209" s="15">
        <f>Table1[[#This Row],[Retail Price]]-Table1[[#This Row],[Cost Price]]</f>
        <v>34950</v>
      </c>
      <c r="T209" s="10">
        <v>25</v>
      </c>
      <c r="U209" s="15">
        <f>Table1[[#This Row],[Profit Margin]]*Table1[[#This Row],[Order Quantity]]</f>
        <v>873750</v>
      </c>
      <c r="V209" s="11">
        <v>0.03</v>
      </c>
      <c r="W209" s="15">
        <f t="shared" si="3"/>
        <v>26212.5</v>
      </c>
      <c r="X209" s="15">
        <f>Table1[[#This Row],[Sub Total]]-Table1[[#This Row],[Discount Rp]]</f>
        <v>847537.5</v>
      </c>
      <c r="Y209" s="15">
        <f ca="1">OFFSET(Helper!$C$3,MATCH(Data!$N$4:$N$1003,Helper!$C$4:$C$9,0),MATCH(Data!$O$4:$O$1003,Helper!$D$3:$F$3,0))</f>
        <v>15000</v>
      </c>
      <c r="Z209" s="16">
        <f ca="1">Table1[[#This Row],[Order Total]]+Table1[[#This Row],[Shipping Cost]]</f>
        <v>862537.5</v>
      </c>
    </row>
    <row r="210" spans="1:26" ht="15.75" customHeight="1" x14ac:dyDescent="0.3">
      <c r="A210" s="9" t="s">
        <v>664</v>
      </c>
      <c r="B210" s="18">
        <v>42819</v>
      </c>
      <c r="C210" s="10">
        <f>YEAR(Table1[[#This Row],[Order Date]])</f>
        <v>2017</v>
      </c>
      <c r="D210" s="10" t="s">
        <v>52</v>
      </c>
      <c r="E210" s="10" t="s">
        <v>53</v>
      </c>
      <c r="F210" s="10" t="s">
        <v>54</v>
      </c>
      <c r="G210" s="10" t="s">
        <v>55</v>
      </c>
      <c r="H210" s="10" t="s">
        <v>56</v>
      </c>
      <c r="I210" s="10" t="str">
        <f>VLOOKUP(Table1[[#This Row],[Account Manager ID]],Table2[[Employee ID]:[Full Name]],4,FALSE)</f>
        <v>Gaduh Pratama</v>
      </c>
      <c r="J210" s="10" t="str">
        <f>INDEX(Employee!$D$4:$D$47,MATCH($H$4:$H$1003,Employee!$A$4:$A$47,0))</f>
        <v>Gaduh Pratama</v>
      </c>
      <c r="K210" s="10" t="s">
        <v>92</v>
      </c>
      <c r="L210" s="10" t="s">
        <v>113</v>
      </c>
      <c r="M210" s="10" t="s">
        <v>59</v>
      </c>
      <c r="N210" s="10" t="s">
        <v>60</v>
      </c>
      <c r="O210" s="10" t="s">
        <v>61</v>
      </c>
      <c r="P210" s="10">
        <v>42821</v>
      </c>
      <c r="Q210" s="15">
        <v>79950</v>
      </c>
      <c r="R210" s="15">
        <v>129000</v>
      </c>
      <c r="S210" s="15">
        <f>Table1[[#This Row],[Retail Price]]-Table1[[#This Row],[Cost Price]]</f>
        <v>49050</v>
      </c>
      <c r="T210" s="10">
        <v>6</v>
      </c>
      <c r="U210" s="15">
        <f>Table1[[#This Row],[Profit Margin]]*Table1[[#This Row],[Order Quantity]]</f>
        <v>294300</v>
      </c>
      <c r="V210" s="11">
        <v>0.04</v>
      </c>
      <c r="W210" s="15">
        <f t="shared" si="3"/>
        <v>11772</v>
      </c>
      <c r="X210" s="15">
        <f>Table1[[#This Row],[Sub Total]]-Table1[[#This Row],[Discount Rp]]</f>
        <v>282528</v>
      </c>
      <c r="Y210" s="15">
        <f ca="1">OFFSET(Helper!$C$3,MATCH(Data!$N$4:$N$1003,Helper!$C$4:$C$9,0),MATCH(Data!$O$4:$O$1003,Helper!$D$3:$F$3,0))</f>
        <v>15000</v>
      </c>
      <c r="Z210" s="16">
        <f ca="1">Table1[[#This Row],[Order Total]]+Table1[[#This Row],[Shipping Cost]]</f>
        <v>297528</v>
      </c>
    </row>
    <row r="211" spans="1:26" ht="15.75" customHeight="1" x14ac:dyDescent="0.3">
      <c r="A211" s="9" t="s">
        <v>665</v>
      </c>
      <c r="B211" s="18">
        <v>42819</v>
      </c>
      <c r="C211" s="10">
        <f>YEAR(Table1[[#This Row],[Order Date]])</f>
        <v>2017</v>
      </c>
      <c r="D211" s="10" t="s">
        <v>52</v>
      </c>
      <c r="E211" s="10" t="s">
        <v>53</v>
      </c>
      <c r="F211" s="10" t="s">
        <v>54</v>
      </c>
      <c r="G211" s="10" t="s">
        <v>55</v>
      </c>
      <c r="H211" s="10" t="s">
        <v>56</v>
      </c>
      <c r="I211" s="10" t="str">
        <f>VLOOKUP(Table1[[#This Row],[Account Manager ID]],Table2[[Employee ID]:[Full Name]],4,FALSE)</f>
        <v>Gaduh Pratama</v>
      </c>
      <c r="J211" s="10" t="str">
        <f>INDEX(Employee!$D$4:$D$47,MATCH($H$4:$H$1003,Employee!$A$4:$A$47,0))</f>
        <v>Gaduh Pratama</v>
      </c>
      <c r="K211" s="10" t="s">
        <v>92</v>
      </c>
      <c r="L211" s="10" t="s">
        <v>280</v>
      </c>
      <c r="M211" s="10" t="s">
        <v>59</v>
      </c>
      <c r="N211" s="10" t="s">
        <v>67</v>
      </c>
      <c r="O211" s="10" t="s">
        <v>61</v>
      </c>
      <c r="P211" s="10">
        <v>42823</v>
      </c>
      <c r="Q211" s="15">
        <v>34350</v>
      </c>
      <c r="R211" s="15">
        <v>53700</v>
      </c>
      <c r="S211" s="15">
        <f>Table1[[#This Row],[Retail Price]]-Table1[[#This Row],[Cost Price]]</f>
        <v>19350</v>
      </c>
      <c r="T211" s="10">
        <v>30</v>
      </c>
      <c r="U211" s="15">
        <f>Table1[[#This Row],[Profit Margin]]*Table1[[#This Row],[Order Quantity]]</f>
        <v>580500</v>
      </c>
      <c r="V211" s="11">
        <v>0.01</v>
      </c>
      <c r="W211" s="15">
        <f t="shared" si="3"/>
        <v>5805</v>
      </c>
      <c r="X211" s="15">
        <f>Table1[[#This Row],[Sub Total]]-Table1[[#This Row],[Discount Rp]]</f>
        <v>574695</v>
      </c>
      <c r="Y211" s="15">
        <f ca="1">OFFSET(Helper!$C$3,MATCH(Data!$N$4:$N$1003,Helper!$C$4:$C$9,0),MATCH(Data!$O$4:$O$1003,Helper!$D$3:$F$3,0))</f>
        <v>5000</v>
      </c>
      <c r="Z211" s="16">
        <f ca="1">Table1[[#This Row],[Order Total]]+Table1[[#This Row],[Shipping Cost]]</f>
        <v>579695</v>
      </c>
    </row>
    <row r="212" spans="1:26" ht="15.75" customHeight="1" x14ac:dyDescent="0.3">
      <c r="A212" s="9" t="s">
        <v>666</v>
      </c>
      <c r="B212" s="18">
        <v>42819</v>
      </c>
      <c r="C212" s="10">
        <f>YEAR(Table1[[#This Row],[Order Date]])</f>
        <v>2017</v>
      </c>
      <c r="D212" s="10" t="s">
        <v>667</v>
      </c>
      <c r="E212" s="10" t="s">
        <v>668</v>
      </c>
      <c r="F212" s="10" t="s">
        <v>71</v>
      </c>
      <c r="G212" s="10" t="s">
        <v>72</v>
      </c>
      <c r="H212" s="10" t="s">
        <v>146</v>
      </c>
      <c r="I212" s="10" t="str">
        <f>VLOOKUP(Table1[[#This Row],[Account Manager ID]],Table2[[Employee ID]:[Full Name]],4,FALSE)</f>
        <v>Kenari Rajasa</v>
      </c>
      <c r="J212" s="10" t="str">
        <f>INDEX(Employee!$D$4:$D$47,MATCH($H$4:$H$1003,Employee!$A$4:$A$47,0))</f>
        <v>Kenari Rajasa</v>
      </c>
      <c r="K212" s="10" t="s">
        <v>92</v>
      </c>
      <c r="L212" s="10" t="s">
        <v>456</v>
      </c>
      <c r="M212" s="10" t="s">
        <v>59</v>
      </c>
      <c r="N212" s="10" t="s">
        <v>60</v>
      </c>
      <c r="O212" s="10" t="s">
        <v>61</v>
      </c>
      <c r="P212" s="10">
        <v>42823</v>
      </c>
      <c r="Q212" s="15">
        <v>275700</v>
      </c>
      <c r="R212" s="15">
        <v>437550</v>
      </c>
      <c r="S212" s="15">
        <f>Table1[[#This Row],[Retail Price]]-Table1[[#This Row],[Cost Price]]</f>
        <v>161850</v>
      </c>
      <c r="T212" s="10">
        <v>16</v>
      </c>
      <c r="U212" s="15">
        <f>Table1[[#This Row],[Profit Margin]]*Table1[[#This Row],[Order Quantity]]</f>
        <v>2589600</v>
      </c>
      <c r="V212" s="11">
        <v>7.0000000000000007E-2</v>
      </c>
      <c r="W212" s="15">
        <f t="shared" si="3"/>
        <v>181272.00000000003</v>
      </c>
      <c r="X212" s="15">
        <f>Table1[[#This Row],[Sub Total]]-Table1[[#This Row],[Discount Rp]]</f>
        <v>2408328</v>
      </c>
      <c r="Y212" s="15">
        <f ca="1">OFFSET(Helper!$C$3,MATCH(Data!$N$4:$N$1003,Helper!$C$4:$C$9,0),MATCH(Data!$O$4:$O$1003,Helper!$D$3:$F$3,0))</f>
        <v>15000</v>
      </c>
      <c r="Z212" s="16">
        <f ca="1">Table1[[#This Row],[Order Total]]+Table1[[#This Row],[Shipping Cost]]</f>
        <v>2423328</v>
      </c>
    </row>
    <row r="213" spans="1:26" ht="15.75" customHeight="1" x14ac:dyDescent="0.3">
      <c r="A213" s="9" t="s">
        <v>669</v>
      </c>
      <c r="B213" s="18">
        <v>42821</v>
      </c>
      <c r="C213" s="10">
        <f>YEAR(Table1[[#This Row],[Order Date]])</f>
        <v>2017</v>
      </c>
      <c r="D213" s="10" t="s">
        <v>670</v>
      </c>
      <c r="E213" s="10" t="s">
        <v>462</v>
      </c>
      <c r="F213" s="10" t="s">
        <v>71</v>
      </c>
      <c r="G213" s="10" t="s">
        <v>87</v>
      </c>
      <c r="H213" s="10" t="s">
        <v>112</v>
      </c>
      <c r="I213" s="10" t="str">
        <f>VLOOKUP(Table1[[#This Row],[Account Manager ID]],Table2[[Employee ID]:[Full Name]],4,FALSE)</f>
        <v>Paiman Firgantoro</v>
      </c>
      <c r="J213" s="10" t="str">
        <f>INDEX(Employee!$D$4:$D$47,MATCH($H$4:$H$1003,Employee!$A$4:$A$47,0))</f>
        <v>Paiman Firgantoro</v>
      </c>
      <c r="K213" s="10" t="s">
        <v>107</v>
      </c>
      <c r="L213" s="10" t="s">
        <v>671</v>
      </c>
      <c r="M213" s="10" t="s">
        <v>59</v>
      </c>
      <c r="N213" s="10" t="s">
        <v>60</v>
      </c>
      <c r="O213" s="10" t="s">
        <v>61</v>
      </c>
      <c r="P213" s="10">
        <v>42822</v>
      </c>
      <c r="Q213" s="15">
        <v>56250</v>
      </c>
      <c r="R213" s="15">
        <v>86550</v>
      </c>
      <c r="S213" s="15">
        <f>Table1[[#This Row],[Retail Price]]-Table1[[#This Row],[Cost Price]]</f>
        <v>30300</v>
      </c>
      <c r="T213" s="10">
        <v>9</v>
      </c>
      <c r="U213" s="15">
        <f>Table1[[#This Row],[Profit Margin]]*Table1[[#This Row],[Order Quantity]]</f>
        <v>272700</v>
      </c>
      <c r="V213" s="11">
        <v>0</v>
      </c>
      <c r="W213" s="15">
        <f t="shared" si="3"/>
        <v>0</v>
      </c>
      <c r="X213" s="15">
        <f>Table1[[#This Row],[Sub Total]]-Table1[[#This Row],[Discount Rp]]</f>
        <v>272700</v>
      </c>
      <c r="Y213" s="15">
        <f ca="1">OFFSET(Helper!$C$3,MATCH(Data!$N$4:$N$1003,Helper!$C$4:$C$9,0),MATCH(Data!$O$4:$O$1003,Helper!$D$3:$F$3,0))</f>
        <v>15000</v>
      </c>
      <c r="Z213" s="16">
        <f ca="1">Table1[[#This Row],[Order Total]]+Table1[[#This Row],[Shipping Cost]]</f>
        <v>287700</v>
      </c>
    </row>
    <row r="214" spans="1:26" ht="15.75" customHeight="1" x14ac:dyDescent="0.3">
      <c r="A214" s="9" t="s">
        <v>672</v>
      </c>
      <c r="B214" s="18">
        <v>42821</v>
      </c>
      <c r="C214" s="10">
        <f>YEAR(Table1[[#This Row],[Order Date]])</f>
        <v>2017</v>
      </c>
      <c r="D214" s="10" t="s">
        <v>673</v>
      </c>
      <c r="E214" s="10" t="s">
        <v>268</v>
      </c>
      <c r="F214" s="10" t="s">
        <v>71</v>
      </c>
      <c r="G214" s="10" t="s">
        <v>72</v>
      </c>
      <c r="H214" s="10" t="s">
        <v>73</v>
      </c>
      <c r="I214" s="10" t="str">
        <f>VLOOKUP(Table1[[#This Row],[Account Manager ID]],Table2[[Employee ID]:[Full Name]],4,FALSE)</f>
        <v>Cinthia Gunawan</v>
      </c>
      <c r="J214" s="10" t="str">
        <f>INDEX(Employee!$D$4:$D$47,MATCH($H$4:$H$1003,Employee!$A$4:$A$47,0))</f>
        <v>Cinthia Gunawan</v>
      </c>
      <c r="K214" s="10" t="s">
        <v>74</v>
      </c>
      <c r="L214" s="10" t="s">
        <v>674</v>
      </c>
      <c r="M214" s="10" t="s">
        <v>59</v>
      </c>
      <c r="N214" s="10" t="s">
        <v>67</v>
      </c>
      <c r="O214" s="10" t="s">
        <v>61</v>
      </c>
      <c r="P214" s="10">
        <v>42823</v>
      </c>
      <c r="Q214" s="15">
        <v>28800</v>
      </c>
      <c r="R214" s="15">
        <v>48900</v>
      </c>
      <c r="S214" s="15">
        <f>Table1[[#This Row],[Retail Price]]-Table1[[#This Row],[Cost Price]]</f>
        <v>20100</v>
      </c>
      <c r="T214" s="10">
        <v>6</v>
      </c>
      <c r="U214" s="15">
        <f>Table1[[#This Row],[Profit Margin]]*Table1[[#This Row],[Order Quantity]]</f>
        <v>120600</v>
      </c>
      <c r="V214" s="11">
        <v>0.01</v>
      </c>
      <c r="W214" s="15">
        <f t="shared" si="3"/>
        <v>1206</v>
      </c>
      <c r="X214" s="15">
        <f>Table1[[#This Row],[Sub Total]]-Table1[[#This Row],[Discount Rp]]</f>
        <v>119394</v>
      </c>
      <c r="Y214" s="15">
        <f ca="1">OFFSET(Helper!$C$3,MATCH(Data!$N$4:$N$1003,Helper!$C$4:$C$9,0),MATCH(Data!$O$4:$O$1003,Helper!$D$3:$F$3,0))</f>
        <v>5000</v>
      </c>
      <c r="Z214" s="16">
        <f ca="1">Table1[[#This Row],[Order Total]]+Table1[[#This Row],[Shipping Cost]]</f>
        <v>124394</v>
      </c>
    </row>
    <row r="215" spans="1:26" ht="15.75" customHeight="1" x14ac:dyDescent="0.3">
      <c r="A215" s="9" t="s">
        <v>675</v>
      </c>
      <c r="B215" s="18">
        <v>42824</v>
      </c>
      <c r="C215" s="10">
        <f>YEAR(Table1[[#This Row],[Order Date]])</f>
        <v>2017</v>
      </c>
      <c r="D215" s="10" t="s">
        <v>676</v>
      </c>
      <c r="E215" s="10" t="s">
        <v>445</v>
      </c>
      <c r="F215" s="10" t="s">
        <v>54</v>
      </c>
      <c r="G215" s="10" t="s">
        <v>106</v>
      </c>
      <c r="H215" s="10" t="s">
        <v>56</v>
      </c>
      <c r="I215" s="10" t="str">
        <f>VLOOKUP(Table1[[#This Row],[Account Manager ID]],Table2[[Employee ID]:[Full Name]],4,FALSE)</f>
        <v>Gaduh Pratama</v>
      </c>
      <c r="J215" s="10" t="str">
        <f>INDEX(Employee!$D$4:$D$47,MATCH($H$4:$H$1003,Employee!$A$4:$A$47,0))</f>
        <v>Gaduh Pratama</v>
      </c>
      <c r="K215" s="10" t="s">
        <v>74</v>
      </c>
      <c r="L215" s="10" t="s">
        <v>611</v>
      </c>
      <c r="M215" s="10" t="s">
        <v>59</v>
      </c>
      <c r="N215" s="10" t="s">
        <v>60</v>
      </c>
      <c r="O215" s="10" t="s">
        <v>61</v>
      </c>
      <c r="P215" s="10">
        <v>42827</v>
      </c>
      <c r="Q215" s="15">
        <v>34350</v>
      </c>
      <c r="R215" s="15">
        <v>55350</v>
      </c>
      <c r="S215" s="15">
        <f>Table1[[#This Row],[Retail Price]]-Table1[[#This Row],[Cost Price]]</f>
        <v>21000</v>
      </c>
      <c r="T215" s="10">
        <v>45</v>
      </c>
      <c r="U215" s="15">
        <f>Table1[[#This Row],[Profit Margin]]*Table1[[#This Row],[Order Quantity]]</f>
        <v>945000</v>
      </c>
      <c r="V215" s="11">
        <v>0.08</v>
      </c>
      <c r="W215" s="15">
        <f t="shared" si="3"/>
        <v>75600</v>
      </c>
      <c r="X215" s="15">
        <f>Table1[[#This Row],[Sub Total]]-Table1[[#This Row],[Discount Rp]]</f>
        <v>869400</v>
      </c>
      <c r="Y215" s="15">
        <f ca="1">OFFSET(Helper!$C$3,MATCH(Data!$N$4:$N$1003,Helper!$C$4:$C$9,0),MATCH(Data!$O$4:$O$1003,Helper!$D$3:$F$3,0))</f>
        <v>15000</v>
      </c>
      <c r="Z215" s="16">
        <f ca="1">Table1[[#This Row],[Order Total]]+Table1[[#This Row],[Shipping Cost]]</f>
        <v>884400</v>
      </c>
    </row>
    <row r="216" spans="1:26" ht="15.75" customHeight="1" x14ac:dyDescent="0.3">
      <c r="A216" s="9" t="s">
        <v>677</v>
      </c>
      <c r="B216" s="18">
        <v>42825</v>
      </c>
      <c r="C216" s="10">
        <f>YEAR(Table1[[#This Row],[Order Date]])</f>
        <v>2017</v>
      </c>
      <c r="D216" s="10" t="s">
        <v>678</v>
      </c>
      <c r="E216" s="10" t="s">
        <v>193</v>
      </c>
      <c r="F216" s="10" t="s">
        <v>71</v>
      </c>
      <c r="G216" s="10" t="s">
        <v>72</v>
      </c>
      <c r="H216" s="10" t="s">
        <v>194</v>
      </c>
      <c r="I216" s="10" t="str">
        <f>VLOOKUP(Table1[[#This Row],[Account Manager ID]],Table2[[Employee ID]:[Full Name]],4,FALSE)</f>
        <v>Nabila Prakasa</v>
      </c>
      <c r="J216" s="10" t="str">
        <f>INDEX(Employee!$D$4:$D$47,MATCH($H$4:$H$1003,Employee!$A$4:$A$47,0))</f>
        <v>Nabila Prakasa</v>
      </c>
      <c r="K216" s="10" t="s">
        <v>74</v>
      </c>
      <c r="L216" s="10" t="s">
        <v>113</v>
      </c>
      <c r="M216" s="10" t="s">
        <v>59</v>
      </c>
      <c r="N216" s="10" t="s">
        <v>60</v>
      </c>
      <c r="O216" s="10" t="s">
        <v>61</v>
      </c>
      <c r="P216" s="10">
        <v>42827</v>
      </c>
      <c r="Q216" s="15">
        <v>79950</v>
      </c>
      <c r="R216" s="15">
        <v>129000</v>
      </c>
      <c r="S216" s="15">
        <f>Table1[[#This Row],[Retail Price]]-Table1[[#This Row],[Cost Price]]</f>
        <v>49050</v>
      </c>
      <c r="T216" s="10">
        <v>23</v>
      </c>
      <c r="U216" s="15">
        <f>Table1[[#This Row],[Profit Margin]]*Table1[[#This Row],[Order Quantity]]</f>
        <v>1128150</v>
      </c>
      <c r="V216" s="11">
        <v>0.02</v>
      </c>
      <c r="W216" s="15">
        <f t="shared" si="3"/>
        <v>22563</v>
      </c>
      <c r="X216" s="15">
        <f>Table1[[#This Row],[Sub Total]]-Table1[[#This Row],[Discount Rp]]</f>
        <v>1105587</v>
      </c>
      <c r="Y216" s="15">
        <f ca="1">OFFSET(Helper!$C$3,MATCH(Data!$N$4:$N$1003,Helper!$C$4:$C$9,0),MATCH(Data!$O$4:$O$1003,Helper!$D$3:$F$3,0))</f>
        <v>15000</v>
      </c>
      <c r="Z216" s="16">
        <f ca="1">Table1[[#This Row],[Order Total]]+Table1[[#This Row],[Shipping Cost]]</f>
        <v>1120587</v>
      </c>
    </row>
    <row r="217" spans="1:26" ht="15.75" customHeight="1" x14ac:dyDescent="0.3">
      <c r="A217" s="9" t="s">
        <v>679</v>
      </c>
      <c r="B217" s="18">
        <v>42827</v>
      </c>
      <c r="C217" s="10">
        <f>YEAR(Table1[[#This Row],[Order Date]])</f>
        <v>2017</v>
      </c>
      <c r="D217" s="10" t="s">
        <v>296</v>
      </c>
      <c r="E217" s="10" t="s">
        <v>53</v>
      </c>
      <c r="F217" s="10" t="s">
        <v>54</v>
      </c>
      <c r="G217" s="10" t="s">
        <v>87</v>
      </c>
      <c r="H217" s="10" t="s">
        <v>56</v>
      </c>
      <c r="I217" s="10" t="str">
        <f>VLOOKUP(Table1[[#This Row],[Account Manager ID]],Table2[[Employee ID]:[Full Name]],4,FALSE)</f>
        <v>Gaduh Pratama</v>
      </c>
      <c r="J217" s="10" t="str">
        <f>INDEX(Employee!$D$4:$D$47,MATCH($H$4:$H$1003,Employee!$A$4:$A$47,0))</f>
        <v>Gaduh Pratama</v>
      </c>
      <c r="K217" s="10" t="s">
        <v>57</v>
      </c>
      <c r="L217" s="10" t="s">
        <v>526</v>
      </c>
      <c r="M217" s="10" t="s">
        <v>81</v>
      </c>
      <c r="N217" s="10" t="s">
        <v>60</v>
      </c>
      <c r="O217" s="10" t="s">
        <v>61</v>
      </c>
      <c r="P217" s="10">
        <v>42829</v>
      </c>
      <c r="Q217" s="15">
        <v>631650</v>
      </c>
      <c r="R217" s="15">
        <v>1214700</v>
      </c>
      <c r="S217" s="15">
        <f>Table1[[#This Row],[Retail Price]]-Table1[[#This Row],[Cost Price]]</f>
        <v>583050</v>
      </c>
      <c r="T217" s="10">
        <v>13</v>
      </c>
      <c r="U217" s="15">
        <f>Table1[[#This Row],[Profit Margin]]*Table1[[#This Row],[Order Quantity]]</f>
        <v>7579650</v>
      </c>
      <c r="V217" s="11">
        <v>0.03</v>
      </c>
      <c r="W217" s="15">
        <f t="shared" si="3"/>
        <v>227389.5</v>
      </c>
      <c r="X217" s="15">
        <f>Table1[[#This Row],[Sub Total]]-Table1[[#This Row],[Discount Rp]]</f>
        <v>7352260.5</v>
      </c>
      <c r="Y217" s="15">
        <f ca="1">OFFSET(Helper!$C$3,MATCH(Data!$N$4:$N$1003,Helper!$C$4:$C$9,0),MATCH(Data!$O$4:$O$1003,Helper!$D$3:$F$3,0))</f>
        <v>15000</v>
      </c>
      <c r="Z217" s="16">
        <f ca="1">Table1[[#This Row],[Order Total]]+Table1[[#This Row],[Shipping Cost]]</f>
        <v>7367260.5</v>
      </c>
    </row>
    <row r="218" spans="1:26" ht="15.75" customHeight="1" x14ac:dyDescent="0.3">
      <c r="A218" s="9" t="s">
        <v>680</v>
      </c>
      <c r="B218" s="18">
        <v>42831</v>
      </c>
      <c r="C218" s="10">
        <f>YEAR(Table1[[#This Row],[Order Date]])</f>
        <v>2017</v>
      </c>
      <c r="D218" s="10" t="s">
        <v>681</v>
      </c>
      <c r="E218" s="10" t="s">
        <v>206</v>
      </c>
      <c r="F218" s="10" t="s">
        <v>71</v>
      </c>
      <c r="G218" s="10" t="s">
        <v>106</v>
      </c>
      <c r="H218" s="10" t="s">
        <v>155</v>
      </c>
      <c r="I218" s="10" t="str">
        <f>VLOOKUP(Table1[[#This Row],[Account Manager ID]],Table2[[Employee ID]:[Full Name]],4,FALSE)</f>
        <v>Puti Nadine Prakasa</v>
      </c>
      <c r="J218" s="10" t="str">
        <f>INDEX(Employee!$D$4:$D$47,MATCH($H$4:$H$1003,Employee!$A$4:$A$47,0))</f>
        <v>Puti Nadine Prakasa</v>
      </c>
      <c r="K218" s="10" t="s">
        <v>74</v>
      </c>
      <c r="L218" s="10" t="s">
        <v>190</v>
      </c>
      <c r="M218" s="10" t="s">
        <v>81</v>
      </c>
      <c r="N218" s="10" t="s">
        <v>60</v>
      </c>
      <c r="O218" s="10" t="s">
        <v>61</v>
      </c>
      <c r="P218" s="10">
        <v>42833</v>
      </c>
      <c r="Q218" s="15">
        <v>594600</v>
      </c>
      <c r="R218" s="15">
        <v>2287200</v>
      </c>
      <c r="S218" s="15">
        <f>Table1[[#This Row],[Retail Price]]-Table1[[#This Row],[Cost Price]]</f>
        <v>1692600</v>
      </c>
      <c r="T218" s="10">
        <v>41</v>
      </c>
      <c r="U218" s="15">
        <f>Table1[[#This Row],[Profit Margin]]*Table1[[#This Row],[Order Quantity]]</f>
        <v>69396600</v>
      </c>
      <c r="V218" s="11">
        <v>7.0000000000000007E-2</v>
      </c>
      <c r="W218" s="15">
        <f t="shared" si="3"/>
        <v>4857762</v>
      </c>
      <c r="X218" s="15">
        <f>Table1[[#This Row],[Sub Total]]-Table1[[#This Row],[Discount Rp]]</f>
        <v>64538838</v>
      </c>
      <c r="Y218" s="15">
        <f ca="1">OFFSET(Helper!$C$3,MATCH(Data!$N$4:$N$1003,Helper!$C$4:$C$9,0),MATCH(Data!$O$4:$O$1003,Helper!$D$3:$F$3,0))</f>
        <v>15000</v>
      </c>
      <c r="Z218" s="16">
        <f ca="1">Table1[[#This Row],[Order Total]]+Table1[[#This Row],[Shipping Cost]]</f>
        <v>64553838</v>
      </c>
    </row>
    <row r="219" spans="1:26" ht="15.75" customHeight="1" x14ac:dyDescent="0.3">
      <c r="A219" s="9" t="s">
        <v>682</v>
      </c>
      <c r="B219" s="18">
        <v>42831</v>
      </c>
      <c r="C219" s="10">
        <f>YEAR(Table1[[#This Row],[Order Date]])</f>
        <v>2017</v>
      </c>
      <c r="D219" s="10" t="s">
        <v>683</v>
      </c>
      <c r="E219" s="10" t="s">
        <v>116</v>
      </c>
      <c r="F219" s="10" t="s">
        <v>54</v>
      </c>
      <c r="G219" s="10" t="s">
        <v>55</v>
      </c>
      <c r="H219" s="10" t="s">
        <v>65</v>
      </c>
      <c r="I219" s="10" t="str">
        <f>VLOOKUP(Table1[[#This Row],[Account Manager ID]],Table2[[Employee ID]:[Full Name]],4,FALSE)</f>
        <v>Laras Nuraini</v>
      </c>
      <c r="J219" s="10" t="str">
        <f>INDEX(Employee!$D$4:$D$47,MATCH($H$4:$H$1003,Employee!$A$4:$A$47,0))</f>
        <v>Laras Nuraini</v>
      </c>
      <c r="K219" s="10" t="s">
        <v>117</v>
      </c>
      <c r="L219" s="10" t="s">
        <v>684</v>
      </c>
      <c r="M219" s="10" t="s">
        <v>59</v>
      </c>
      <c r="N219" s="10" t="s">
        <v>60</v>
      </c>
      <c r="O219" s="10" t="s">
        <v>61</v>
      </c>
      <c r="P219" s="10">
        <v>42831</v>
      </c>
      <c r="Q219" s="15">
        <v>47100</v>
      </c>
      <c r="R219" s="15">
        <v>73650</v>
      </c>
      <c r="S219" s="15">
        <f>Table1[[#This Row],[Retail Price]]-Table1[[#This Row],[Cost Price]]</f>
        <v>26550</v>
      </c>
      <c r="T219" s="10">
        <v>12</v>
      </c>
      <c r="U219" s="15">
        <f>Table1[[#This Row],[Profit Margin]]*Table1[[#This Row],[Order Quantity]]</f>
        <v>318600</v>
      </c>
      <c r="V219" s="11">
        <v>0.04</v>
      </c>
      <c r="W219" s="15">
        <f t="shared" si="3"/>
        <v>12744</v>
      </c>
      <c r="X219" s="15">
        <f>Table1[[#This Row],[Sub Total]]-Table1[[#This Row],[Discount Rp]]</f>
        <v>305856</v>
      </c>
      <c r="Y219" s="15">
        <f ca="1">OFFSET(Helper!$C$3,MATCH(Data!$N$4:$N$1003,Helper!$C$4:$C$9,0),MATCH(Data!$O$4:$O$1003,Helper!$D$3:$F$3,0))</f>
        <v>15000</v>
      </c>
      <c r="Z219" s="16">
        <f ca="1">Table1[[#This Row],[Order Total]]+Table1[[#This Row],[Shipping Cost]]</f>
        <v>320856</v>
      </c>
    </row>
    <row r="220" spans="1:26" ht="15.75" customHeight="1" x14ac:dyDescent="0.3">
      <c r="A220" s="9" t="s">
        <v>685</v>
      </c>
      <c r="B220" s="18">
        <v>42835</v>
      </c>
      <c r="C220" s="10">
        <f>YEAR(Table1[[#This Row],[Order Date]])</f>
        <v>2017</v>
      </c>
      <c r="D220" s="10" t="s">
        <v>686</v>
      </c>
      <c r="E220" s="10" t="s">
        <v>251</v>
      </c>
      <c r="F220" s="10" t="s">
        <v>71</v>
      </c>
      <c r="G220" s="10" t="s">
        <v>55</v>
      </c>
      <c r="H220" s="10" t="s">
        <v>122</v>
      </c>
      <c r="I220" s="10" t="str">
        <f>VLOOKUP(Table1[[#This Row],[Account Manager ID]],Table2[[Employee ID]:[Full Name]],4,FALSE)</f>
        <v>Ophelia Mustofa</v>
      </c>
      <c r="J220" s="10" t="str">
        <f>INDEX(Employee!$D$4:$D$47,MATCH($H$4:$H$1003,Employee!$A$4:$A$47,0))</f>
        <v>Ophelia Mustofa</v>
      </c>
      <c r="K220" s="10" t="s">
        <v>92</v>
      </c>
      <c r="L220" s="10" t="s">
        <v>456</v>
      </c>
      <c r="M220" s="10" t="s">
        <v>59</v>
      </c>
      <c r="N220" s="10" t="s">
        <v>60</v>
      </c>
      <c r="O220" s="10" t="s">
        <v>61</v>
      </c>
      <c r="P220" s="10">
        <v>42837</v>
      </c>
      <c r="Q220" s="15">
        <v>275700</v>
      </c>
      <c r="R220" s="15">
        <v>437550</v>
      </c>
      <c r="S220" s="15">
        <f>Table1[[#This Row],[Retail Price]]-Table1[[#This Row],[Cost Price]]</f>
        <v>161850</v>
      </c>
      <c r="T220" s="10">
        <v>37</v>
      </c>
      <c r="U220" s="15">
        <f>Table1[[#This Row],[Profit Margin]]*Table1[[#This Row],[Order Quantity]]</f>
        <v>5988450</v>
      </c>
      <c r="V220" s="11">
        <v>0.09</v>
      </c>
      <c r="W220" s="15">
        <f t="shared" si="3"/>
        <v>538960.5</v>
      </c>
      <c r="X220" s="15">
        <f>Table1[[#This Row],[Sub Total]]-Table1[[#This Row],[Discount Rp]]</f>
        <v>5449489.5</v>
      </c>
      <c r="Y220" s="15">
        <f ca="1">OFFSET(Helper!$C$3,MATCH(Data!$N$4:$N$1003,Helper!$C$4:$C$9,0),MATCH(Data!$O$4:$O$1003,Helper!$D$3:$F$3,0))</f>
        <v>15000</v>
      </c>
      <c r="Z220" s="16">
        <f ca="1">Table1[[#This Row],[Order Total]]+Table1[[#This Row],[Shipping Cost]]</f>
        <v>5464489.5</v>
      </c>
    </row>
    <row r="221" spans="1:26" ht="15.75" customHeight="1" x14ac:dyDescent="0.3">
      <c r="A221" s="9" t="s">
        <v>687</v>
      </c>
      <c r="B221" s="18">
        <v>42837</v>
      </c>
      <c r="C221" s="10">
        <f>YEAR(Table1[[#This Row],[Order Date]])</f>
        <v>2017</v>
      </c>
      <c r="D221" s="10" t="s">
        <v>386</v>
      </c>
      <c r="E221" s="10" t="s">
        <v>387</v>
      </c>
      <c r="F221" s="10" t="s">
        <v>71</v>
      </c>
      <c r="G221" s="10" t="s">
        <v>87</v>
      </c>
      <c r="H221" s="10" t="s">
        <v>194</v>
      </c>
      <c r="I221" s="10" t="str">
        <f>VLOOKUP(Table1[[#This Row],[Account Manager ID]],Table2[[Employee ID]:[Full Name]],4,FALSE)</f>
        <v>Nabila Prakasa</v>
      </c>
      <c r="J221" s="10" t="str">
        <f>INDEX(Employee!$D$4:$D$47,MATCH($H$4:$H$1003,Employee!$A$4:$A$47,0))</f>
        <v>Nabila Prakasa</v>
      </c>
      <c r="K221" s="10" t="s">
        <v>117</v>
      </c>
      <c r="L221" s="10" t="s">
        <v>66</v>
      </c>
      <c r="M221" s="10" t="s">
        <v>59</v>
      </c>
      <c r="N221" s="10" t="s">
        <v>67</v>
      </c>
      <c r="O221" s="10" t="s">
        <v>61</v>
      </c>
      <c r="P221" s="10">
        <v>42838</v>
      </c>
      <c r="Q221" s="15">
        <v>35850</v>
      </c>
      <c r="R221" s="15">
        <v>63900</v>
      </c>
      <c r="S221" s="15">
        <f>Table1[[#This Row],[Retail Price]]-Table1[[#This Row],[Cost Price]]</f>
        <v>28050</v>
      </c>
      <c r="T221" s="10">
        <v>26</v>
      </c>
      <c r="U221" s="15">
        <f>Table1[[#This Row],[Profit Margin]]*Table1[[#This Row],[Order Quantity]]</f>
        <v>729300</v>
      </c>
      <c r="V221" s="11">
        <v>0.1</v>
      </c>
      <c r="W221" s="15">
        <f t="shared" si="3"/>
        <v>72930</v>
      </c>
      <c r="X221" s="15">
        <f>Table1[[#This Row],[Sub Total]]-Table1[[#This Row],[Discount Rp]]</f>
        <v>656370</v>
      </c>
      <c r="Y221" s="15">
        <f ca="1">OFFSET(Helper!$C$3,MATCH(Data!$N$4:$N$1003,Helper!$C$4:$C$9,0),MATCH(Data!$O$4:$O$1003,Helper!$D$3:$F$3,0))</f>
        <v>5000</v>
      </c>
      <c r="Z221" s="16">
        <f ca="1">Table1[[#This Row],[Order Total]]+Table1[[#This Row],[Shipping Cost]]</f>
        <v>661370</v>
      </c>
    </row>
    <row r="222" spans="1:26" ht="15.75" customHeight="1" x14ac:dyDescent="0.3">
      <c r="A222" s="9" t="s">
        <v>688</v>
      </c>
      <c r="B222" s="18">
        <v>42837</v>
      </c>
      <c r="C222" s="10">
        <f>YEAR(Table1[[#This Row],[Order Date]])</f>
        <v>2017</v>
      </c>
      <c r="D222" s="10" t="s">
        <v>492</v>
      </c>
      <c r="E222" s="10" t="s">
        <v>493</v>
      </c>
      <c r="F222" s="10" t="s">
        <v>71</v>
      </c>
      <c r="G222" s="10" t="s">
        <v>106</v>
      </c>
      <c r="H222" s="10" t="s">
        <v>112</v>
      </c>
      <c r="I222" s="10" t="str">
        <f>VLOOKUP(Table1[[#This Row],[Account Manager ID]],Table2[[Employee ID]:[Full Name]],4,FALSE)</f>
        <v>Paiman Firgantoro</v>
      </c>
      <c r="J222" s="10" t="str">
        <f>INDEX(Employee!$D$4:$D$47,MATCH($H$4:$H$1003,Employee!$A$4:$A$47,0))</f>
        <v>Paiman Firgantoro</v>
      </c>
      <c r="K222" s="10" t="s">
        <v>107</v>
      </c>
      <c r="L222" s="10" t="s">
        <v>294</v>
      </c>
      <c r="M222" s="10" t="s">
        <v>81</v>
      </c>
      <c r="N222" s="10" t="s">
        <v>60</v>
      </c>
      <c r="O222" s="10" t="s">
        <v>61</v>
      </c>
      <c r="P222" s="10">
        <v>42838</v>
      </c>
      <c r="Q222" s="15">
        <v>908850</v>
      </c>
      <c r="R222" s="15">
        <v>1514700</v>
      </c>
      <c r="S222" s="15">
        <f>Table1[[#This Row],[Retail Price]]-Table1[[#This Row],[Cost Price]]</f>
        <v>605850</v>
      </c>
      <c r="T222" s="10">
        <v>1</v>
      </c>
      <c r="U222" s="15">
        <f>Table1[[#This Row],[Profit Margin]]*Table1[[#This Row],[Order Quantity]]</f>
        <v>605850</v>
      </c>
      <c r="V222" s="11">
        <v>0.1</v>
      </c>
      <c r="W222" s="15">
        <f t="shared" si="3"/>
        <v>60585</v>
      </c>
      <c r="X222" s="15">
        <f>Table1[[#This Row],[Sub Total]]-Table1[[#This Row],[Discount Rp]]</f>
        <v>545265</v>
      </c>
      <c r="Y222" s="15">
        <f ca="1">OFFSET(Helper!$C$3,MATCH(Data!$N$4:$N$1003,Helper!$C$4:$C$9,0),MATCH(Data!$O$4:$O$1003,Helper!$D$3:$F$3,0))</f>
        <v>15000</v>
      </c>
      <c r="Z222" s="16">
        <f ca="1">Table1[[#This Row],[Order Total]]+Table1[[#This Row],[Shipping Cost]]</f>
        <v>560265</v>
      </c>
    </row>
    <row r="223" spans="1:26" ht="15.75" customHeight="1" x14ac:dyDescent="0.3">
      <c r="A223" s="9" t="s">
        <v>689</v>
      </c>
      <c r="B223" s="18">
        <v>42838</v>
      </c>
      <c r="C223" s="10">
        <f>YEAR(Table1[[#This Row],[Order Date]])</f>
        <v>2017</v>
      </c>
      <c r="D223" s="10" t="s">
        <v>690</v>
      </c>
      <c r="E223" s="10" t="s">
        <v>518</v>
      </c>
      <c r="F223" s="10" t="s">
        <v>71</v>
      </c>
      <c r="G223" s="10" t="s">
        <v>106</v>
      </c>
      <c r="H223" s="10" t="s">
        <v>112</v>
      </c>
      <c r="I223" s="10" t="str">
        <f>VLOOKUP(Table1[[#This Row],[Account Manager ID]],Table2[[Employee ID]:[Full Name]],4,FALSE)</f>
        <v>Paiman Firgantoro</v>
      </c>
      <c r="J223" s="10" t="str">
        <f>INDEX(Employee!$D$4:$D$47,MATCH($H$4:$H$1003,Employee!$A$4:$A$47,0))</f>
        <v>Paiman Firgantoro</v>
      </c>
      <c r="K223" s="10" t="s">
        <v>57</v>
      </c>
      <c r="L223" s="10" t="s">
        <v>691</v>
      </c>
      <c r="M223" s="10" t="s">
        <v>59</v>
      </c>
      <c r="N223" s="10" t="s">
        <v>136</v>
      </c>
      <c r="O223" s="10" t="s">
        <v>61</v>
      </c>
      <c r="P223" s="10">
        <v>42839</v>
      </c>
      <c r="Q223" s="15">
        <v>61499.999999999993</v>
      </c>
      <c r="R223" s="15">
        <v>139650</v>
      </c>
      <c r="S223" s="15">
        <f>Table1[[#This Row],[Retail Price]]-Table1[[#This Row],[Cost Price]]</f>
        <v>78150</v>
      </c>
      <c r="T223" s="10">
        <v>18</v>
      </c>
      <c r="U223" s="15">
        <f>Table1[[#This Row],[Profit Margin]]*Table1[[#This Row],[Order Quantity]]</f>
        <v>1406700</v>
      </c>
      <c r="V223" s="11">
        <v>0.01</v>
      </c>
      <c r="W223" s="15">
        <f t="shared" si="3"/>
        <v>14067</v>
      </c>
      <c r="X223" s="15">
        <f>Table1[[#This Row],[Sub Total]]-Table1[[#This Row],[Discount Rp]]</f>
        <v>1392633</v>
      </c>
      <c r="Y223" s="15">
        <f ca="1">OFFSET(Helper!$C$3,MATCH(Data!$N$4:$N$1003,Helper!$C$4:$C$9,0),MATCH(Data!$O$4:$O$1003,Helper!$D$3:$F$3,0))</f>
        <v>10000</v>
      </c>
      <c r="Z223" s="16">
        <f ca="1">Table1[[#This Row],[Order Total]]+Table1[[#This Row],[Shipping Cost]]</f>
        <v>1402633</v>
      </c>
    </row>
    <row r="224" spans="1:26" ht="15.75" customHeight="1" x14ac:dyDescent="0.3">
      <c r="A224" s="9" t="s">
        <v>692</v>
      </c>
      <c r="B224" s="18">
        <v>42838</v>
      </c>
      <c r="C224" s="10">
        <f>YEAR(Table1[[#This Row],[Order Date]])</f>
        <v>2017</v>
      </c>
      <c r="D224" s="10" t="s">
        <v>656</v>
      </c>
      <c r="E224" s="10" t="s">
        <v>340</v>
      </c>
      <c r="F224" s="10" t="s">
        <v>54</v>
      </c>
      <c r="G224" s="10" t="s">
        <v>106</v>
      </c>
      <c r="H224" s="10" t="s">
        <v>65</v>
      </c>
      <c r="I224" s="10" t="str">
        <f>VLOOKUP(Table1[[#This Row],[Account Manager ID]],Table2[[Employee ID]:[Full Name]],4,FALSE)</f>
        <v>Laras Nuraini</v>
      </c>
      <c r="J224" s="10" t="str">
        <f>INDEX(Employee!$D$4:$D$47,MATCH($H$4:$H$1003,Employee!$A$4:$A$47,0))</f>
        <v>Laras Nuraini</v>
      </c>
      <c r="K224" s="10" t="s">
        <v>92</v>
      </c>
      <c r="L224" s="10" t="s">
        <v>256</v>
      </c>
      <c r="M224" s="10" t="s">
        <v>59</v>
      </c>
      <c r="N224" s="10" t="s">
        <v>60</v>
      </c>
      <c r="O224" s="10" t="s">
        <v>61</v>
      </c>
      <c r="P224" s="10">
        <v>42838</v>
      </c>
      <c r="Q224" s="15">
        <v>204600</v>
      </c>
      <c r="R224" s="15">
        <v>314700</v>
      </c>
      <c r="S224" s="15">
        <f>Table1[[#This Row],[Retail Price]]-Table1[[#This Row],[Cost Price]]</f>
        <v>110100</v>
      </c>
      <c r="T224" s="10">
        <v>23</v>
      </c>
      <c r="U224" s="15">
        <f>Table1[[#This Row],[Profit Margin]]*Table1[[#This Row],[Order Quantity]]</f>
        <v>2532300</v>
      </c>
      <c r="V224" s="11">
        <v>0.03</v>
      </c>
      <c r="W224" s="15">
        <f t="shared" si="3"/>
        <v>75969</v>
      </c>
      <c r="X224" s="15">
        <f>Table1[[#This Row],[Sub Total]]-Table1[[#This Row],[Discount Rp]]</f>
        <v>2456331</v>
      </c>
      <c r="Y224" s="15">
        <f ca="1">OFFSET(Helper!$C$3,MATCH(Data!$N$4:$N$1003,Helper!$C$4:$C$9,0),MATCH(Data!$O$4:$O$1003,Helper!$D$3:$F$3,0))</f>
        <v>15000</v>
      </c>
      <c r="Z224" s="16">
        <f ca="1">Table1[[#This Row],[Order Total]]+Table1[[#This Row],[Shipping Cost]]</f>
        <v>2471331</v>
      </c>
    </row>
    <row r="225" spans="1:26" ht="15.75" customHeight="1" x14ac:dyDescent="0.3">
      <c r="A225" s="9" t="s">
        <v>693</v>
      </c>
      <c r="B225" s="18">
        <v>42843</v>
      </c>
      <c r="C225" s="10">
        <f>YEAR(Table1[[#This Row],[Order Date]])</f>
        <v>2017</v>
      </c>
      <c r="D225" s="10" t="s">
        <v>694</v>
      </c>
      <c r="E225" s="10" t="s">
        <v>628</v>
      </c>
      <c r="F225" s="10" t="s">
        <v>71</v>
      </c>
      <c r="G225" s="10" t="s">
        <v>87</v>
      </c>
      <c r="H225" s="10" t="s">
        <v>304</v>
      </c>
      <c r="I225" s="10" t="str">
        <f>VLOOKUP(Table1[[#This Row],[Account Manager ID]],Table2[[Employee ID]:[Full Name]],4,FALSE)</f>
        <v>Sutan Tirtayasa Wasita</v>
      </c>
      <c r="J225" s="10" t="str">
        <f>INDEX(Employee!$D$4:$D$47,MATCH($H$4:$H$1003,Employee!$A$4:$A$47,0))</f>
        <v>Sutan Tirtayasa Wasita</v>
      </c>
      <c r="K225" s="10" t="s">
        <v>74</v>
      </c>
      <c r="L225" s="10" t="s">
        <v>58</v>
      </c>
      <c r="M225" s="10" t="s">
        <v>59</v>
      </c>
      <c r="N225" s="10" t="s">
        <v>60</v>
      </c>
      <c r="O225" s="10" t="s">
        <v>61</v>
      </c>
      <c r="P225" s="10">
        <v>42845</v>
      </c>
      <c r="Q225" s="15">
        <v>52800</v>
      </c>
      <c r="R225" s="15">
        <v>83700</v>
      </c>
      <c r="S225" s="15">
        <f>Table1[[#This Row],[Retail Price]]-Table1[[#This Row],[Cost Price]]</f>
        <v>30900</v>
      </c>
      <c r="T225" s="10">
        <v>49</v>
      </c>
      <c r="U225" s="15">
        <f>Table1[[#This Row],[Profit Margin]]*Table1[[#This Row],[Order Quantity]]</f>
        <v>1514100</v>
      </c>
      <c r="V225" s="11">
        <v>0.02</v>
      </c>
      <c r="W225" s="15">
        <f t="shared" si="3"/>
        <v>30282</v>
      </c>
      <c r="X225" s="15">
        <f>Table1[[#This Row],[Sub Total]]-Table1[[#This Row],[Discount Rp]]</f>
        <v>1483818</v>
      </c>
      <c r="Y225" s="15">
        <f ca="1">OFFSET(Helper!$C$3,MATCH(Data!$N$4:$N$1003,Helper!$C$4:$C$9,0),MATCH(Data!$O$4:$O$1003,Helper!$D$3:$F$3,0))</f>
        <v>15000</v>
      </c>
      <c r="Z225" s="16">
        <f ca="1">Table1[[#This Row],[Order Total]]+Table1[[#This Row],[Shipping Cost]]</f>
        <v>1498818</v>
      </c>
    </row>
    <row r="226" spans="1:26" ht="15.75" customHeight="1" x14ac:dyDescent="0.3">
      <c r="A226" s="9" t="s">
        <v>695</v>
      </c>
      <c r="B226" s="18">
        <v>42843</v>
      </c>
      <c r="C226" s="10">
        <f>YEAR(Table1[[#This Row],[Order Date]])</f>
        <v>2017</v>
      </c>
      <c r="D226" s="10" t="s">
        <v>694</v>
      </c>
      <c r="E226" s="10" t="s">
        <v>628</v>
      </c>
      <c r="F226" s="10" t="s">
        <v>71</v>
      </c>
      <c r="G226" s="10" t="s">
        <v>87</v>
      </c>
      <c r="H226" s="10" t="s">
        <v>304</v>
      </c>
      <c r="I226" s="10" t="str">
        <f>VLOOKUP(Table1[[#This Row],[Account Manager ID]],Table2[[Employee ID]:[Full Name]],4,FALSE)</f>
        <v>Sutan Tirtayasa Wasita</v>
      </c>
      <c r="J226" s="10" t="str">
        <f>INDEX(Employee!$D$4:$D$47,MATCH($H$4:$H$1003,Employee!$A$4:$A$47,0))</f>
        <v>Sutan Tirtayasa Wasita</v>
      </c>
      <c r="K226" s="10" t="s">
        <v>74</v>
      </c>
      <c r="L226" s="10" t="s">
        <v>548</v>
      </c>
      <c r="M226" s="10" t="s">
        <v>59</v>
      </c>
      <c r="N226" s="10" t="s">
        <v>60</v>
      </c>
      <c r="O226" s="10" t="s">
        <v>61</v>
      </c>
      <c r="P226" s="10">
        <v>42844</v>
      </c>
      <c r="Q226" s="15">
        <v>332700</v>
      </c>
      <c r="R226" s="15">
        <v>811500</v>
      </c>
      <c r="S226" s="15">
        <f>Table1[[#This Row],[Retail Price]]-Table1[[#This Row],[Cost Price]]</f>
        <v>478800</v>
      </c>
      <c r="T226" s="10">
        <v>42</v>
      </c>
      <c r="U226" s="15">
        <f>Table1[[#This Row],[Profit Margin]]*Table1[[#This Row],[Order Quantity]]</f>
        <v>20109600</v>
      </c>
      <c r="V226" s="11">
        <v>0.02</v>
      </c>
      <c r="W226" s="15">
        <f t="shared" si="3"/>
        <v>402192</v>
      </c>
      <c r="X226" s="15">
        <f>Table1[[#This Row],[Sub Total]]-Table1[[#This Row],[Discount Rp]]</f>
        <v>19707408</v>
      </c>
      <c r="Y226" s="15">
        <f ca="1">OFFSET(Helper!$C$3,MATCH(Data!$N$4:$N$1003,Helper!$C$4:$C$9,0),MATCH(Data!$O$4:$O$1003,Helper!$D$3:$F$3,0))</f>
        <v>15000</v>
      </c>
      <c r="Z226" s="16">
        <f ca="1">Table1[[#This Row],[Order Total]]+Table1[[#This Row],[Shipping Cost]]</f>
        <v>19722408</v>
      </c>
    </row>
    <row r="227" spans="1:26" ht="15.75" customHeight="1" x14ac:dyDescent="0.3">
      <c r="A227" s="9" t="s">
        <v>696</v>
      </c>
      <c r="B227" s="18">
        <v>42846</v>
      </c>
      <c r="C227" s="10">
        <f>YEAR(Table1[[#This Row],[Order Date]])</f>
        <v>2017</v>
      </c>
      <c r="D227" s="10" t="s">
        <v>697</v>
      </c>
      <c r="E227" s="10" t="s">
        <v>275</v>
      </c>
      <c r="F227" s="10" t="s">
        <v>71</v>
      </c>
      <c r="G227" s="10" t="s">
        <v>55</v>
      </c>
      <c r="H227" s="10" t="s">
        <v>146</v>
      </c>
      <c r="I227" s="10" t="str">
        <f>VLOOKUP(Table1[[#This Row],[Account Manager ID]],Table2[[Employee ID]:[Full Name]],4,FALSE)</f>
        <v>Kenari Rajasa</v>
      </c>
      <c r="J227" s="10" t="str">
        <f>INDEX(Employee!$D$4:$D$47,MATCH($H$4:$H$1003,Employee!$A$4:$A$47,0))</f>
        <v>Kenari Rajasa</v>
      </c>
      <c r="K227" s="10" t="s">
        <v>57</v>
      </c>
      <c r="L227" s="10" t="s">
        <v>471</v>
      </c>
      <c r="M227" s="10" t="s">
        <v>59</v>
      </c>
      <c r="N227" s="10" t="s">
        <v>60</v>
      </c>
      <c r="O227" s="10" t="s">
        <v>61</v>
      </c>
      <c r="P227" s="10">
        <v>42846</v>
      </c>
      <c r="Q227" s="15">
        <v>1015950.0000000001</v>
      </c>
      <c r="R227" s="15">
        <v>2478000</v>
      </c>
      <c r="S227" s="15">
        <f>Table1[[#This Row],[Retail Price]]-Table1[[#This Row],[Cost Price]]</f>
        <v>1462050</v>
      </c>
      <c r="T227" s="10">
        <v>49</v>
      </c>
      <c r="U227" s="15">
        <f>Table1[[#This Row],[Profit Margin]]*Table1[[#This Row],[Order Quantity]]</f>
        <v>71640450</v>
      </c>
      <c r="V227" s="11">
        <v>0.05</v>
      </c>
      <c r="W227" s="15">
        <f t="shared" si="3"/>
        <v>3582022.5</v>
      </c>
      <c r="X227" s="15">
        <f>Table1[[#This Row],[Sub Total]]-Table1[[#This Row],[Discount Rp]]</f>
        <v>68058427.5</v>
      </c>
      <c r="Y227" s="15">
        <f ca="1">OFFSET(Helper!$C$3,MATCH(Data!$N$4:$N$1003,Helper!$C$4:$C$9,0),MATCH(Data!$O$4:$O$1003,Helper!$D$3:$F$3,0))</f>
        <v>15000</v>
      </c>
      <c r="Z227" s="16">
        <f ca="1">Table1[[#This Row],[Order Total]]+Table1[[#This Row],[Shipping Cost]]</f>
        <v>68073427.5</v>
      </c>
    </row>
    <row r="228" spans="1:26" ht="15.75" customHeight="1" x14ac:dyDescent="0.3">
      <c r="A228" s="9" t="s">
        <v>698</v>
      </c>
      <c r="B228" s="18">
        <v>42846</v>
      </c>
      <c r="C228" s="10">
        <f>YEAR(Table1[[#This Row],[Order Date]])</f>
        <v>2017</v>
      </c>
      <c r="D228" s="10" t="s">
        <v>699</v>
      </c>
      <c r="E228" s="10" t="s">
        <v>303</v>
      </c>
      <c r="F228" s="10" t="s">
        <v>71</v>
      </c>
      <c r="G228" s="10" t="s">
        <v>55</v>
      </c>
      <c r="H228" s="10" t="s">
        <v>304</v>
      </c>
      <c r="I228" s="10" t="str">
        <f>VLOOKUP(Table1[[#This Row],[Account Manager ID]],Table2[[Employee ID]:[Full Name]],4,FALSE)</f>
        <v>Sutan Tirtayasa Wasita</v>
      </c>
      <c r="J228" s="10" t="str">
        <f>INDEX(Employee!$D$4:$D$47,MATCH($H$4:$H$1003,Employee!$A$4:$A$47,0))</f>
        <v>Sutan Tirtayasa Wasita</v>
      </c>
      <c r="K228" s="10" t="s">
        <v>117</v>
      </c>
      <c r="L228" s="10" t="s">
        <v>700</v>
      </c>
      <c r="M228" s="10" t="s">
        <v>59</v>
      </c>
      <c r="N228" s="10" t="s">
        <v>67</v>
      </c>
      <c r="O228" s="10" t="s">
        <v>61</v>
      </c>
      <c r="P228" s="10">
        <v>42847</v>
      </c>
      <c r="Q228" s="15">
        <v>34650</v>
      </c>
      <c r="R228" s="15">
        <v>56700</v>
      </c>
      <c r="S228" s="15">
        <f>Table1[[#This Row],[Retail Price]]-Table1[[#This Row],[Cost Price]]</f>
        <v>22050</v>
      </c>
      <c r="T228" s="10">
        <v>47</v>
      </c>
      <c r="U228" s="15">
        <f>Table1[[#This Row],[Profit Margin]]*Table1[[#This Row],[Order Quantity]]</f>
        <v>1036350</v>
      </c>
      <c r="V228" s="11">
        <v>0.02</v>
      </c>
      <c r="W228" s="15">
        <f t="shared" si="3"/>
        <v>20727</v>
      </c>
      <c r="X228" s="15">
        <f>Table1[[#This Row],[Sub Total]]-Table1[[#This Row],[Discount Rp]]</f>
        <v>1015623</v>
      </c>
      <c r="Y228" s="15">
        <f ca="1">OFFSET(Helper!$C$3,MATCH(Data!$N$4:$N$1003,Helper!$C$4:$C$9,0),MATCH(Data!$O$4:$O$1003,Helper!$D$3:$F$3,0))</f>
        <v>5000</v>
      </c>
      <c r="Z228" s="16">
        <f ca="1">Table1[[#This Row],[Order Total]]+Table1[[#This Row],[Shipping Cost]]</f>
        <v>1020623</v>
      </c>
    </row>
    <row r="229" spans="1:26" ht="15.75" customHeight="1" x14ac:dyDescent="0.3">
      <c r="A229" s="9" t="s">
        <v>701</v>
      </c>
      <c r="B229" s="18">
        <v>42847</v>
      </c>
      <c r="C229" s="10">
        <f>YEAR(Table1[[#This Row],[Order Date]])</f>
        <v>2017</v>
      </c>
      <c r="D229" s="10" t="s">
        <v>702</v>
      </c>
      <c r="E229" s="10" t="s">
        <v>193</v>
      </c>
      <c r="F229" s="10" t="s">
        <v>71</v>
      </c>
      <c r="G229" s="10" t="s">
        <v>106</v>
      </c>
      <c r="H229" s="10" t="s">
        <v>194</v>
      </c>
      <c r="I229" s="10" t="str">
        <f>VLOOKUP(Table1[[#This Row],[Account Manager ID]],Table2[[Employee ID]:[Full Name]],4,FALSE)</f>
        <v>Nabila Prakasa</v>
      </c>
      <c r="J229" s="10" t="str">
        <f>INDEX(Employee!$D$4:$D$47,MATCH($H$4:$H$1003,Employee!$A$4:$A$47,0))</f>
        <v>Nabila Prakasa</v>
      </c>
      <c r="K229" s="10" t="s">
        <v>92</v>
      </c>
      <c r="L229" s="10" t="s">
        <v>234</v>
      </c>
      <c r="M229" s="10" t="s">
        <v>59</v>
      </c>
      <c r="N229" s="10" t="s">
        <v>60</v>
      </c>
      <c r="O229" s="10" t="s">
        <v>61</v>
      </c>
      <c r="P229" s="10">
        <v>42854</v>
      </c>
      <c r="Q229" s="15">
        <v>208200</v>
      </c>
      <c r="R229" s="15">
        <v>335700</v>
      </c>
      <c r="S229" s="15">
        <f>Table1[[#This Row],[Retail Price]]-Table1[[#This Row],[Cost Price]]</f>
        <v>127500</v>
      </c>
      <c r="T229" s="10">
        <v>21</v>
      </c>
      <c r="U229" s="15">
        <f>Table1[[#This Row],[Profit Margin]]*Table1[[#This Row],[Order Quantity]]</f>
        <v>2677500</v>
      </c>
      <c r="V229" s="11">
        <v>0.04</v>
      </c>
      <c r="W229" s="15">
        <f t="shared" si="3"/>
        <v>107100</v>
      </c>
      <c r="X229" s="15">
        <f>Table1[[#This Row],[Sub Total]]-Table1[[#This Row],[Discount Rp]]</f>
        <v>2570400</v>
      </c>
      <c r="Y229" s="15">
        <f ca="1">OFFSET(Helper!$C$3,MATCH(Data!$N$4:$N$1003,Helper!$C$4:$C$9,0),MATCH(Data!$O$4:$O$1003,Helper!$D$3:$F$3,0))</f>
        <v>15000</v>
      </c>
      <c r="Z229" s="16">
        <f ca="1">Table1[[#This Row],[Order Total]]+Table1[[#This Row],[Shipping Cost]]</f>
        <v>2585400</v>
      </c>
    </row>
    <row r="230" spans="1:26" ht="15.75" customHeight="1" x14ac:dyDescent="0.3">
      <c r="A230" s="9" t="s">
        <v>703</v>
      </c>
      <c r="B230" s="18">
        <v>42847</v>
      </c>
      <c r="C230" s="10">
        <f>YEAR(Table1[[#This Row],[Order Date]])</f>
        <v>2017</v>
      </c>
      <c r="D230" s="10" t="s">
        <v>128</v>
      </c>
      <c r="E230" s="10" t="s">
        <v>129</v>
      </c>
      <c r="F230" s="10" t="s">
        <v>54</v>
      </c>
      <c r="G230" s="10" t="s">
        <v>72</v>
      </c>
      <c r="H230" s="10" t="s">
        <v>56</v>
      </c>
      <c r="I230" s="10" t="str">
        <f>VLOOKUP(Table1[[#This Row],[Account Manager ID]],Table2[[Employee ID]:[Full Name]],4,FALSE)</f>
        <v>Gaduh Pratama</v>
      </c>
      <c r="J230" s="10" t="str">
        <f>INDEX(Employee!$D$4:$D$47,MATCH($H$4:$H$1003,Employee!$A$4:$A$47,0))</f>
        <v>Gaduh Pratama</v>
      </c>
      <c r="K230" s="10" t="s">
        <v>92</v>
      </c>
      <c r="L230" s="10" t="s">
        <v>147</v>
      </c>
      <c r="M230" s="10" t="s">
        <v>59</v>
      </c>
      <c r="N230" s="10" t="s">
        <v>67</v>
      </c>
      <c r="O230" s="10" t="s">
        <v>61</v>
      </c>
      <c r="P230" s="10">
        <v>42851</v>
      </c>
      <c r="Q230" s="15">
        <v>19500</v>
      </c>
      <c r="R230" s="15">
        <v>43200</v>
      </c>
      <c r="S230" s="15">
        <f>Table1[[#This Row],[Retail Price]]-Table1[[#This Row],[Cost Price]]</f>
        <v>23700</v>
      </c>
      <c r="T230" s="10">
        <v>46</v>
      </c>
      <c r="U230" s="15">
        <f>Table1[[#This Row],[Profit Margin]]*Table1[[#This Row],[Order Quantity]]</f>
        <v>1090200</v>
      </c>
      <c r="V230" s="11">
        <v>0.04</v>
      </c>
      <c r="W230" s="15">
        <f t="shared" si="3"/>
        <v>43608</v>
      </c>
      <c r="X230" s="15">
        <f>Table1[[#This Row],[Sub Total]]-Table1[[#This Row],[Discount Rp]]</f>
        <v>1046592</v>
      </c>
      <c r="Y230" s="15">
        <f ca="1">OFFSET(Helper!$C$3,MATCH(Data!$N$4:$N$1003,Helper!$C$4:$C$9,0),MATCH(Data!$O$4:$O$1003,Helper!$D$3:$F$3,0))</f>
        <v>5000</v>
      </c>
      <c r="Z230" s="16">
        <f ca="1">Table1[[#This Row],[Order Total]]+Table1[[#This Row],[Shipping Cost]]</f>
        <v>1051592</v>
      </c>
    </row>
    <row r="231" spans="1:26" ht="15.75" customHeight="1" x14ac:dyDescent="0.3">
      <c r="A231" s="9" t="s">
        <v>704</v>
      </c>
      <c r="B231" s="18">
        <v>42849</v>
      </c>
      <c r="C231" s="10">
        <f>YEAR(Table1[[#This Row],[Order Date]])</f>
        <v>2017</v>
      </c>
      <c r="D231" s="10" t="s">
        <v>705</v>
      </c>
      <c r="E231" s="10" t="s">
        <v>319</v>
      </c>
      <c r="F231" s="10" t="s">
        <v>71</v>
      </c>
      <c r="G231" s="10" t="s">
        <v>55</v>
      </c>
      <c r="H231" s="10" t="s">
        <v>155</v>
      </c>
      <c r="I231" s="10" t="str">
        <f>VLOOKUP(Table1[[#This Row],[Account Manager ID]],Table2[[Employee ID]:[Full Name]],4,FALSE)</f>
        <v>Puti Nadine Prakasa</v>
      </c>
      <c r="J231" s="10" t="str">
        <f>INDEX(Employee!$D$4:$D$47,MATCH($H$4:$H$1003,Employee!$A$4:$A$47,0))</f>
        <v>Puti Nadine Prakasa</v>
      </c>
      <c r="K231" s="10" t="s">
        <v>117</v>
      </c>
      <c r="L231" s="10" t="s">
        <v>345</v>
      </c>
      <c r="M231" s="10" t="s">
        <v>59</v>
      </c>
      <c r="N231" s="10" t="s">
        <v>60</v>
      </c>
      <c r="O231" s="10" t="s">
        <v>76</v>
      </c>
      <c r="P231" s="10">
        <v>42849</v>
      </c>
      <c r="Q231" s="15">
        <v>51000</v>
      </c>
      <c r="R231" s="15">
        <v>81000</v>
      </c>
      <c r="S231" s="15">
        <f>Table1[[#This Row],[Retail Price]]-Table1[[#This Row],[Cost Price]]</f>
        <v>30000</v>
      </c>
      <c r="T231" s="10">
        <v>9</v>
      </c>
      <c r="U231" s="15">
        <f>Table1[[#This Row],[Profit Margin]]*Table1[[#This Row],[Order Quantity]]</f>
        <v>270000</v>
      </c>
      <c r="V231" s="11">
        <v>0.09</v>
      </c>
      <c r="W231" s="15">
        <f t="shared" si="3"/>
        <v>24300</v>
      </c>
      <c r="X231" s="15">
        <f>Table1[[#This Row],[Sub Total]]-Table1[[#This Row],[Discount Rp]]</f>
        <v>245700</v>
      </c>
      <c r="Y231" s="15">
        <f ca="1">OFFSET(Helper!$C$3,MATCH(Data!$N$4:$N$1003,Helper!$C$4:$C$9,0),MATCH(Data!$O$4:$O$1003,Helper!$D$3:$F$3,0))</f>
        <v>30000</v>
      </c>
      <c r="Z231" s="16">
        <f ca="1">Table1[[#This Row],[Order Total]]+Table1[[#This Row],[Shipping Cost]]</f>
        <v>275700</v>
      </c>
    </row>
    <row r="232" spans="1:26" ht="15.75" customHeight="1" x14ac:dyDescent="0.3">
      <c r="A232" s="9" t="s">
        <v>706</v>
      </c>
      <c r="B232" s="18">
        <v>42849</v>
      </c>
      <c r="C232" s="10">
        <f>YEAR(Table1[[#This Row],[Order Date]])</f>
        <v>2017</v>
      </c>
      <c r="D232" s="10" t="s">
        <v>705</v>
      </c>
      <c r="E232" s="10" t="s">
        <v>319</v>
      </c>
      <c r="F232" s="10" t="s">
        <v>71</v>
      </c>
      <c r="G232" s="10" t="s">
        <v>55</v>
      </c>
      <c r="H232" s="10" t="s">
        <v>155</v>
      </c>
      <c r="I232" s="10" t="str">
        <f>VLOOKUP(Table1[[#This Row],[Account Manager ID]],Table2[[Employee ID]:[Full Name]],4,FALSE)</f>
        <v>Puti Nadine Prakasa</v>
      </c>
      <c r="J232" s="10" t="str">
        <f>INDEX(Employee!$D$4:$D$47,MATCH($H$4:$H$1003,Employee!$A$4:$A$47,0))</f>
        <v>Puti Nadine Prakasa</v>
      </c>
      <c r="K232" s="10" t="s">
        <v>117</v>
      </c>
      <c r="L232" s="10" t="s">
        <v>166</v>
      </c>
      <c r="M232" s="10" t="s">
        <v>59</v>
      </c>
      <c r="N232" s="10" t="s">
        <v>136</v>
      </c>
      <c r="O232" s="10" t="s">
        <v>61</v>
      </c>
      <c r="P232" s="10">
        <v>42850</v>
      </c>
      <c r="Q232" s="15">
        <v>14100</v>
      </c>
      <c r="R232" s="15">
        <v>31200</v>
      </c>
      <c r="S232" s="15">
        <f>Table1[[#This Row],[Retail Price]]-Table1[[#This Row],[Cost Price]]</f>
        <v>17100</v>
      </c>
      <c r="T232" s="10">
        <v>43</v>
      </c>
      <c r="U232" s="15">
        <f>Table1[[#This Row],[Profit Margin]]*Table1[[#This Row],[Order Quantity]]</f>
        <v>735300</v>
      </c>
      <c r="V232" s="11">
        <v>0.05</v>
      </c>
      <c r="W232" s="15">
        <f t="shared" si="3"/>
        <v>36765</v>
      </c>
      <c r="X232" s="15">
        <f>Table1[[#This Row],[Sub Total]]-Table1[[#This Row],[Discount Rp]]</f>
        <v>698535</v>
      </c>
      <c r="Y232" s="15">
        <f ca="1">OFFSET(Helper!$C$3,MATCH(Data!$N$4:$N$1003,Helper!$C$4:$C$9,0),MATCH(Data!$O$4:$O$1003,Helper!$D$3:$F$3,0))</f>
        <v>10000</v>
      </c>
      <c r="Z232" s="16">
        <f ca="1">Table1[[#This Row],[Order Total]]+Table1[[#This Row],[Shipping Cost]]</f>
        <v>708535</v>
      </c>
    </row>
    <row r="233" spans="1:26" ht="15.75" customHeight="1" x14ac:dyDescent="0.3">
      <c r="A233" s="9" t="s">
        <v>707</v>
      </c>
      <c r="B233" s="18">
        <v>42849</v>
      </c>
      <c r="C233" s="10">
        <f>YEAR(Table1[[#This Row],[Order Date]])</f>
        <v>2017</v>
      </c>
      <c r="D233" s="10" t="s">
        <v>428</v>
      </c>
      <c r="E233" s="10" t="s">
        <v>334</v>
      </c>
      <c r="F233" s="10" t="s">
        <v>54</v>
      </c>
      <c r="G233" s="10" t="s">
        <v>106</v>
      </c>
      <c r="H233" s="10" t="s">
        <v>65</v>
      </c>
      <c r="I233" s="10" t="str">
        <f>VLOOKUP(Table1[[#This Row],[Account Manager ID]],Table2[[Employee ID]:[Full Name]],4,FALSE)</f>
        <v>Laras Nuraini</v>
      </c>
      <c r="J233" s="10" t="str">
        <f>INDEX(Employee!$D$4:$D$47,MATCH($H$4:$H$1003,Employee!$A$4:$A$47,0))</f>
        <v>Laras Nuraini</v>
      </c>
      <c r="K233" s="10" t="s">
        <v>107</v>
      </c>
      <c r="L233" s="10" t="s">
        <v>480</v>
      </c>
      <c r="M233" s="10" t="s">
        <v>253</v>
      </c>
      <c r="N233" s="10" t="s">
        <v>459</v>
      </c>
      <c r="O233" s="10" t="s">
        <v>76</v>
      </c>
      <c r="P233" s="10">
        <v>42850</v>
      </c>
      <c r="Q233" s="15">
        <v>842400</v>
      </c>
      <c r="R233" s="15">
        <v>2054699.9999999998</v>
      </c>
      <c r="S233" s="15">
        <f>Table1[[#This Row],[Retail Price]]-Table1[[#This Row],[Cost Price]]</f>
        <v>1212299.9999999998</v>
      </c>
      <c r="T233" s="10">
        <v>18</v>
      </c>
      <c r="U233" s="15">
        <f>Table1[[#This Row],[Profit Margin]]*Table1[[#This Row],[Order Quantity]]</f>
        <v>21821399.999999996</v>
      </c>
      <c r="V233" s="11">
        <v>0.02</v>
      </c>
      <c r="W233" s="15">
        <f t="shared" si="3"/>
        <v>436427.99999999994</v>
      </c>
      <c r="X233" s="15">
        <f>Table1[[#This Row],[Sub Total]]-Table1[[#This Row],[Discount Rp]]</f>
        <v>21384971.999999996</v>
      </c>
      <c r="Y233" s="15">
        <f ca="1">OFFSET(Helper!$C$3,MATCH(Data!$N$4:$N$1003,Helper!$C$4:$C$9,0),MATCH(Data!$O$4:$O$1003,Helper!$D$3:$F$3,0))</f>
        <v>100000</v>
      </c>
      <c r="Z233" s="16">
        <f ca="1">Table1[[#This Row],[Order Total]]+Table1[[#This Row],[Shipping Cost]]</f>
        <v>21484971.999999996</v>
      </c>
    </row>
    <row r="234" spans="1:26" ht="15.75" customHeight="1" x14ac:dyDescent="0.3">
      <c r="A234" s="9" t="s">
        <v>708</v>
      </c>
      <c r="B234" s="18">
        <v>42852</v>
      </c>
      <c r="C234" s="10">
        <f>YEAR(Table1[[#This Row],[Order Date]])</f>
        <v>2017</v>
      </c>
      <c r="D234" s="10" t="s">
        <v>709</v>
      </c>
      <c r="E234" s="10" t="s">
        <v>710</v>
      </c>
      <c r="F234" s="10" t="s">
        <v>54</v>
      </c>
      <c r="G234" s="10" t="s">
        <v>55</v>
      </c>
      <c r="H234" s="10" t="s">
        <v>65</v>
      </c>
      <c r="I234" s="10" t="str">
        <f>VLOOKUP(Table1[[#This Row],[Account Manager ID]],Table2[[Employee ID]:[Full Name]],4,FALSE)</f>
        <v>Laras Nuraini</v>
      </c>
      <c r="J234" s="10" t="str">
        <f>INDEX(Employee!$D$4:$D$47,MATCH($H$4:$H$1003,Employee!$A$4:$A$47,0))</f>
        <v>Laras Nuraini</v>
      </c>
      <c r="K234" s="10" t="s">
        <v>92</v>
      </c>
      <c r="L234" s="10" t="s">
        <v>379</v>
      </c>
      <c r="M234" s="10" t="s">
        <v>59</v>
      </c>
      <c r="N234" s="10" t="s">
        <v>60</v>
      </c>
      <c r="O234" s="10" t="s">
        <v>61</v>
      </c>
      <c r="P234" s="10">
        <v>42857</v>
      </c>
      <c r="Q234" s="15">
        <v>323400</v>
      </c>
      <c r="R234" s="15">
        <v>539100</v>
      </c>
      <c r="S234" s="15">
        <f>Table1[[#This Row],[Retail Price]]-Table1[[#This Row],[Cost Price]]</f>
        <v>215700</v>
      </c>
      <c r="T234" s="10">
        <v>13</v>
      </c>
      <c r="U234" s="15">
        <f>Table1[[#This Row],[Profit Margin]]*Table1[[#This Row],[Order Quantity]]</f>
        <v>2804100</v>
      </c>
      <c r="V234" s="11">
        <v>0.09</v>
      </c>
      <c r="W234" s="15">
        <f t="shared" si="3"/>
        <v>252369</v>
      </c>
      <c r="X234" s="15">
        <f>Table1[[#This Row],[Sub Total]]-Table1[[#This Row],[Discount Rp]]</f>
        <v>2551731</v>
      </c>
      <c r="Y234" s="15">
        <f ca="1">OFFSET(Helper!$C$3,MATCH(Data!$N$4:$N$1003,Helper!$C$4:$C$9,0),MATCH(Data!$O$4:$O$1003,Helper!$D$3:$F$3,0))</f>
        <v>15000</v>
      </c>
      <c r="Z234" s="16">
        <f ca="1">Table1[[#This Row],[Order Total]]+Table1[[#This Row],[Shipping Cost]]</f>
        <v>2566731</v>
      </c>
    </row>
    <row r="235" spans="1:26" ht="15.75" customHeight="1" x14ac:dyDescent="0.3">
      <c r="A235" s="9" t="s">
        <v>711</v>
      </c>
      <c r="B235" s="18">
        <v>42853</v>
      </c>
      <c r="C235" s="10">
        <f>YEAR(Table1[[#This Row],[Order Date]])</f>
        <v>2017</v>
      </c>
      <c r="D235" s="10" t="s">
        <v>712</v>
      </c>
      <c r="E235" s="10" t="s">
        <v>713</v>
      </c>
      <c r="F235" s="10" t="s">
        <v>71</v>
      </c>
      <c r="G235" s="10" t="s">
        <v>87</v>
      </c>
      <c r="H235" s="10" t="s">
        <v>73</v>
      </c>
      <c r="I235" s="10" t="str">
        <f>VLOOKUP(Table1[[#This Row],[Account Manager ID]],Table2[[Employee ID]:[Full Name]],4,FALSE)</f>
        <v>Cinthia Gunawan</v>
      </c>
      <c r="J235" s="10" t="str">
        <f>INDEX(Employee!$D$4:$D$47,MATCH($H$4:$H$1003,Employee!$A$4:$A$47,0))</f>
        <v>Cinthia Gunawan</v>
      </c>
      <c r="K235" s="10" t="s">
        <v>107</v>
      </c>
      <c r="L235" s="10" t="s">
        <v>345</v>
      </c>
      <c r="M235" s="10" t="s">
        <v>59</v>
      </c>
      <c r="N235" s="10" t="s">
        <v>60</v>
      </c>
      <c r="O235" s="10" t="s">
        <v>76</v>
      </c>
      <c r="P235" s="10">
        <v>42855</v>
      </c>
      <c r="Q235" s="15">
        <v>51000</v>
      </c>
      <c r="R235" s="15">
        <v>81000</v>
      </c>
      <c r="S235" s="15">
        <f>Table1[[#This Row],[Retail Price]]-Table1[[#This Row],[Cost Price]]</f>
        <v>30000</v>
      </c>
      <c r="T235" s="10">
        <v>14</v>
      </c>
      <c r="U235" s="15">
        <f>Table1[[#This Row],[Profit Margin]]*Table1[[#This Row],[Order Quantity]]</f>
        <v>420000</v>
      </c>
      <c r="V235" s="11">
        <v>0.09</v>
      </c>
      <c r="W235" s="15">
        <f t="shared" si="3"/>
        <v>37800</v>
      </c>
      <c r="X235" s="15">
        <f>Table1[[#This Row],[Sub Total]]-Table1[[#This Row],[Discount Rp]]</f>
        <v>382200</v>
      </c>
      <c r="Y235" s="15">
        <f ca="1">OFFSET(Helper!$C$3,MATCH(Data!$N$4:$N$1003,Helper!$C$4:$C$9,0),MATCH(Data!$O$4:$O$1003,Helper!$D$3:$F$3,0))</f>
        <v>30000</v>
      </c>
      <c r="Z235" s="16">
        <f ca="1">Table1[[#This Row],[Order Total]]+Table1[[#This Row],[Shipping Cost]]</f>
        <v>412200</v>
      </c>
    </row>
    <row r="236" spans="1:26" ht="15.75" customHeight="1" x14ac:dyDescent="0.3">
      <c r="A236" s="9" t="s">
        <v>714</v>
      </c>
      <c r="B236" s="18">
        <v>42853</v>
      </c>
      <c r="C236" s="10">
        <f>YEAR(Table1[[#This Row],[Order Date]])</f>
        <v>2017</v>
      </c>
      <c r="D236" s="10" t="s">
        <v>534</v>
      </c>
      <c r="E236" s="10" t="s">
        <v>70</v>
      </c>
      <c r="F236" s="10" t="s">
        <v>71</v>
      </c>
      <c r="G236" s="10" t="s">
        <v>55</v>
      </c>
      <c r="H236" s="10" t="s">
        <v>73</v>
      </c>
      <c r="I236" s="10" t="str">
        <f>VLOOKUP(Table1[[#This Row],[Account Manager ID]],Table2[[Employee ID]:[Full Name]],4,FALSE)</f>
        <v>Cinthia Gunawan</v>
      </c>
      <c r="J236" s="10" t="str">
        <f>INDEX(Employee!$D$4:$D$47,MATCH($H$4:$H$1003,Employee!$A$4:$A$47,0))</f>
        <v>Cinthia Gunawan</v>
      </c>
      <c r="K236" s="10" t="s">
        <v>107</v>
      </c>
      <c r="L236" s="10" t="s">
        <v>426</v>
      </c>
      <c r="M236" s="10" t="s">
        <v>59</v>
      </c>
      <c r="N236" s="10" t="s">
        <v>67</v>
      </c>
      <c r="O236" s="10" t="s">
        <v>61</v>
      </c>
      <c r="P236" s="10">
        <v>42856</v>
      </c>
      <c r="Q236" s="15">
        <v>29250</v>
      </c>
      <c r="R236" s="15">
        <v>59700</v>
      </c>
      <c r="S236" s="15">
        <f>Table1[[#This Row],[Retail Price]]-Table1[[#This Row],[Cost Price]]</f>
        <v>30450</v>
      </c>
      <c r="T236" s="10">
        <v>41</v>
      </c>
      <c r="U236" s="15">
        <f>Table1[[#This Row],[Profit Margin]]*Table1[[#This Row],[Order Quantity]]</f>
        <v>1248450</v>
      </c>
      <c r="V236" s="11">
        <v>7.0000000000000007E-2</v>
      </c>
      <c r="W236" s="15">
        <f t="shared" si="3"/>
        <v>87391.500000000015</v>
      </c>
      <c r="X236" s="15">
        <f>Table1[[#This Row],[Sub Total]]-Table1[[#This Row],[Discount Rp]]</f>
        <v>1161058.5</v>
      </c>
      <c r="Y236" s="15">
        <f ca="1">OFFSET(Helper!$C$3,MATCH(Data!$N$4:$N$1003,Helper!$C$4:$C$9,0),MATCH(Data!$O$4:$O$1003,Helper!$D$3:$F$3,0))</f>
        <v>5000</v>
      </c>
      <c r="Z236" s="16">
        <f ca="1">Table1[[#This Row],[Order Total]]+Table1[[#This Row],[Shipping Cost]]</f>
        <v>1166058.5</v>
      </c>
    </row>
    <row r="237" spans="1:26" ht="15.75" customHeight="1" x14ac:dyDescent="0.3">
      <c r="A237" s="9" t="s">
        <v>715</v>
      </c>
      <c r="B237" s="18">
        <v>42854</v>
      </c>
      <c r="C237" s="10">
        <f>YEAR(Table1[[#This Row],[Order Date]])</f>
        <v>2017</v>
      </c>
      <c r="D237" s="10" t="s">
        <v>347</v>
      </c>
      <c r="E237" s="10" t="s">
        <v>348</v>
      </c>
      <c r="F237" s="10" t="s">
        <v>261</v>
      </c>
      <c r="G237" s="10" t="s">
        <v>72</v>
      </c>
      <c r="H237" s="10" t="s">
        <v>146</v>
      </c>
      <c r="I237" s="10" t="str">
        <f>VLOOKUP(Table1[[#This Row],[Account Manager ID]],Table2[[Employee ID]:[Full Name]],4,FALSE)</f>
        <v>Kenari Rajasa</v>
      </c>
      <c r="J237" s="10" t="str">
        <f>INDEX(Employee!$D$4:$D$47,MATCH($H$4:$H$1003,Employee!$A$4:$A$47,0))</f>
        <v>Kenari Rajasa</v>
      </c>
      <c r="K237" s="10" t="s">
        <v>117</v>
      </c>
      <c r="L237" s="10" t="s">
        <v>488</v>
      </c>
      <c r="M237" s="10" t="s">
        <v>59</v>
      </c>
      <c r="N237" s="10" t="s">
        <v>136</v>
      </c>
      <c r="O237" s="10" t="s">
        <v>76</v>
      </c>
      <c r="P237" s="10">
        <v>42856</v>
      </c>
      <c r="Q237" s="15">
        <v>77850</v>
      </c>
      <c r="R237" s="15">
        <v>194700</v>
      </c>
      <c r="S237" s="15">
        <f>Table1[[#This Row],[Retail Price]]-Table1[[#This Row],[Cost Price]]</f>
        <v>116850</v>
      </c>
      <c r="T237" s="10">
        <v>34</v>
      </c>
      <c r="U237" s="15">
        <f>Table1[[#This Row],[Profit Margin]]*Table1[[#This Row],[Order Quantity]]</f>
        <v>3972900</v>
      </c>
      <c r="V237" s="11">
        <v>0.04</v>
      </c>
      <c r="W237" s="15">
        <f t="shared" si="3"/>
        <v>158916</v>
      </c>
      <c r="X237" s="15">
        <f>Table1[[#This Row],[Sub Total]]-Table1[[#This Row],[Discount Rp]]</f>
        <v>3813984</v>
      </c>
      <c r="Y237" s="15">
        <f ca="1">OFFSET(Helper!$C$3,MATCH(Data!$N$4:$N$1003,Helper!$C$4:$C$9,0),MATCH(Data!$O$4:$O$1003,Helper!$D$3:$F$3,0))</f>
        <v>20000</v>
      </c>
      <c r="Z237" s="16">
        <f ca="1">Table1[[#This Row],[Order Total]]+Table1[[#This Row],[Shipping Cost]]</f>
        <v>3833984</v>
      </c>
    </row>
    <row r="238" spans="1:26" ht="15.75" customHeight="1" x14ac:dyDescent="0.3">
      <c r="A238" s="9" t="s">
        <v>716</v>
      </c>
      <c r="B238" s="18">
        <v>42854</v>
      </c>
      <c r="C238" s="10">
        <f>YEAR(Table1[[#This Row],[Order Date]])</f>
        <v>2017</v>
      </c>
      <c r="D238" s="10" t="s">
        <v>717</v>
      </c>
      <c r="E238" s="10" t="s">
        <v>312</v>
      </c>
      <c r="F238" s="10" t="s">
        <v>71</v>
      </c>
      <c r="G238" s="10" t="s">
        <v>55</v>
      </c>
      <c r="H238" s="10" t="s">
        <v>88</v>
      </c>
      <c r="I238" s="10" t="str">
        <f>VLOOKUP(Table1[[#This Row],[Account Manager ID]],Table2[[Employee ID]:[Full Name]],4,FALSE)</f>
        <v>Bagiya Sihombing</v>
      </c>
      <c r="J238" s="10" t="str">
        <f>INDEX(Employee!$D$4:$D$47,MATCH($H$4:$H$1003,Employee!$A$4:$A$47,0))</f>
        <v>Bagiya Sihombing</v>
      </c>
      <c r="K238" s="10" t="s">
        <v>117</v>
      </c>
      <c r="L238" s="10" t="s">
        <v>718</v>
      </c>
      <c r="M238" s="10" t="s">
        <v>81</v>
      </c>
      <c r="N238" s="10" t="s">
        <v>82</v>
      </c>
      <c r="O238" s="10" t="s">
        <v>83</v>
      </c>
      <c r="P238" s="10">
        <v>42856</v>
      </c>
      <c r="Q238" s="15">
        <v>3294150</v>
      </c>
      <c r="R238" s="15">
        <v>8034600</v>
      </c>
      <c r="S238" s="15">
        <f>Table1[[#This Row],[Retail Price]]-Table1[[#This Row],[Cost Price]]</f>
        <v>4740450</v>
      </c>
      <c r="T238" s="10">
        <v>1</v>
      </c>
      <c r="U238" s="15">
        <f>Table1[[#This Row],[Profit Margin]]*Table1[[#This Row],[Order Quantity]]</f>
        <v>4740450</v>
      </c>
      <c r="V238" s="11">
        <v>0.05</v>
      </c>
      <c r="W238" s="15">
        <f t="shared" si="3"/>
        <v>237022.5</v>
      </c>
      <c r="X238" s="15">
        <f>Table1[[#This Row],[Sub Total]]-Table1[[#This Row],[Discount Rp]]</f>
        <v>4503427.5</v>
      </c>
      <c r="Y238" s="15">
        <f ca="1">OFFSET(Helper!$C$3,MATCH(Data!$N$4:$N$1003,Helper!$C$4:$C$9,0),MATCH(Data!$O$4:$O$1003,Helper!$D$3:$F$3,0))</f>
        <v>500000</v>
      </c>
      <c r="Z238" s="16">
        <f ca="1">Table1[[#This Row],[Order Total]]+Table1[[#This Row],[Shipping Cost]]</f>
        <v>5003427.5</v>
      </c>
    </row>
    <row r="239" spans="1:26" ht="15.75" customHeight="1" x14ac:dyDescent="0.3">
      <c r="A239" s="9" t="s">
        <v>719</v>
      </c>
      <c r="B239" s="18">
        <v>42856</v>
      </c>
      <c r="C239" s="10">
        <f>YEAR(Table1[[#This Row],[Order Date]])</f>
        <v>2017</v>
      </c>
      <c r="D239" s="10" t="s">
        <v>720</v>
      </c>
      <c r="E239" s="10" t="s">
        <v>721</v>
      </c>
      <c r="F239" s="10" t="s">
        <v>261</v>
      </c>
      <c r="G239" s="10" t="s">
        <v>55</v>
      </c>
      <c r="H239" s="10" t="s">
        <v>146</v>
      </c>
      <c r="I239" s="10" t="str">
        <f>VLOOKUP(Table1[[#This Row],[Account Manager ID]],Table2[[Employee ID]:[Full Name]],4,FALSE)</f>
        <v>Kenari Rajasa</v>
      </c>
      <c r="J239" s="10" t="str">
        <f>INDEX(Employee!$D$4:$D$47,MATCH($H$4:$H$1003,Employee!$A$4:$A$47,0))</f>
        <v>Kenari Rajasa</v>
      </c>
      <c r="K239" s="10" t="s">
        <v>74</v>
      </c>
      <c r="L239" s="10" t="s">
        <v>272</v>
      </c>
      <c r="M239" s="10" t="s">
        <v>59</v>
      </c>
      <c r="N239" s="10" t="s">
        <v>60</v>
      </c>
      <c r="O239" s="10" t="s">
        <v>61</v>
      </c>
      <c r="P239" s="10">
        <v>42858</v>
      </c>
      <c r="Q239" s="15">
        <v>57600</v>
      </c>
      <c r="R239" s="15">
        <v>94500</v>
      </c>
      <c r="S239" s="15">
        <f>Table1[[#This Row],[Retail Price]]-Table1[[#This Row],[Cost Price]]</f>
        <v>36900</v>
      </c>
      <c r="T239" s="10">
        <v>32</v>
      </c>
      <c r="U239" s="15">
        <f>Table1[[#This Row],[Profit Margin]]*Table1[[#This Row],[Order Quantity]]</f>
        <v>1180800</v>
      </c>
      <c r="V239" s="11">
        <v>0.04</v>
      </c>
      <c r="W239" s="15">
        <f t="shared" si="3"/>
        <v>47232</v>
      </c>
      <c r="X239" s="15">
        <f>Table1[[#This Row],[Sub Total]]-Table1[[#This Row],[Discount Rp]]</f>
        <v>1133568</v>
      </c>
      <c r="Y239" s="15">
        <f ca="1">OFFSET(Helper!$C$3,MATCH(Data!$N$4:$N$1003,Helper!$C$4:$C$9,0),MATCH(Data!$O$4:$O$1003,Helper!$D$3:$F$3,0))</f>
        <v>15000</v>
      </c>
      <c r="Z239" s="16">
        <f ca="1">Table1[[#This Row],[Order Total]]+Table1[[#This Row],[Shipping Cost]]</f>
        <v>1148568</v>
      </c>
    </row>
    <row r="240" spans="1:26" ht="15.75" customHeight="1" x14ac:dyDescent="0.3">
      <c r="A240" s="9" t="s">
        <v>722</v>
      </c>
      <c r="B240" s="18">
        <v>42862</v>
      </c>
      <c r="C240" s="10">
        <f>YEAR(Table1[[#This Row],[Order Date]])</f>
        <v>2017</v>
      </c>
      <c r="D240" s="10" t="s">
        <v>723</v>
      </c>
      <c r="E240" s="10" t="s">
        <v>724</v>
      </c>
      <c r="F240" s="10" t="s">
        <v>71</v>
      </c>
      <c r="G240" s="10" t="s">
        <v>55</v>
      </c>
      <c r="H240" s="10" t="s">
        <v>185</v>
      </c>
      <c r="I240" s="10" t="str">
        <f>VLOOKUP(Table1[[#This Row],[Account Manager ID]],Table2[[Employee ID]:[Full Name]],4,FALSE)</f>
        <v>Clara Prasetyo</v>
      </c>
      <c r="J240" s="10" t="str">
        <f>INDEX(Employee!$D$4:$D$47,MATCH($H$4:$H$1003,Employee!$A$4:$A$47,0))</f>
        <v>Clara Prasetyo</v>
      </c>
      <c r="K240" s="10" t="s">
        <v>107</v>
      </c>
      <c r="L240" s="10" t="s">
        <v>468</v>
      </c>
      <c r="M240" s="10" t="s">
        <v>59</v>
      </c>
      <c r="N240" s="10" t="s">
        <v>67</v>
      </c>
      <c r="O240" s="10" t="s">
        <v>61</v>
      </c>
      <c r="P240" s="10">
        <v>42864</v>
      </c>
      <c r="Q240" s="15">
        <v>13950</v>
      </c>
      <c r="R240" s="15">
        <v>22200</v>
      </c>
      <c r="S240" s="15">
        <f>Table1[[#This Row],[Retail Price]]-Table1[[#This Row],[Cost Price]]</f>
        <v>8250</v>
      </c>
      <c r="T240" s="10">
        <v>27</v>
      </c>
      <c r="U240" s="15">
        <f>Table1[[#This Row],[Profit Margin]]*Table1[[#This Row],[Order Quantity]]</f>
        <v>222750</v>
      </c>
      <c r="V240" s="11">
        <v>0</v>
      </c>
      <c r="W240" s="15">
        <f t="shared" si="3"/>
        <v>0</v>
      </c>
      <c r="X240" s="15">
        <f>Table1[[#This Row],[Sub Total]]-Table1[[#This Row],[Discount Rp]]</f>
        <v>222750</v>
      </c>
      <c r="Y240" s="15">
        <f ca="1">OFFSET(Helper!$C$3,MATCH(Data!$N$4:$N$1003,Helper!$C$4:$C$9,0),MATCH(Data!$O$4:$O$1003,Helper!$D$3:$F$3,0))</f>
        <v>5000</v>
      </c>
      <c r="Z240" s="16">
        <f ca="1">Table1[[#This Row],[Order Total]]+Table1[[#This Row],[Shipping Cost]]</f>
        <v>227750</v>
      </c>
    </row>
    <row r="241" spans="1:26" ht="15.75" customHeight="1" x14ac:dyDescent="0.3">
      <c r="A241" s="9" t="s">
        <v>725</v>
      </c>
      <c r="B241" s="18">
        <v>42863</v>
      </c>
      <c r="C241" s="10">
        <f>YEAR(Table1[[#This Row],[Order Date]])</f>
        <v>2017</v>
      </c>
      <c r="D241" s="10" t="s">
        <v>726</v>
      </c>
      <c r="E241" s="10" t="s">
        <v>241</v>
      </c>
      <c r="F241" s="10" t="s">
        <v>71</v>
      </c>
      <c r="G241" s="10" t="s">
        <v>72</v>
      </c>
      <c r="H241" s="10" t="s">
        <v>146</v>
      </c>
      <c r="I241" s="10" t="str">
        <f>VLOOKUP(Table1[[#This Row],[Account Manager ID]],Table2[[Employee ID]:[Full Name]],4,FALSE)</f>
        <v>Kenari Rajasa</v>
      </c>
      <c r="J241" s="10" t="str">
        <f>INDEX(Employee!$D$4:$D$47,MATCH($H$4:$H$1003,Employee!$A$4:$A$47,0))</f>
        <v>Kenari Rajasa</v>
      </c>
      <c r="K241" s="10" t="s">
        <v>57</v>
      </c>
      <c r="L241" s="10" t="s">
        <v>433</v>
      </c>
      <c r="M241" s="10" t="s">
        <v>81</v>
      </c>
      <c r="N241" s="10" t="s">
        <v>82</v>
      </c>
      <c r="O241" s="10" t="s">
        <v>83</v>
      </c>
      <c r="P241" s="10">
        <v>42865</v>
      </c>
      <c r="Q241" s="15">
        <v>1151850</v>
      </c>
      <c r="R241" s="15">
        <v>1799850</v>
      </c>
      <c r="S241" s="15">
        <f>Table1[[#This Row],[Retail Price]]-Table1[[#This Row],[Cost Price]]</f>
        <v>648000</v>
      </c>
      <c r="T241" s="10">
        <v>13</v>
      </c>
      <c r="U241" s="15">
        <f>Table1[[#This Row],[Profit Margin]]*Table1[[#This Row],[Order Quantity]]</f>
        <v>8424000</v>
      </c>
      <c r="V241" s="11">
        <v>0.04</v>
      </c>
      <c r="W241" s="15">
        <f t="shared" si="3"/>
        <v>336960</v>
      </c>
      <c r="X241" s="15">
        <f>Table1[[#This Row],[Sub Total]]-Table1[[#This Row],[Discount Rp]]</f>
        <v>8087040</v>
      </c>
      <c r="Y241" s="15">
        <f ca="1">OFFSET(Helper!$C$3,MATCH(Data!$N$4:$N$1003,Helper!$C$4:$C$9,0),MATCH(Data!$O$4:$O$1003,Helper!$D$3:$F$3,0))</f>
        <v>500000</v>
      </c>
      <c r="Z241" s="16">
        <f ca="1">Table1[[#This Row],[Order Total]]+Table1[[#This Row],[Shipping Cost]]</f>
        <v>8587040</v>
      </c>
    </row>
    <row r="242" spans="1:26" ht="15.75" customHeight="1" x14ac:dyDescent="0.3">
      <c r="A242" s="9" t="s">
        <v>727</v>
      </c>
      <c r="B242" s="18">
        <v>42864</v>
      </c>
      <c r="C242" s="10">
        <f>YEAR(Table1[[#This Row],[Order Date]])</f>
        <v>2017</v>
      </c>
      <c r="D242" s="10" t="s">
        <v>728</v>
      </c>
      <c r="E242" s="10" t="s">
        <v>539</v>
      </c>
      <c r="F242" s="10" t="s">
        <v>71</v>
      </c>
      <c r="G242" s="10" t="s">
        <v>55</v>
      </c>
      <c r="H242" s="10" t="s">
        <v>146</v>
      </c>
      <c r="I242" s="10" t="str">
        <f>VLOOKUP(Table1[[#This Row],[Account Manager ID]],Table2[[Employee ID]:[Full Name]],4,FALSE)</f>
        <v>Kenari Rajasa</v>
      </c>
      <c r="J242" s="10" t="str">
        <f>INDEX(Employee!$D$4:$D$47,MATCH($H$4:$H$1003,Employee!$A$4:$A$47,0))</f>
        <v>Kenari Rajasa</v>
      </c>
      <c r="K242" s="10" t="s">
        <v>117</v>
      </c>
      <c r="L242" s="10" t="s">
        <v>93</v>
      </c>
      <c r="M242" s="10" t="s">
        <v>59</v>
      </c>
      <c r="N242" s="10" t="s">
        <v>67</v>
      </c>
      <c r="O242" s="10" t="s">
        <v>61</v>
      </c>
      <c r="P242" s="10">
        <v>42866</v>
      </c>
      <c r="Q242" s="15">
        <v>16350.000000000002</v>
      </c>
      <c r="R242" s="15">
        <v>39000</v>
      </c>
      <c r="S242" s="15">
        <f>Table1[[#This Row],[Retail Price]]-Table1[[#This Row],[Cost Price]]</f>
        <v>22650</v>
      </c>
      <c r="T242" s="10">
        <v>27</v>
      </c>
      <c r="U242" s="15">
        <f>Table1[[#This Row],[Profit Margin]]*Table1[[#This Row],[Order Quantity]]</f>
        <v>611550</v>
      </c>
      <c r="V242" s="11">
        <v>0.09</v>
      </c>
      <c r="W242" s="15">
        <f t="shared" si="3"/>
        <v>55039.5</v>
      </c>
      <c r="X242" s="15">
        <f>Table1[[#This Row],[Sub Total]]-Table1[[#This Row],[Discount Rp]]</f>
        <v>556510.5</v>
      </c>
      <c r="Y242" s="15">
        <f ca="1">OFFSET(Helper!$C$3,MATCH(Data!$N$4:$N$1003,Helper!$C$4:$C$9,0),MATCH(Data!$O$4:$O$1003,Helper!$D$3:$F$3,0))</f>
        <v>5000</v>
      </c>
      <c r="Z242" s="16">
        <f ca="1">Table1[[#This Row],[Order Total]]+Table1[[#This Row],[Shipping Cost]]</f>
        <v>561510.5</v>
      </c>
    </row>
    <row r="243" spans="1:26" ht="15.75" customHeight="1" x14ac:dyDescent="0.3">
      <c r="A243" s="9" t="s">
        <v>729</v>
      </c>
      <c r="B243" s="18">
        <v>42865</v>
      </c>
      <c r="C243" s="10">
        <f>YEAR(Table1[[#This Row],[Order Date]])</f>
        <v>2017</v>
      </c>
      <c r="D243" s="10" t="s">
        <v>730</v>
      </c>
      <c r="E243" s="10" t="s">
        <v>340</v>
      </c>
      <c r="F243" s="10" t="s">
        <v>54</v>
      </c>
      <c r="G243" s="10" t="s">
        <v>87</v>
      </c>
      <c r="H243" s="10" t="s">
        <v>65</v>
      </c>
      <c r="I243" s="10" t="str">
        <f>VLOOKUP(Table1[[#This Row],[Account Manager ID]],Table2[[Employee ID]:[Full Name]],4,FALSE)</f>
        <v>Laras Nuraini</v>
      </c>
      <c r="J243" s="10" t="str">
        <f>INDEX(Employee!$D$4:$D$47,MATCH($H$4:$H$1003,Employee!$A$4:$A$47,0))</f>
        <v>Laras Nuraini</v>
      </c>
      <c r="K243" s="10" t="s">
        <v>92</v>
      </c>
      <c r="L243" s="10" t="s">
        <v>252</v>
      </c>
      <c r="M243" s="10" t="s">
        <v>253</v>
      </c>
      <c r="N243" s="10" t="s">
        <v>136</v>
      </c>
      <c r="O243" s="10" t="s">
        <v>61</v>
      </c>
      <c r="P243" s="10">
        <v>42872</v>
      </c>
      <c r="Q243" s="15">
        <v>82500</v>
      </c>
      <c r="R243" s="15">
        <v>183300</v>
      </c>
      <c r="S243" s="15">
        <f>Table1[[#This Row],[Retail Price]]-Table1[[#This Row],[Cost Price]]</f>
        <v>100800</v>
      </c>
      <c r="T243" s="10">
        <v>19</v>
      </c>
      <c r="U243" s="15">
        <f>Table1[[#This Row],[Profit Margin]]*Table1[[#This Row],[Order Quantity]]</f>
        <v>1915200</v>
      </c>
      <c r="V243" s="11">
        <v>0.09</v>
      </c>
      <c r="W243" s="15">
        <f t="shared" si="3"/>
        <v>172368</v>
      </c>
      <c r="X243" s="15">
        <f>Table1[[#This Row],[Sub Total]]-Table1[[#This Row],[Discount Rp]]</f>
        <v>1742832</v>
      </c>
      <c r="Y243" s="15">
        <f ca="1">OFFSET(Helper!$C$3,MATCH(Data!$N$4:$N$1003,Helper!$C$4:$C$9,0),MATCH(Data!$O$4:$O$1003,Helper!$D$3:$F$3,0))</f>
        <v>10000</v>
      </c>
      <c r="Z243" s="16">
        <f ca="1">Table1[[#This Row],[Order Total]]+Table1[[#This Row],[Shipping Cost]]</f>
        <v>1752832</v>
      </c>
    </row>
    <row r="244" spans="1:26" ht="15.75" customHeight="1" x14ac:dyDescent="0.3">
      <c r="A244" s="9" t="s">
        <v>731</v>
      </c>
      <c r="B244" s="18">
        <v>42865</v>
      </c>
      <c r="C244" s="10">
        <f>YEAR(Table1[[#This Row],[Order Date]])</f>
        <v>2017</v>
      </c>
      <c r="D244" s="10" t="s">
        <v>732</v>
      </c>
      <c r="E244" s="10" t="s">
        <v>733</v>
      </c>
      <c r="F244" s="10" t="s">
        <v>71</v>
      </c>
      <c r="G244" s="10" t="s">
        <v>72</v>
      </c>
      <c r="H244" s="10" t="s">
        <v>146</v>
      </c>
      <c r="I244" s="10" t="str">
        <f>VLOOKUP(Table1[[#This Row],[Account Manager ID]],Table2[[Employee ID]:[Full Name]],4,FALSE)</f>
        <v>Kenari Rajasa</v>
      </c>
      <c r="J244" s="10" t="str">
        <f>INDEX(Employee!$D$4:$D$47,MATCH($H$4:$H$1003,Employee!$A$4:$A$47,0))</f>
        <v>Kenari Rajasa</v>
      </c>
      <c r="K244" s="10" t="s">
        <v>74</v>
      </c>
      <c r="L244" s="10" t="s">
        <v>197</v>
      </c>
      <c r="M244" s="10" t="s">
        <v>81</v>
      </c>
      <c r="N244" s="10" t="s">
        <v>60</v>
      </c>
      <c r="O244" s="10" t="s">
        <v>61</v>
      </c>
      <c r="P244" s="10">
        <v>42866</v>
      </c>
      <c r="Q244" s="15">
        <v>151050</v>
      </c>
      <c r="R244" s="15">
        <v>239700</v>
      </c>
      <c r="S244" s="15">
        <f>Table1[[#This Row],[Retail Price]]-Table1[[#This Row],[Cost Price]]</f>
        <v>88650</v>
      </c>
      <c r="T244" s="10">
        <v>8</v>
      </c>
      <c r="U244" s="15">
        <f>Table1[[#This Row],[Profit Margin]]*Table1[[#This Row],[Order Quantity]]</f>
        <v>709200</v>
      </c>
      <c r="V244" s="11">
        <v>0.04</v>
      </c>
      <c r="W244" s="15">
        <f t="shared" si="3"/>
        <v>28368</v>
      </c>
      <c r="X244" s="15">
        <f>Table1[[#This Row],[Sub Total]]-Table1[[#This Row],[Discount Rp]]</f>
        <v>680832</v>
      </c>
      <c r="Y244" s="15">
        <f ca="1">OFFSET(Helper!$C$3,MATCH(Data!$N$4:$N$1003,Helper!$C$4:$C$9,0),MATCH(Data!$O$4:$O$1003,Helper!$D$3:$F$3,0))</f>
        <v>15000</v>
      </c>
      <c r="Z244" s="16">
        <f ca="1">Table1[[#This Row],[Order Total]]+Table1[[#This Row],[Shipping Cost]]</f>
        <v>695832</v>
      </c>
    </row>
    <row r="245" spans="1:26" ht="15.75" customHeight="1" x14ac:dyDescent="0.3">
      <c r="A245" s="9" t="s">
        <v>734</v>
      </c>
      <c r="B245" s="18">
        <v>42866</v>
      </c>
      <c r="C245" s="10">
        <f>YEAR(Table1[[#This Row],[Order Date]])</f>
        <v>2017</v>
      </c>
      <c r="D245" s="10" t="s">
        <v>735</v>
      </c>
      <c r="E245" s="10" t="s">
        <v>169</v>
      </c>
      <c r="F245" s="10" t="s">
        <v>54</v>
      </c>
      <c r="G245" s="10" t="s">
        <v>87</v>
      </c>
      <c r="H245" s="10" t="s">
        <v>65</v>
      </c>
      <c r="I245" s="10" t="str">
        <f>VLOOKUP(Table1[[#This Row],[Account Manager ID]],Table2[[Employee ID]:[Full Name]],4,FALSE)</f>
        <v>Laras Nuraini</v>
      </c>
      <c r="J245" s="10" t="str">
        <f>INDEX(Employee!$D$4:$D$47,MATCH($H$4:$H$1003,Employee!$A$4:$A$47,0))</f>
        <v>Laras Nuraini</v>
      </c>
      <c r="K245" s="10" t="s">
        <v>57</v>
      </c>
      <c r="L245" s="10" t="s">
        <v>113</v>
      </c>
      <c r="M245" s="10" t="s">
        <v>59</v>
      </c>
      <c r="N245" s="10" t="s">
        <v>60</v>
      </c>
      <c r="O245" s="10" t="s">
        <v>61</v>
      </c>
      <c r="P245" s="10">
        <v>42866</v>
      </c>
      <c r="Q245" s="15">
        <v>79950</v>
      </c>
      <c r="R245" s="15">
        <v>129000</v>
      </c>
      <c r="S245" s="15">
        <f>Table1[[#This Row],[Retail Price]]-Table1[[#This Row],[Cost Price]]</f>
        <v>49050</v>
      </c>
      <c r="T245" s="10">
        <v>4</v>
      </c>
      <c r="U245" s="15">
        <f>Table1[[#This Row],[Profit Margin]]*Table1[[#This Row],[Order Quantity]]</f>
        <v>196200</v>
      </c>
      <c r="V245" s="11">
        <v>0.04</v>
      </c>
      <c r="W245" s="15">
        <f t="shared" si="3"/>
        <v>7848</v>
      </c>
      <c r="X245" s="15">
        <f>Table1[[#This Row],[Sub Total]]-Table1[[#This Row],[Discount Rp]]</f>
        <v>188352</v>
      </c>
      <c r="Y245" s="15">
        <f ca="1">OFFSET(Helper!$C$3,MATCH(Data!$N$4:$N$1003,Helper!$C$4:$C$9,0),MATCH(Data!$O$4:$O$1003,Helper!$D$3:$F$3,0))</f>
        <v>15000</v>
      </c>
      <c r="Z245" s="16">
        <f ca="1">Table1[[#This Row],[Order Total]]+Table1[[#This Row],[Shipping Cost]]</f>
        <v>203352</v>
      </c>
    </row>
    <row r="246" spans="1:26" ht="15.75" customHeight="1" x14ac:dyDescent="0.3">
      <c r="A246" s="9" t="s">
        <v>736</v>
      </c>
      <c r="B246" s="18">
        <v>42868</v>
      </c>
      <c r="C246" s="10">
        <f>YEAR(Table1[[#This Row],[Order Date]])</f>
        <v>2017</v>
      </c>
      <c r="D246" s="10" t="s">
        <v>737</v>
      </c>
      <c r="E246" s="10" t="s">
        <v>111</v>
      </c>
      <c r="F246" s="10" t="s">
        <v>71</v>
      </c>
      <c r="G246" s="10" t="s">
        <v>106</v>
      </c>
      <c r="H246" s="10" t="s">
        <v>112</v>
      </c>
      <c r="I246" s="10" t="str">
        <f>VLOOKUP(Table1[[#This Row],[Account Manager ID]],Table2[[Employee ID]:[Full Name]],4,FALSE)</f>
        <v>Paiman Firgantoro</v>
      </c>
      <c r="J246" s="10" t="str">
        <f>INDEX(Employee!$D$4:$D$47,MATCH($H$4:$H$1003,Employee!$A$4:$A$47,0))</f>
        <v>Paiman Firgantoro</v>
      </c>
      <c r="K246" s="10" t="s">
        <v>57</v>
      </c>
      <c r="L246" s="10" t="s">
        <v>108</v>
      </c>
      <c r="M246" s="10" t="s">
        <v>59</v>
      </c>
      <c r="N246" s="10" t="s">
        <v>60</v>
      </c>
      <c r="O246" s="10" t="s">
        <v>61</v>
      </c>
      <c r="P246" s="10">
        <v>42871</v>
      </c>
      <c r="Q246" s="15">
        <v>814350</v>
      </c>
      <c r="R246" s="15">
        <v>1357200</v>
      </c>
      <c r="S246" s="15">
        <f>Table1[[#This Row],[Retail Price]]-Table1[[#This Row],[Cost Price]]</f>
        <v>542850</v>
      </c>
      <c r="T246" s="10">
        <v>27</v>
      </c>
      <c r="U246" s="15">
        <f>Table1[[#This Row],[Profit Margin]]*Table1[[#This Row],[Order Quantity]]</f>
        <v>14656950</v>
      </c>
      <c r="V246" s="11">
        <v>0</v>
      </c>
      <c r="W246" s="15">
        <f t="shared" si="3"/>
        <v>0</v>
      </c>
      <c r="X246" s="15">
        <f>Table1[[#This Row],[Sub Total]]-Table1[[#This Row],[Discount Rp]]</f>
        <v>14656950</v>
      </c>
      <c r="Y246" s="15">
        <f ca="1">OFFSET(Helper!$C$3,MATCH(Data!$N$4:$N$1003,Helper!$C$4:$C$9,0),MATCH(Data!$O$4:$O$1003,Helper!$D$3:$F$3,0))</f>
        <v>15000</v>
      </c>
      <c r="Z246" s="16">
        <f ca="1">Table1[[#This Row],[Order Total]]+Table1[[#This Row],[Shipping Cost]]</f>
        <v>14671950</v>
      </c>
    </row>
    <row r="247" spans="1:26" ht="15.75" customHeight="1" x14ac:dyDescent="0.3">
      <c r="A247" s="9" t="s">
        <v>738</v>
      </c>
      <c r="B247" s="18">
        <v>42869</v>
      </c>
      <c r="C247" s="10">
        <f>YEAR(Table1[[#This Row],[Order Date]])</f>
        <v>2017</v>
      </c>
      <c r="D247" s="10" t="s">
        <v>739</v>
      </c>
      <c r="E247" s="10" t="s">
        <v>740</v>
      </c>
      <c r="F247" s="10" t="s">
        <v>71</v>
      </c>
      <c r="G247" s="10" t="s">
        <v>72</v>
      </c>
      <c r="H247" s="10" t="s">
        <v>97</v>
      </c>
      <c r="I247" s="10" t="str">
        <f>VLOOKUP(Table1[[#This Row],[Account Manager ID]],Table2[[Employee ID]:[Full Name]],4,FALSE)</f>
        <v>Violet Mentari</v>
      </c>
      <c r="J247" s="10" t="str">
        <f>INDEX(Employee!$D$4:$D$47,MATCH($H$4:$H$1003,Employee!$A$4:$A$47,0))</f>
        <v>Violet Mentari</v>
      </c>
      <c r="K247" s="10" t="s">
        <v>74</v>
      </c>
      <c r="L247" s="10" t="s">
        <v>256</v>
      </c>
      <c r="M247" s="10" t="s">
        <v>59</v>
      </c>
      <c r="N247" s="10" t="s">
        <v>60</v>
      </c>
      <c r="O247" s="10" t="s">
        <v>61</v>
      </c>
      <c r="P247" s="10">
        <v>42871</v>
      </c>
      <c r="Q247" s="15">
        <v>204600</v>
      </c>
      <c r="R247" s="15">
        <v>314700</v>
      </c>
      <c r="S247" s="15">
        <f>Table1[[#This Row],[Retail Price]]-Table1[[#This Row],[Cost Price]]</f>
        <v>110100</v>
      </c>
      <c r="T247" s="10">
        <v>31</v>
      </c>
      <c r="U247" s="15">
        <f>Table1[[#This Row],[Profit Margin]]*Table1[[#This Row],[Order Quantity]]</f>
        <v>3413100</v>
      </c>
      <c r="V247" s="11">
        <v>0.09</v>
      </c>
      <c r="W247" s="15">
        <f t="shared" si="3"/>
        <v>307179</v>
      </c>
      <c r="X247" s="15">
        <f>Table1[[#This Row],[Sub Total]]-Table1[[#This Row],[Discount Rp]]</f>
        <v>3105921</v>
      </c>
      <c r="Y247" s="15">
        <f ca="1">OFFSET(Helper!$C$3,MATCH(Data!$N$4:$N$1003,Helper!$C$4:$C$9,0),MATCH(Data!$O$4:$O$1003,Helper!$D$3:$F$3,0))</f>
        <v>15000</v>
      </c>
      <c r="Z247" s="16">
        <f ca="1">Table1[[#This Row],[Order Total]]+Table1[[#This Row],[Shipping Cost]]</f>
        <v>3120921</v>
      </c>
    </row>
    <row r="248" spans="1:26" ht="15.75" customHeight="1" x14ac:dyDescent="0.3">
      <c r="A248" s="9" t="s">
        <v>741</v>
      </c>
      <c r="B248" s="18">
        <v>42869</v>
      </c>
      <c r="C248" s="10">
        <f>YEAR(Table1[[#This Row],[Order Date]])</f>
        <v>2017</v>
      </c>
      <c r="D248" s="10" t="s">
        <v>742</v>
      </c>
      <c r="E248" s="10" t="s">
        <v>455</v>
      </c>
      <c r="F248" s="10" t="s">
        <v>71</v>
      </c>
      <c r="G248" s="10" t="s">
        <v>106</v>
      </c>
      <c r="H248" s="10" t="s">
        <v>155</v>
      </c>
      <c r="I248" s="10" t="str">
        <f>VLOOKUP(Table1[[#This Row],[Account Manager ID]],Table2[[Employee ID]:[Full Name]],4,FALSE)</f>
        <v>Puti Nadine Prakasa</v>
      </c>
      <c r="J248" s="10" t="str">
        <f>INDEX(Employee!$D$4:$D$47,MATCH($H$4:$H$1003,Employee!$A$4:$A$47,0))</f>
        <v>Puti Nadine Prakasa</v>
      </c>
      <c r="K248" s="10" t="s">
        <v>117</v>
      </c>
      <c r="L248" s="10" t="s">
        <v>297</v>
      </c>
      <c r="M248" s="10" t="s">
        <v>59</v>
      </c>
      <c r="N248" s="10" t="s">
        <v>67</v>
      </c>
      <c r="O248" s="10" t="s">
        <v>61</v>
      </c>
      <c r="P248" s="10">
        <v>42871</v>
      </c>
      <c r="Q248" s="15">
        <v>52200</v>
      </c>
      <c r="R248" s="15">
        <v>81450</v>
      </c>
      <c r="S248" s="15">
        <f>Table1[[#This Row],[Retail Price]]-Table1[[#This Row],[Cost Price]]</f>
        <v>29250</v>
      </c>
      <c r="T248" s="10">
        <v>2</v>
      </c>
      <c r="U248" s="15">
        <f>Table1[[#This Row],[Profit Margin]]*Table1[[#This Row],[Order Quantity]]</f>
        <v>58500</v>
      </c>
      <c r="V248" s="11">
        <v>0.1</v>
      </c>
      <c r="W248" s="15">
        <f t="shared" si="3"/>
        <v>5850</v>
      </c>
      <c r="X248" s="15">
        <f>Table1[[#This Row],[Sub Total]]-Table1[[#This Row],[Discount Rp]]</f>
        <v>52650</v>
      </c>
      <c r="Y248" s="15">
        <f ca="1">OFFSET(Helper!$C$3,MATCH(Data!$N$4:$N$1003,Helper!$C$4:$C$9,0),MATCH(Data!$O$4:$O$1003,Helper!$D$3:$F$3,0))</f>
        <v>5000</v>
      </c>
      <c r="Z248" s="16">
        <f ca="1">Table1[[#This Row],[Order Total]]+Table1[[#This Row],[Shipping Cost]]</f>
        <v>57650</v>
      </c>
    </row>
    <row r="249" spans="1:26" ht="15.75" customHeight="1" x14ac:dyDescent="0.3">
      <c r="A249" s="9" t="s">
        <v>743</v>
      </c>
      <c r="B249" s="18">
        <v>42872</v>
      </c>
      <c r="C249" s="10">
        <f>YEAR(Table1[[#This Row],[Order Date]])</f>
        <v>2017</v>
      </c>
      <c r="D249" s="10" t="s">
        <v>744</v>
      </c>
      <c r="E249" s="10" t="s">
        <v>449</v>
      </c>
      <c r="F249" s="10" t="s">
        <v>54</v>
      </c>
      <c r="G249" s="10" t="s">
        <v>106</v>
      </c>
      <c r="H249" s="10" t="s">
        <v>65</v>
      </c>
      <c r="I249" s="10" t="str">
        <f>VLOOKUP(Table1[[#This Row],[Account Manager ID]],Table2[[Employee ID]:[Full Name]],4,FALSE)</f>
        <v>Laras Nuraini</v>
      </c>
      <c r="J249" s="10" t="str">
        <f>INDEX(Employee!$D$4:$D$47,MATCH($H$4:$H$1003,Employee!$A$4:$A$47,0))</f>
        <v>Laras Nuraini</v>
      </c>
      <c r="K249" s="10" t="s">
        <v>92</v>
      </c>
      <c r="L249" s="10" t="s">
        <v>284</v>
      </c>
      <c r="M249" s="10" t="s">
        <v>59</v>
      </c>
      <c r="N249" s="10" t="s">
        <v>60</v>
      </c>
      <c r="O249" s="10" t="s">
        <v>61</v>
      </c>
      <c r="P249" s="10">
        <v>42877</v>
      </c>
      <c r="Q249" s="15">
        <v>33750</v>
      </c>
      <c r="R249" s="15">
        <v>55350</v>
      </c>
      <c r="S249" s="15">
        <f>Table1[[#This Row],[Retail Price]]-Table1[[#This Row],[Cost Price]]</f>
        <v>21600</v>
      </c>
      <c r="T249" s="10">
        <v>20</v>
      </c>
      <c r="U249" s="15">
        <f>Table1[[#This Row],[Profit Margin]]*Table1[[#This Row],[Order Quantity]]</f>
        <v>432000</v>
      </c>
      <c r="V249" s="11">
        <v>0.08</v>
      </c>
      <c r="W249" s="15">
        <f t="shared" si="3"/>
        <v>34560</v>
      </c>
      <c r="X249" s="15">
        <f>Table1[[#This Row],[Sub Total]]-Table1[[#This Row],[Discount Rp]]</f>
        <v>397440</v>
      </c>
      <c r="Y249" s="15">
        <f ca="1">OFFSET(Helper!$C$3,MATCH(Data!$N$4:$N$1003,Helper!$C$4:$C$9,0),MATCH(Data!$O$4:$O$1003,Helper!$D$3:$F$3,0))</f>
        <v>15000</v>
      </c>
      <c r="Z249" s="16">
        <f ca="1">Table1[[#This Row],[Order Total]]+Table1[[#This Row],[Shipping Cost]]</f>
        <v>412440</v>
      </c>
    </row>
    <row r="250" spans="1:26" ht="15.75" customHeight="1" x14ac:dyDescent="0.3">
      <c r="A250" s="9" t="s">
        <v>745</v>
      </c>
      <c r="B250" s="18">
        <v>42873</v>
      </c>
      <c r="C250" s="10">
        <f>YEAR(Table1[[#This Row],[Order Date]])</f>
        <v>2017</v>
      </c>
      <c r="D250" s="10" t="s">
        <v>746</v>
      </c>
      <c r="E250" s="10" t="s">
        <v>432</v>
      </c>
      <c r="F250" s="10" t="s">
        <v>71</v>
      </c>
      <c r="G250" s="10" t="s">
        <v>106</v>
      </c>
      <c r="H250" s="10" t="s">
        <v>88</v>
      </c>
      <c r="I250" s="10" t="str">
        <f>VLOOKUP(Table1[[#This Row],[Account Manager ID]],Table2[[Employee ID]:[Full Name]],4,FALSE)</f>
        <v>Bagiya Sihombing</v>
      </c>
      <c r="J250" s="10" t="str">
        <f>INDEX(Employee!$D$4:$D$47,MATCH($H$4:$H$1003,Employee!$A$4:$A$47,0))</f>
        <v>Bagiya Sihombing</v>
      </c>
      <c r="K250" s="10" t="s">
        <v>74</v>
      </c>
      <c r="L250" s="10" t="s">
        <v>398</v>
      </c>
      <c r="M250" s="10" t="s">
        <v>81</v>
      </c>
      <c r="N250" s="10" t="s">
        <v>60</v>
      </c>
      <c r="O250" s="10" t="s">
        <v>61</v>
      </c>
      <c r="P250" s="10">
        <v>42874</v>
      </c>
      <c r="Q250" s="15">
        <v>817800</v>
      </c>
      <c r="R250" s="15">
        <v>1514550</v>
      </c>
      <c r="S250" s="15">
        <f>Table1[[#This Row],[Retail Price]]-Table1[[#This Row],[Cost Price]]</f>
        <v>696750</v>
      </c>
      <c r="T250" s="10">
        <v>15</v>
      </c>
      <c r="U250" s="15">
        <f>Table1[[#This Row],[Profit Margin]]*Table1[[#This Row],[Order Quantity]]</f>
        <v>10451250</v>
      </c>
      <c r="V250" s="11">
        <v>0.08</v>
      </c>
      <c r="W250" s="15">
        <f t="shared" si="3"/>
        <v>836100</v>
      </c>
      <c r="X250" s="15">
        <f>Table1[[#This Row],[Sub Total]]-Table1[[#This Row],[Discount Rp]]</f>
        <v>9615150</v>
      </c>
      <c r="Y250" s="15">
        <f ca="1">OFFSET(Helper!$C$3,MATCH(Data!$N$4:$N$1003,Helper!$C$4:$C$9,0),MATCH(Data!$O$4:$O$1003,Helper!$D$3:$F$3,0))</f>
        <v>15000</v>
      </c>
      <c r="Z250" s="16">
        <f ca="1">Table1[[#This Row],[Order Total]]+Table1[[#This Row],[Shipping Cost]]</f>
        <v>9630150</v>
      </c>
    </row>
    <row r="251" spans="1:26" ht="15.75" customHeight="1" x14ac:dyDescent="0.3">
      <c r="A251" s="9" t="s">
        <v>747</v>
      </c>
      <c r="B251" s="18">
        <v>42875</v>
      </c>
      <c r="C251" s="10">
        <f>YEAR(Table1[[#This Row],[Order Date]])</f>
        <v>2017</v>
      </c>
      <c r="D251" s="10" t="s">
        <v>617</v>
      </c>
      <c r="E251" s="10" t="s">
        <v>618</v>
      </c>
      <c r="F251" s="10" t="s">
        <v>71</v>
      </c>
      <c r="G251" s="10" t="s">
        <v>106</v>
      </c>
      <c r="H251" s="10" t="s">
        <v>112</v>
      </c>
      <c r="I251" s="10" t="str">
        <f>VLOOKUP(Table1[[#This Row],[Account Manager ID]],Table2[[Employee ID]:[Full Name]],4,FALSE)</f>
        <v>Paiman Firgantoro</v>
      </c>
      <c r="J251" s="10" t="str">
        <f>INDEX(Employee!$D$4:$D$47,MATCH($H$4:$H$1003,Employee!$A$4:$A$47,0))</f>
        <v>Paiman Firgantoro</v>
      </c>
      <c r="K251" s="10" t="s">
        <v>117</v>
      </c>
      <c r="L251" s="10" t="s">
        <v>406</v>
      </c>
      <c r="M251" s="10" t="s">
        <v>81</v>
      </c>
      <c r="N251" s="10" t="s">
        <v>82</v>
      </c>
      <c r="O251" s="10" t="s">
        <v>83</v>
      </c>
      <c r="P251" s="10">
        <v>42876</v>
      </c>
      <c r="Q251" s="15">
        <v>4184850</v>
      </c>
      <c r="R251" s="15">
        <v>6749850</v>
      </c>
      <c r="S251" s="15">
        <f>Table1[[#This Row],[Retail Price]]-Table1[[#This Row],[Cost Price]]</f>
        <v>2565000</v>
      </c>
      <c r="T251" s="10">
        <v>39</v>
      </c>
      <c r="U251" s="15">
        <f>Table1[[#This Row],[Profit Margin]]*Table1[[#This Row],[Order Quantity]]</f>
        <v>100035000</v>
      </c>
      <c r="V251" s="11">
        <v>0.08</v>
      </c>
      <c r="W251" s="15">
        <f t="shared" si="3"/>
        <v>8002800</v>
      </c>
      <c r="X251" s="15">
        <f>Table1[[#This Row],[Sub Total]]-Table1[[#This Row],[Discount Rp]]</f>
        <v>92032200</v>
      </c>
      <c r="Y251" s="15">
        <f ca="1">OFFSET(Helper!$C$3,MATCH(Data!$N$4:$N$1003,Helper!$C$4:$C$9,0),MATCH(Data!$O$4:$O$1003,Helper!$D$3:$F$3,0))</f>
        <v>500000</v>
      </c>
      <c r="Z251" s="16">
        <f ca="1">Table1[[#This Row],[Order Total]]+Table1[[#This Row],[Shipping Cost]]</f>
        <v>92532200</v>
      </c>
    </row>
    <row r="252" spans="1:26" ht="15.75" customHeight="1" x14ac:dyDescent="0.3">
      <c r="A252" s="9" t="s">
        <v>748</v>
      </c>
      <c r="B252" s="18">
        <v>42877</v>
      </c>
      <c r="C252" s="10">
        <f>YEAR(Table1[[#This Row],[Order Date]])</f>
        <v>2017</v>
      </c>
      <c r="D252" s="10" t="s">
        <v>749</v>
      </c>
      <c r="E252" s="10" t="s">
        <v>750</v>
      </c>
      <c r="F252" s="10" t="s">
        <v>54</v>
      </c>
      <c r="G252" s="10" t="s">
        <v>72</v>
      </c>
      <c r="H252" s="10" t="s">
        <v>56</v>
      </c>
      <c r="I252" s="10" t="str">
        <f>VLOOKUP(Table1[[#This Row],[Account Manager ID]],Table2[[Employee ID]:[Full Name]],4,FALSE)</f>
        <v>Gaduh Pratama</v>
      </c>
      <c r="J252" s="10" t="str">
        <f>INDEX(Employee!$D$4:$D$47,MATCH($H$4:$H$1003,Employee!$A$4:$A$47,0))</f>
        <v>Gaduh Pratama</v>
      </c>
      <c r="K252" s="10" t="s">
        <v>92</v>
      </c>
      <c r="L252" s="10" t="s">
        <v>751</v>
      </c>
      <c r="M252" s="10" t="s">
        <v>81</v>
      </c>
      <c r="N252" s="10" t="s">
        <v>459</v>
      </c>
      <c r="O252" s="10" t="s">
        <v>61</v>
      </c>
      <c r="P252" s="10">
        <v>42886</v>
      </c>
      <c r="Q252" s="15">
        <v>5669850</v>
      </c>
      <c r="R252" s="15">
        <v>8999850</v>
      </c>
      <c r="S252" s="15">
        <f>Table1[[#This Row],[Retail Price]]-Table1[[#This Row],[Cost Price]]</f>
        <v>3330000</v>
      </c>
      <c r="T252" s="10">
        <v>48</v>
      </c>
      <c r="U252" s="15">
        <f>Table1[[#This Row],[Profit Margin]]*Table1[[#This Row],[Order Quantity]]</f>
        <v>159840000</v>
      </c>
      <c r="V252" s="11">
        <v>0.08</v>
      </c>
      <c r="W252" s="15">
        <f t="shared" si="3"/>
        <v>12787200</v>
      </c>
      <c r="X252" s="15">
        <f>Table1[[#This Row],[Sub Total]]-Table1[[#This Row],[Discount Rp]]</f>
        <v>147052800</v>
      </c>
      <c r="Y252" s="15">
        <f ca="1">OFFSET(Helper!$C$3,MATCH(Data!$N$4:$N$1003,Helper!$C$4:$C$9,0),MATCH(Data!$O$4:$O$1003,Helper!$D$3:$F$3,0))</f>
        <v>50000</v>
      </c>
      <c r="Z252" s="16">
        <f ca="1">Table1[[#This Row],[Order Total]]+Table1[[#This Row],[Shipping Cost]]</f>
        <v>147102800</v>
      </c>
    </row>
    <row r="253" spans="1:26" ht="15.75" customHeight="1" x14ac:dyDescent="0.3">
      <c r="A253" s="9" t="s">
        <v>752</v>
      </c>
      <c r="B253" s="18">
        <v>42877</v>
      </c>
      <c r="C253" s="10">
        <f>YEAR(Table1[[#This Row],[Order Date]])</f>
        <v>2017</v>
      </c>
      <c r="D253" s="10" t="s">
        <v>749</v>
      </c>
      <c r="E253" s="10" t="s">
        <v>750</v>
      </c>
      <c r="F253" s="10" t="s">
        <v>54</v>
      </c>
      <c r="G253" s="10" t="s">
        <v>72</v>
      </c>
      <c r="H253" s="10" t="s">
        <v>56</v>
      </c>
      <c r="I253" s="10" t="str">
        <f>VLOOKUP(Table1[[#This Row],[Account Manager ID]],Table2[[Employee ID]:[Full Name]],4,FALSE)</f>
        <v>Gaduh Pratama</v>
      </c>
      <c r="J253" s="10" t="str">
        <f>INDEX(Employee!$D$4:$D$47,MATCH($H$4:$H$1003,Employee!$A$4:$A$47,0))</f>
        <v>Gaduh Pratama</v>
      </c>
      <c r="K253" s="10" t="s">
        <v>92</v>
      </c>
      <c r="L253" s="10" t="s">
        <v>753</v>
      </c>
      <c r="M253" s="10" t="s">
        <v>59</v>
      </c>
      <c r="N253" s="10" t="s">
        <v>67</v>
      </c>
      <c r="O253" s="10" t="s">
        <v>76</v>
      </c>
      <c r="P253" s="10">
        <v>42882</v>
      </c>
      <c r="Q253" s="15">
        <v>38850</v>
      </c>
      <c r="R253" s="15">
        <v>59700</v>
      </c>
      <c r="S253" s="15">
        <f>Table1[[#This Row],[Retail Price]]-Table1[[#This Row],[Cost Price]]</f>
        <v>20850</v>
      </c>
      <c r="T253" s="10">
        <v>11</v>
      </c>
      <c r="U253" s="15">
        <f>Table1[[#This Row],[Profit Margin]]*Table1[[#This Row],[Order Quantity]]</f>
        <v>229350</v>
      </c>
      <c r="V253" s="11">
        <v>0.1</v>
      </c>
      <c r="W253" s="15">
        <f t="shared" si="3"/>
        <v>22935</v>
      </c>
      <c r="X253" s="15">
        <f>Table1[[#This Row],[Sub Total]]-Table1[[#This Row],[Discount Rp]]</f>
        <v>206415</v>
      </c>
      <c r="Y253" s="15">
        <f ca="1">OFFSET(Helper!$C$3,MATCH(Data!$N$4:$N$1003,Helper!$C$4:$C$9,0),MATCH(Data!$O$4:$O$1003,Helper!$D$3:$F$3,0))</f>
        <v>10000</v>
      </c>
      <c r="Z253" s="16">
        <f ca="1">Table1[[#This Row],[Order Total]]+Table1[[#This Row],[Shipping Cost]]</f>
        <v>216415</v>
      </c>
    </row>
    <row r="254" spans="1:26" ht="15.75" customHeight="1" x14ac:dyDescent="0.3">
      <c r="A254" s="9" t="s">
        <v>754</v>
      </c>
      <c r="B254" s="18">
        <v>42879</v>
      </c>
      <c r="C254" s="10">
        <f>YEAR(Table1[[#This Row],[Order Date]])</f>
        <v>2017</v>
      </c>
      <c r="D254" s="10" t="s">
        <v>755</v>
      </c>
      <c r="E254" s="10" t="s">
        <v>756</v>
      </c>
      <c r="F254" s="10" t="s">
        <v>71</v>
      </c>
      <c r="G254" s="10" t="s">
        <v>72</v>
      </c>
      <c r="H254" s="10" t="s">
        <v>146</v>
      </c>
      <c r="I254" s="10" t="str">
        <f>VLOOKUP(Table1[[#This Row],[Account Manager ID]],Table2[[Employee ID]:[Full Name]],4,FALSE)</f>
        <v>Kenari Rajasa</v>
      </c>
      <c r="J254" s="10" t="str">
        <f>INDEX(Employee!$D$4:$D$47,MATCH($H$4:$H$1003,Employee!$A$4:$A$47,0))</f>
        <v>Kenari Rajasa</v>
      </c>
      <c r="K254" s="10" t="s">
        <v>92</v>
      </c>
      <c r="L254" s="10" t="s">
        <v>446</v>
      </c>
      <c r="M254" s="10" t="s">
        <v>59</v>
      </c>
      <c r="N254" s="10" t="s">
        <v>60</v>
      </c>
      <c r="O254" s="10" t="s">
        <v>61</v>
      </c>
      <c r="P254" s="10">
        <v>42883</v>
      </c>
      <c r="Q254" s="15">
        <v>33900</v>
      </c>
      <c r="R254" s="15">
        <v>53700</v>
      </c>
      <c r="S254" s="15">
        <f>Table1[[#This Row],[Retail Price]]-Table1[[#This Row],[Cost Price]]</f>
        <v>19800</v>
      </c>
      <c r="T254" s="10">
        <v>42</v>
      </c>
      <c r="U254" s="15">
        <f>Table1[[#This Row],[Profit Margin]]*Table1[[#This Row],[Order Quantity]]</f>
        <v>831600</v>
      </c>
      <c r="V254" s="11">
        <v>0.01</v>
      </c>
      <c r="W254" s="15">
        <f t="shared" si="3"/>
        <v>8316</v>
      </c>
      <c r="X254" s="15">
        <f>Table1[[#This Row],[Sub Total]]-Table1[[#This Row],[Discount Rp]]</f>
        <v>823284</v>
      </c>
      <c r="Y254" s="15">
        <f ca="1">OFFSET(Helper!$C$3,MATCH(Data!$N$4:$N$1003,Helper!$C$4:$C$9,0),MATCH(Data!$O$4:$O$1003,Helper!$D$3:$F$3,0))</f>
        <v>15000</v>
      </c>
      <c r="Z254" s="16">
        <f ca="1">Table1[[#This Row],[Order Total]]+Table1[[#This Row],[Shipping Cost]]</f>
        <v>838284</v>
      </c>
    </row>
    <row r="255" spans="1:26" ht="15.75" customHeight="1" x14ac:dyDescent="0.3">
      <c r="A255" s="9" t="s">
        <v>757</v>
      </c>
      <c r="B255" s="18">
        <v>42880</v>
      </c>
      <c r="C255" s="10">
        <f>YEAR(Table1[[#This Row],[Order Date]])</f>
        <v>2017</v>
      </c>
      <c r="D255" s="10" t="s">
        <v>758</v>
      </c>
      <c r="E255" s="10" t="s">
        <v>233</v>
      </c>
      <c r="F255" s="10" t="s">
        <v>54</v>
      </c>
      <c r="G255" s="10" t="s">
        <v>106</v>
      </c>
      <c r="H255" s="10" t="s">
        <v>65</v>
      </c>
      <c r="I255" s="10" t="str">
        <f>VLOOKUP(Table1[[#This Row],[Account Manager ID]],Table2[[Employee ID]:[Full Name]],4,FALSE)</f>
        <v>Laras Nuraini</v>
      </c>
      <c r="J255" s="10" t="str">
        <f>INDEX(Employee!$D$4:$D$47,MATCH($H$4:$H$1003,Employee!$A$4:$A$47,0))</f>
        <v>Laras Nuraini</v>
      </c>
      <c r="K255" s="10" t="s">
        <v>74</v>
      </c>
      <c r="L255" s="10" t="s">
        <v>226</v>
      </c>
      <c r="M255" s="10" t="s">
        <v>81</v>
      </c>
      <c r="N255" s="10" t="s">
        <v>227</v>
      </c>
      <c r="O255" s="10" t="s">
        <v>61</v>
      </c>
      <c r="P255" s="10">
        <v>42881</v>
      </c>
      <c r="Q255" s="15">
        <v>132300</v>
      </c>
      <c r="R255" s="15">
        <v>314850</v>
      </c>
      <c r="S255" s="15">
        <f>Table1[[#This Row],[Retail Price]]-Table1[[#This Row],[Cost Price]]</f>
        <v>182550</v>
      </c>
      <c r="T255" s="10">
        <v>42</v>
      </c>
      <c r="U255" s="15">
        <f>Table1[[#This Row],[Profit Margin]]*Table1[[#This Row],[Order Quantity]]</f>
        <v>7667100</v>
      </c>
      <c r="V255" s="11">
        <v>7.0000000000000007E-2</v>
      </c>
      <c r="W255" s="15">
        <f t="shared" si="3"/>
        <v>536697</v>
      </c>
      <c r="X255" s="15">
        <f>Table1[[#This Row],[Sub Total]]-Table1[[#This Row],[Discount Rp]]</f>
        <v>7130403</v>
      </c>
      <c r="Y255" s="15">
        <f ca="1">OFFSET(Helper!$C$3,MATCH(Data!$N$4:$N$1003,Helper!$C$4:$C$9,0),MATCH(Data!$O$4:$O$1003,Helper!$D$3:$F$3,0))</f>
        <v>20000</v>
      </c>
      <c r="Z255" s="16">
        <f ca="1">Table1[[#This Row],[Order Total]]+Table1[[#This Row],[Shipping Cost]]</f>
        <v>7150403</v>
      </c>
    </row>
    <row r="256" spans="1:26" ht="15.75" customHeight="1" x14ac:dyDescent="0.3">
      <c r="A256" s="9" t="s">
        <v>759</v>
      </c>
      <c r="B256" s="18">
        <v>42880</v>
      </c>
      <c r="C256" s="10">
        <f>YEAR(Table1[[#This Row],[Order Date]])</f>
        <v>2017</v>
      </c>
      <c r="D256" s="10" t="s">
        <v>760</v>
      </c>
      <c r="E256" s="10" t="s">
        <v>607</v>
      </c>
      <c r="F256" s="10" t="s">
        <v>71</v>
      </c>
      <c r="G256" s="10" t="s">
        <v>87</v>
      </c>
      <c r="H256" s="10" t="s">
        <v>185</v>
      </c>
      <c r="I256" s="10" t="str">
        <f>VLOOKUP(Table1[[#This Row],[Account Manager ID]],Table2[[Employee ID]:[Full Name]],4,FALSE)</f>
        <v>Clara Prasetyo</v>
      </c>
      <c r="J256" s="10" t="str">
        <f>INDEX(Employee!$D$4:$D$47,MATCH($H$4:$H$1003,Employee!$A$4:$A$47,0))</f>
        <v>Clara Prasetyo</v>
      </c>
      <c r="K256" s="10" t="s">
        <v>92</v>
      </c>
      <c r="L256" s="10" t="s">
        <v>761</v>
      </c>
      <c r="M256" s="10" t="s">
        <v>59</v>
      </c>
      <c r="N256" s="10" t="s">
        <v>60</v>
      </c>
      <c r="O256" s="10" t="s">
        <v>76</v>
      </c>
      <c r="P256" s="10">
        <v>42882</v>
      </c>
      <c r="Q256" s="15">
        <v>781050</v>
      </c>
      <c r="R256" s="15">
        <v>1259700</v>
      </c>
      <c r="S256" s="15">
        <f>Table1[[#This Row],[Retail Price]]-Table1[[#This Row],[Cost Price]]</f>
        <v>478650</v>
      </c>
      <c r="T256" s="10">
        <v>9</v>
      </c>
      <c r="U256" s="15">
        <f>Table1[[#This Row],[Profit Margin]]*Table1[[#This Row],[Order Quantity]]</f>
        <v>4307850</v>
      </c>
      <c r="V256" s="11">
        <v>0.05</v>
      </c>
      <c r="W256" s="15">
        <f t="shared" si="3"/>
        <v>215392.5</v>
      </c>
      <c r="X256" s="15">
        <f>Table1[[#This Row],[Sub Total]]-Table1[[#This Row],[Discount Rp]]</f>
        <v>4092457.5</v>
      </c>
      <c r="Y256" s="15">
        <f ca="1">OFFSET(Helper!$C$3,MATCH(Data!$N$4:$N$1003,Helper!$C$4:$C$9,0),MATCH(Data!$O$4:$O$1003,Helper!$D$3:$F$3,0))</f>
        <v>30000</v>
      </c>
      <c r="Z256" s="16">
        <f ca="1">Table1[[#This Row],[Order Total]]+Table1[[#This Row],[Shipping Cost]]</f>
        <v>4122457.5</v>
      </c>
    </row>
    <row r="257" spans="1:26" ht="15.75" customHeight="1" x14ac:dyDescent="0.3">
      <c r="A257" s="9" t="s">
        <v>762</v>
      </c>
      <c r="B257" s="18">
        <v>42882</v>
      </c>
      <c r="C257" s="10">
        <f>YEAR(Table1[[#This Row],[Order Date]])</f>
        <v>2017</v>
      </c>
      <c r="D257" s="10" t="s">
        <v>763</v>
      </c>
      <c r="E257" s="10" t="s">
        <v>237</v>
      </c>
      <c r="F257" s="10" t="s">
        <v>71</v>
      </c>
      <c r="G257" s="10" t="s">
        <v>55</v>
      </c>
      <c r="H257" s="10" t="s">
        <v>112</v>
      </c>
      <c r="I257" s="10" t="str">
        <f>VLOOKUP(Table1[[#This Row],[Account Manager ID]],Table2[[Employee ID]:[Full Name]],4,FALSE)</f>
        <v>Paiman Firgantoro</v>
      </c>
      <c r="J257" s="10" t="str">
        <f>INDEX(Employee!$D$4:$D$47,MATCH($H$4:$H$1003,Employee!$A$4:$A$47,0))</f>
        <v>Paiman Firgantoro</v>
      </c>
      <c r="K257" s="10" t="s">
        <v>57</v>
      </c>
      <c r="L257" s="10" t="s">
        <v>406</v>
      </c>
      <c r="M257" s="10" t="s">
        <v>81</v>
      </c>
      <c r="N257" s="10" t="s">
        <v>459</v>
      </c>
      <c r="O257" s="10" t="s">
        <v>61</v>
      </c>
      <c r="P257" s="10">
        <v>42883</v>
      </c>
      <c r="Q257" s="15">
        <v>3240000</v>
      </c>
      <c r="R257" s="15">
        <v>6749850</v>
      </c>
      <c r="S257" s="15">
        <f>Table1[[#This Row],[Retail Price]]-Table1[[#This Row],[Cost Price]]</f>
        <v>3509850</v>
      </c>
      <c r="T257" s="10">
        <v>5</v>
      </c>
      <c r="U257" s="15">
        <f>Table1[[#This Row],[Profit Margin]]*Table1[[#This Row],[Order Quantity]]</f>
        <v>17549250</v>
      </c>
      <c r="V257" s="11">
        <v>0.02</v>
      </c>
      <c r="W257" s="15">
        <f t="shared" si="3"/>
        <v>350985</v>
      </c>
      <c r="X257" s="15">
        <f>Table1[[#This Row],[Sub Total]]-Table1[[#This Row],[Discount Rp]]</f>
        <v>17198265</v>
      </c>
      <c r="Y257" s="15">
        <f ca="1">OFFSET(Helper!$C$3,MATCH(Data!$N$4:$N$1003,Helper!$C$4:$C$9,0),MATCH(Data!$O$4:$O$1003,Helper!$D$3:$F$3,0))</f>
        <v>50000</v>
      </c>
      <c r="Z257" s="16">
        <f ca="1">Table1[[#This Row],[Order Total]]+Table1[[#This Row],[Shipping Cost]]</f>
        <v>17248265</v>
      </c>
    </row>
    <row r="258" spans="1:26" ht="15.75" customHeight="1" x14ac:dyDescent="0.3">
      <c r="A258" s="9" t="s">
        <v>764</v>
      </c>
      <c r="B258" s="18">
        <v>42883</v>
      </c>
      <c r="C258" s="10">
        <f>YEAR(Table1[[#This Row],[Order Date]])</f>
        <v>2017</v>
      </c>
      <c r="D258" s="10" t="s">
        <v>328</v>
      </c>
      <c r="E258" s="10" t="s">
        <v>70</v>
      </c>
      <c r="F258" s="10" t="s">
        <v>71</v>
      </c>
      <c r="G258" s="10" t="s">
        <v>87</v>
      </c>
      <c r="H258" s="10" t="s">
        <v>73</v>
      </c>
      <c r="I258" s="10" t="str">
        <f>VLOOKUP(Table1[[#This Row],[Account Manager ID]],Table2[[Employee ID]:[Full Name]],4,FALSE)</f>
        <v>Cinthia Gunawan</v>
      </c>
      <c r="J258" s="10" t="str">
        <f>INDEX(Employee!$D$4:$D$47,MATCH($H$4:$H$1003,Employee!$A$4:$A$47,0))</f>
        <v>Cinthia Gunawan</v>
      </c>
      <c r="K258" s="10" t="s">
        <v>57</v>
      </c>
      <c r="L258" s="10" t="s">
        <v>765</v>
      </c>
      <c r="M258" s="10" t="s">
        <v>59</v>
      </c>
      <c r="N258" s="10" t="s">
        <v>67</v>
      </c>
      <c r="O258" s="10" t="s">
        <v>61</v>
      </c>
      <c r="P258" s="10">
        <v>42883</v>
      </c>
      <c r="Q258" s="15">
        <v>32400.000000000004</v>
      </c>
      <c r="R258" s="15">
        <v>57750</v>
      </c>
      <c r="S258" s="15">
        <f>Table1[[#This Row],[Retail Price]]-Table1[[#This Row],[Cost Price]]</f>
        <v>25349.999999999996</v>
      </c>
      <c r="T258" s="10">
        <v>31</v>
      </c>
      <c r="U258" s="15">
        <f>Table1[[#This Row],[Profit Margin]]*Table1[[#This Row],[Order Quantity]]</f>
        <v>785849.99999999988</v>
      </c>
      <c r="V258" s="11">
        <v>0.09</v>
      </c>
      <c r="W258" s="15">
        <f t="shared" si="3"/>
        <v>70726.499999999985</v>
      </c>
      <c r="X258" s="15">
        <f>Table1[[#This Row],[Sub Total]]-Table1[[#This Row],[Discount Rp]]</f>
        <v>715123.49999999988</v>
      </c>
      <c r="Y258" s="15">
        <f ca="1">OFFSET(Helper!$C$3,MATCH(Data!$N$4:$N$1003,Helper!$C$4:$C$9,0),MATCH(Data!$O$4:$O$1003,Helper!$D$3:$F$3,0))</f>
        <v>5000</v>
      </c>
      <c r="Z258" s="16">
        <f ca="1">Table1[[#This Row],[Order Total]]+Table1[[#This Row],[Shipping Cost]]</f>
        <v>720123.49999999988</v>
      </c>
    </row>
    <row r="259" spans="1:26" ht="15.75" customHeight="1" x14ac:dyDescent="0.3">
      <c r="A259" s="9" t="s">
        <v>766</v>
      </c>
      <c r="B259" s="18">
        <v>42885</v>
      </c>
      <c r="C259" s="10">
        <f>YEAR(Table1[[#This Row],[Order Date]])</f>
        <v>2017</v>
      </c>
      <c r="D259" s="10" t="s">
        <v>767</v>
      </c>
      <c r="E259" s="10" t="s">
        <v>334</v>
      </c>
      <c r="F259" s="10" t="s">
        <v>54</v>
      </c>
      <c r="G259" s="10" t="s">
        <v>55</v>
      </c>
      <c r="H259" s="10" t="s">
        <v>65</v>
      </c>
      <c r="I259" s="10" t="str">
        <f>VLOOKUP(Table1[[#This Row],[Account Manager ID]],Table2[[Employee ID]:[Full Name]],4,FALSE)</f>
        <v>Laras Nuraini</v>
      </c>
      <c r="J259" s="10" t="str">
        <f>INDEX(Employee!$D$4:$D$47,MATCH($H$4:$H$1003,Employee!$A$4:$A$47,0))</f>
        <v>Laras Nuraini</v>
      </c>
      <c r="K259" s="10" t="s">
        <v>117</v>
      </c>
      <c r="L259" s="10" t="s">
        <v>768</v>
      </c>
      <c r="M259" s="10" t="s">
        <v>59</v>
      </c>
      <c r="N259" s="10" t="s">
        <v>67</v>
      </c>
      <c r="O259" s="10" t="s">
        <v>61</v>
      </c>
      <c r="P259" s="10">
        <v>42886</v>
      </c>
      <c r="Q259" s="15">
        <v>17250</v>
      </c>
      <c r="R259" s="15">
        <v>40050</v>
      </c>
      <c r="S259" s="15">
        <f>Table1[[#This Row],[Retail Price]]-Table1[[#This Row],[Cost Price]]</f>
        <v>22800</v>
      </c>
      <c r="T259" s="10">
        <v>19</v>
      </c>
      <c r="U259" s="15">
        <f>Table1[[#This Row],[Profit Margin]]*Table1[[#This Row],[Order Quantity]]</f>
        <v>433200</v>
      </c>
      <c r="V259" s="11">
        <v>0.03</v>
      </c>
      <c r="W259" s="15">
        <f t="shared" si="3"/>
        <v>12996</v>
      </c>
      <c r="X259" s="15">
        <f>Table1[[#This Row],[Sub Total]]-Table1[[#This Row],[Discount Rp]]</f>
        <v>420204</v>
      </c>
      <c r="Y259" s="15">
        <f ca="1">OFFSET(Helper!$C$3,MATCH(Data!$N$4:$N$1003,Helper!$C$4:$C$9,0),MATCH(Data!$O$4:$O$1003,Helper!$D$3:$F$3,0))</f>
        <v>5000</v>
      </c>
      <c r="Z259" s="16">
        <f ca="1">Table1[[#This Row],[Order Total]]+Table1[[#This Row],[Shipping Cost]]</f>
        <v>425204</v>
      </c>
    </row>
    <row r="260" spans="1:26" ht="15.75" customHeight="1" x14ac:dyDescent="0.3">
      <c r="A260" s="9" t="s">
        <v>769</v>
      </c>
      <c r="B260" s="18">
        <v>42885</v>
      </c>
      <c r="C260" s="10">
        <f>YEAR(Table1[[#This Row],[Order Date]])</f>
        <v>2017</v>
      </c>
      <c r="D260" s="10" t="s">
        <v>770</v>
      </c>
      <c r="E260" s="10" t="s">
        <v>539</v>
      </c>
      <c r="F260" s="10" t="s">
        <v>71</v>
      </c>
      <c r="G260" s="10" t="s">
        <v>72</v>
      </c>
      <c r="H260" s="10" t="s">
        <v>146</v>
      </c>
      <c r="I260" s="10" t="str">
        <f>VLOOKUP(Table1[[#This Row],[Account Manager ID]],Table2[[Employee ID]:[Full Name]],4,FALSE)</f>
        <v>Kenari Rajasa</v>
      </c>
      <c r="J260" s="10" t="str">
        <f>INDEX(Employee!$D$4:$D$47,MATCH($H$4:$H$1003,Employee!$A$4:$A$47,0))</f>
        <v>Kenari Rajasa</v>
      </c>
      <c r="K260" s="10" t="s">
        <v>92</v>
      </c>
      <c r="L260" s="10" t="s">
        <v>771</v>
      </c>
      <c r="M260" s="10" t="s">
        <v>59</v>
      </c>
      <c r="N260" s="10" t="s">
        <v>67</v>
      </c>
      <c r="O260" s="10" t="s">
        <v>76</v>
      </c>
      <c r="P260" s="10">
        <v>42890</v>
      </c>
      <c r="Q260" s="15">
        <v>23550</v>
      </c>
      <c r="R260" s="15">
        <v>49200</v>
      </c>
      <c r="S260" s="15">
        <f>Table1[[#This Row],[Retail Price]]-Table1[[#This Row],[Cost Price]]</f>
        <v>25650</v>
      </c>
      <c r="T260" s="10">
        <v>44</v>
      </c>
      <c r="U260" s="15">
        <f>Table1[[#This Row],[Profit Margin]]*Table1[[#This Row],[Order Quantity]]</f>
        <v>1128600</v>
      </c>
      <c r="V260" s="11">
        <v>0</v>
      </c>
      <c r="W260" s="15">
        <f t="shared" ref="W260:W323" si="4">V260*U260</f>
        <v>0</v>
      </c>
      <c r="X260" s="15">
        <f>Table1[[#This Row],[Sub Total]]-Table1[[#This Row],[Discount Rp]]</f>
        <v>1128600</v>
      </c>
      <c r="Y260" s="15">
        <f ca="1">OFFSET(Helper!$C$3,MATCH(Data!$N$4:$N$1003,Helper!$C$4:$C$9,0),MATCH(Data!$O$4:$O$1003,Helper!$D$3:$F$3,0))</f>
        <v>10000</v>
      </c>
      <c r="Z260" s="16">
        <f ca="1">Table1[[#This Row],[Order Total]]+Table1[[#This Row],[Shipping Cost]]</f>
        <v>1138600</v>
      </c>
    </row>
    <row r="261" spans="1:26" ht="15.75" customHeight="1" x14ac:dyDescent="0.3">
      <c r="A261" s="9" t="s">
        <v>772</v>
      </c>
      <c r="B261" s="18">
        <v>42886</v>
      </c>
      <c r="C261" s="10">
        <f>YEAR(Table1[[#This Row],[Order Date]])</f>
        <v>2017</v>
      </c>
      <c r="D261" s="10" t="s">
        <v>773</v>
      </c>
      <c r="E261" s="10" t="s">
        <v>116</v>
      </c>
      <c r="F261" s="10" t="s">
        <v>54</v>
      </c>
      <c r="G261" s="10" t="s">
        <v>72</v>
      </c>
      <c r="H261" s="10" t="s">
        <v>56</v>
      </c>
      <c r="I261" s="10" t="str">
        <f>VLOOKUP(Table1[[#This Row],[Account Manager ID]],Table2[[Employee ID]:[Full Name]],4,FALSE)</f>
        <v>Gaduh Pratama</v>
      </c>
      <c r="J261" s="10" t="str">
        <f>INDEX(Employee!$D$4:$D$47,MATCH($H$4:$H$1003,Employee!$A$4:$A$47,0))</f>
        <v>Gaduh Pratama</v>
      </c>
      <c r="K261" s="10" t="s">
        <v>57</v>
      </c>
      <c r="L261" s="10" t="s">
        <v>226</v>
      </c>
      <c r="M261" s="10" t="s">
        <v>81</v>
      </c>
      <c r="N261" s="10" t="s">
        <v>227</v>
      </c>
      <c r="O261" s="10" t="s">
        <v>61</v>
      </c>
      <c r="P261" s="10">
        <v>42888</v>
      </c>
      <c r="Q261" s="15">
        <v>132300</v>
      </c>
      <c r="R261" s="15">
        <v>314850</v>
      </c>
      <c r="S261" s="15">
        <f>Table1[[#This Row],[Retail Price]]-Table1[[#This Row],[Cost Price]]</f>
        <v>182550</v>
      </c>
      <c r="T261" s="10">
        <v>24</v>
      </c>
      <c r="U261" s="15">
        <f>Table1[[#This Row],[Profit Margin]]*Table1[[#This Row],[Order Quantity]]</f>
        <v>4381200</v>
      </c>
      <c r="V261" s="11">
        <v>0.01</v>
      </c>
      <c r="W261" s="15">
        <f t="shared" si="4"/>
        <v>43812</v>
      </c>
      <c r="X261" s="15">
        <f>Table1[[#This Row],[Sub Total]]-Table1[[#This Row],[Discount Rp]]</f>
        <v>4337388</v>
      </c>
      <c r="Y261" s="15">
        <f ca="1">OFFSET(Helper!$C$3,MATCH(Data!$N$4:$N$1003,Helper!$C$4:$C$9,0),MATCH(Data!$O$4:$O$1003,Helper!$D$3:$F$3,0))</f>
        <v>20000</v>
      </c>
      <c r="Z261" s="16">
        <f ca="1">Table1[[#This Row],[Order Total]]+Table1[[#This Row],[Shipping Cost]]</f>
        <v>4357388</v>
      </c>
    </row>
    <row r="262" spans="1:26" ht="15.75" customHeight="1" x14ac:dyDescent="0.3">
      <c r="A262" s="9" t="s">
        <v>774</v>
      </c>
      <c r="B262" s="18">
        <v>42892</v>
      </c>
      <c r="C262" s="10">
        <f>YEAR(Table1[[#This Row],[Order Date]])</f>
        <v>2017</v>
      </c>
      <c r="D262" s="10" t="s">
        <v>569</v>
      </c>
      <c r="E262" s="10" t="s">
        <v>64</v>
      </c>
      <c r="F262" s="10" t="s">
        <v>71</v>
      </c>
      <c r="G262" s="10" t="s">
        <v>72</v>
      </c>
      <c r="H262" s="10" t="s">
        <v>155</v>
      </c>
      <c r="I262" s="10" t="str">
        <f>VLOOKUP(Table1[[#This Row],[Account Manager ID]],Table2[[Employee ID]:[Full Name]],4,FALSE)</f>
        <v>Puti Nadine Prakasa</v>
      </c>
      <c r="J262" s="10" t="str">
        <f>INDEX(Employee!$D$4:$D$47,MATCH($H$4:$H$1003,Employee!$A$4:$A$47,0))</f>
        <v>Puti Nadine Prakasa</v>
      </c>
      <c r="K262" s="10" t="s">
        <v>74</v>
      </c>
      <c r="L262" s="10" t="s">
        <v>775</v>
      </c>
      <c r="M262" s="10" t="s">
        <v>59</v>
      </c>
      <c r="N262" s="10" t="s">
        <v>136</v>
      </c>
      <c r="O262" s="10" t="s">
        <v>61</v>
      </c>
      <c r="P262" s="10">
        <v>42893</v>
      </c>
      <c r="Q262" s="15">
        <v>62850.000000000007</v>
      </c>
      <c r="R262" s="15">
        <v>153450</v>
      </c>
      <c r="S262" s="15">
        <f>Table1[[#This Row],[Retail Price]]-Table1[[#This Row],[Cost Price]]</f>
        <v>90600</v>
      </c>
      <c r="T262" s="10">
        <v>9</v>
      </c>
      <c r="U262" s="15">
        <f>Table1[[#This Row],[Profit Margin]]*Table1[[#This Row],[Order Quantity]]</f>
        <v>815400</v>
      </c>
      <c r="V262" s="11">
        <v>7.0000000000000007E-2</v>
      </c>
      <c r="W262" s="15">
        <f t="shared" si="4"/>
        <v>57078.000000000007</v>
      </c>
      <c r="X262" s="15">
        <f>Table1[[#This Row],[Sub Total]]-Table1[[#This Row],[Discount Rp]]</f>
        <v>758322</v>
      </c>
      <c r="Y262" s="15">
        <f ca="1">OFFSET(Helper!$C$3,MATCH(Data!$N$4:$N$1003,Helper!$C$4:$C$9,0),MATCH(Data!$O$4:$O$1003,Helper!$D$3:$F$3,0))</f>
        <v>10000</v>
      </c>
      <c r="Z262" s="16">
        <f ca="1">Table1[[#This Row],[Order Total]]+Table1[[#This Row],[Shipping Cost]]</f>
        <v>768322</v>
      </c>
    </row>
    <row r="263" spans="1:26" ht="15.75" customHeight="1" x14ac:dyDescent="0.3">
      <c r="A263" s="9" t="s">
        <v>776</v>
      </c>
      <c r="B263" s="18">
        <v>42892</v>
      </c>
      <c r="C263" s="10">
        <f>YEAR(Table1[[#This Row],[Order Date]])</f>
        <v>2017</v>
      </c>
      <c r="D263" s="10" t="s">
        <v>777</v>
      </c>
      <c r="E263" s="10" t="s">
        <v>445</v>
      </c>
      <c r="F263" s="10" t="s">
        <v>54</v>
      </c>
      <c r="G263" s="10" t="s">
        <v>87</v>
      </c>
      <c r="H263" s="10" t="s">
        <v>56</v>
      </c>
      <c r="I263" s="10" t="str">
        <f>VLOOKUP(Table1[[#This Row],[Account Manager ID]],Table2[[Employee ID]:[Full Name]],4,FALSE)</f>
        <v>Gaduh Pratama</v>
      </c>
      <c r="J263" s="10" t="str">
        <f>INDEX(Employee!$D$4:$D$47,MATCH($H$4:$H$1003,Employee!$A$4:$A$47,0))</f>
        <v>Gaduh Pratama</v>
      </c>
      <c r="K263" s="10" t="s">
        <v>57</v>
      </c>
      <c r="L263" s="10" t="s">
        <v>468</v>
      </c>
      <c r="M263" s="10" t="s">
        <v>59</v>
      </c>
      <c r="N263" s="10" t="s">
        <v>67</v>
      </c>
      <c r="O263" s="10" t="s">
        <v>61</v>
      </c>
      <c r="P263" s="10">
        <v>42893</v>
      </c>
      <c r="Q263" s="15">
        <v>13950</v>
      </c>
      <c r="R263" s="15">
        <v>22200</v>
      </c>
      <c r="S263" s="15">
        <f>Table1[[#This Row],[Retail Price]]-Table1[[#This Row],[Cost Price]]</f>
        <v>8250</v>
      </c>
      <c r="T263" s="10">
        <v>46</v>
      </c>
      <c r="U263" s="15">
        <f>Table1[[#This Row],[Profit Margin]]*Table1[[#This Row],[Order Quantity]]</f>
        <v>379500</v>
      </c>
      <c r="V263" s="11">
        <v>0</v>
      </c>
      <c r="W263" s="15">
        <f t="shared" si="4"/>
        <v>0</v>
      </c>
      <c r="X263" s="15">
        <f>Table1[[#This Row],[Sub Total]]-Table1[[#This Row],[Discount Rp]]</f>
        <v>379500</v>
      </c>
      <c r="Y263" s="15">
        <f ca="1">OFFSET(Helper!$C$3,MATCH(Data!$N$4:$N$1003,Helper!$C$4:$C$9,0),MATCH(Data!$O$4:$O$1003,Helper!$D$3:$F$3,0))</f>
        <v>5000</v>
      </c>
      <c r="Z263" s="16">
        <f ca="1">Table1[[#This Row],[Order Total]]+Table1[[#This Row],[Shipping Cost]]</f>
        <v>384500</v>
      </c>
    </row>
    <row r="264" spans="1:26" ht="15.75" customHeight="1" x14ac:dyDescent="0.3">
      <c r="A264" s="9" t="s">
        <v>778</v>
      </c>
      <c r="B264" s="18">
        <v>42892</v>
      </c>
      <c r="C264" s="10">
        <f>YEAR(Table1[[#This Row],[Order Date]])</f>
        <v>2017</v>
      </c>
      <c r="D264" s="10" t="s">
        <v>517</v>
      </c>
      <c r="E264" s="10" t="s">
        <v>518</v>
      </c>
      <c r="F264" s="10" t="s">
        <v>71</v>
      </c>
      <c r="G264" s="10" t="s">
        <v>72</v>
      </c>
      <c r="H264" s="10" t="s">
        <v>112</v>
      </c>
      <c r="I264" s="10" t="str">
        <f>VLOOKUP(Table1[[#This Row],[Account Manager ID]],Table2[[Employee ID]:[Full Name]],4,FALSE)</f>
        <v>Paiman Firgantoro</v>
      </c>
      <c r="J264" s="10" t="str">
        <f>INDEX(Employee!$D$4:$D$47,MATCH($H$4:$H$1003,Employee!$A$4:$A$47,0))</f>
        <v>Paiman Firgantoro</v>
      </c>
      <c r="K264" s="10" t="s">
        <v>57</v>
      </c>
      <c r="L264" s="10" t="s">
        <v>379</v>
      </c>
      <c r="M264" s="10" t="s">
        <v>59</v>
      </c>
      <c r="N264" s="10" t="s">
        <v>60</v>
      </c>
      <c r="O264" s="10" t="s">
        <v>61</v>
      </c>
      <c r="P264" s="10">
        <v>42893</v>
      </c>
      <c r="Q264" s="15">
        <v>323400</v>
      </c>
      <c r="R264" s="15">
        <v>539100</v>
      </c>
      <c r="S264" s="15">
        <f>Table1[[#This Row],[Retail Price]]-Table1[[#This Row],[Cost Price]]</f>
        <v>215700</v>
      </c>
      <c r="T264" s="10">
        <v>13</v>
      </c>
      <c r="U264" s="15">
        <f>Table1[[#This Row],[Profit Margin]]*Table1[[#This Row],[Order Quantity]]</f>
        <v>2804100</v>
      </c>
      <c r="V264" s="11">
        <v>0.03</v>
      </c>
      <c r="W264" s="15">
        <f t="shared" si="4"/>
        <v>84123</v>
      </c>
      <c r="X264" s="15">
        <f>Table1[[#This Row],[Sub Total]]-Table1[[#This Row],[Discount Rp]]</f>
        <v>2719977</v>
      </c>
      <c r="Y264" s="15">
        <f ca="1">OFFSET(Helper!$C$3,MATCH(Data!$N$4:$N$1003,Helper!$C$4:$C$9,0),MATCH(Data!$O$4:$O$1003,Helper!$D$3:$F$3,0))</f>
        <v>15000</v>
      </c>
      <c r="Z264" s="16">
        <f ca="1">Table1[[#This Row],[Order Total]]+Table1[[#This Row],[Shipping Cost]]</f>
        <v>2734977</v>
      </c>
    </row>
    <row r="265" spans="1:26" ht="15.75" customHeight="1" x14ac:dyDescent="0.3">
      <c r="A265" s="9" t="s">
        <v>779</v>
      </c>
      <c r="B265" s="18">
        <v>42893</v>
      </c>
      <c r="C265" s="10">
        <f>YEAR(Table1[[#This Row],[Order Date]])</f>
        <v>2017</v>
      </c>
      <c r="D265" s="10" t="s">
        <v>780</v>
      </c>
      <c r="E265" s="10" t="s">
        <v>53</v>
      </c>
      <c r="F265" s="10" t="s">
        <v>54</v>
      </c>
      <c r="G265" s="10" t="s">
        <v>106</v>
      </c>
      <c r="H265" s="10" t="s">
        <v>56</v>
      </c>
      <c r="I265" s="10" t="str">
        <f>VLOOKUP(Table1[[#This Row],[Account Manager ID]],Table2[[Employee ID]:[Full Name]],4,FALSE)</f>
        <v>Gaduh Pratama</v>
      </c>
      <c r="J265" s="10" t="str">
        <f>INDEX(Employee!$D$4:$D$47,MATCH($H$4:$H$1003,Employee!$A$4:$A$47,0))</f>
        <v>Gaduh Pratama</v>
      </c>
      <c r="K265" s="10" t="s">
        <v>117</v>
      </c>
      <c r="L265" s="10" t="s">
        <v>526</v>
      </c>
      <c r="M265" s="10" t="s">
        <v>81</v>
      </c>
      <c r="N265" s="10" t="s">
        <v>60</v>
      </c>
      <c r="O265" s="10" t="s">
        <v>61</v>
      </c>
      <c r="P265" s="10">
        <v>42896</v>
      </c>
      <c r="Q265" s="15">
        <v>631650</v>
      </c>
      <c r="R265" s="15">
        <v>1214700</v>
      </c>
      <c r="S265" s="15">
        <f>Table1[[#This Row],[Retail Price]]-Table1[[#This Row],[Cost Price]]</f>
        <v>583050</v>
      </c>
      <c r="T265" s="10">
        <v>45</v>
      </c>
      <c r="U265" s="15">
        <f>Table1[[#This Row],[Profit Margin]]*Table1[[#This Row],[Order Quantity]]</f>
        <v>26237250</v>
      </c>
      <c r="V265" s="11">
        <v>0</v>
      </c>
      <c r="W265" s="15">
        <f t="shared" si="4"/>
        <v>0</v>
      </c>
      <c r="X265" s="15">
        <f>Table1[[#This Row],[Sub Total]]-Table1[[#This Row],[Discount Rp]]</f>
        <v>26237250</v>
      </c>
      <c r="Y265" s="15">
        <f ca="1">OFFSET(Helper!$C$3,MATCH(Data!$N$4:$N$1003,Helper!$C$4:$C$9,0),MATCH(Data!$O$4:$O$1003,Helper!$D$3:$F$3,0))</f>
        <v>15000</v>
      </c>
      <c r="Z265" s="16">
        <f ca="1">Table1[[#This Row],[Order Total]]+Table1[[#This Row],[Shipping Cost]]</f>
        <v>26252250</v>
      </c>
    </row>
    <row r="266" spans="1:26" ht="15.75" customHeight="1" x14ac:dyDescent="0.3">
      <c r="A266" s="9" t="s">
        <v>781</v>
      </c>
      <c r="B266" s="18">
        <v>42894</v>
      </c>
      <c r="C266" s="10">
        <f>YEAR(Table1[[#This Row],[Order Date]])</f>
        <v>2017</v>
      </c>
      <c r="D266" s="10" t="s">
        <v>782</v>
      </c>
      <c r="E266" s="10" t="s">
        <v>783</v>
      </c>
      <c r="F266" s="10" t="s">
        <v>71</v>
      </c>
      <c r="G266" s="10" t="s">
        <v>106</v>
      </c>
      <c r="H266" s="10" t="s">
        <v>112</v>
      </c>
      <c r="I266" s="10" t="str">
        <f>VLOOKUP(Table1[[#This Row],[Account Manager ID]],Table2[[Employee ID]:[Full Name]],4,FALSE)</f>
        <v>Paiman Firgantoro</v>
      </c>
      <c r="J266" s="10" t="str">
        <f>INDEX(Employee!$D$4:$D$47,MATCH($H$4:$H$1003,Employee!$A$4:$A$47,0))</f>
        <v>Paiman Firgantoro</v>
      </c>
      <c r="K266" s="10" t="s">
        <v>74</v>
      </c>
      <c r="L266" s="10" t="s">
        <v>382</v>
      </c>
      <c r="M266" s="10" t="s">
        <v>59</v>
      </c>
      <c r="N266" s="10" t="s">
        <v>60</v>
      </c>
      <c r="O266" s="10" t="s">
        <v>61</v>
      </c>
      <c r="P266" s="10">
        <v>42895</v>
      </c>
      <c r="Q266" s="15">
        <v>41100</v>
      </c>
      <c r="R266" s="15">
        <v>67350</v>
      </c>
      <c r="S266" s="15">
        <f>Table1[[#This Row],[Retail Price]]-Table1[[#This Row],[Cost Price]]</f>
        <v>26250</v>
      </c>
      <c r="T266" s="10">
        <v>6</v>
      </c>
      <c r="U266" s="15">
        <f>Table1[[#This Row],[Profit Margin]]*Table1[[#This Row],[Order Quantity]]</f>
        <v>157500</v>
      </c>
      <c r="V266" s="11">
        <v>0.03</v>
      </c>
      <c r="W266" s="15">
        <f t="shared" si="4"/>
        <v>4725</v>
      </c>
      <c r="X266" s="15">
        <f>Table1[[#This Row],[Sub Total]]-Table1[[#This Row],[Discount Rp]]</f>
        <v>152775</v>
      </c>
      <c r="Y266" s="15">
        <f ca="1">OFFSET(Helper!$C$3,MATCH(Data!$N$4:$N$1003,Helper!$C$4:$C$9,0),MATCH(Data!$O$4:$O$1003,Helper!$D$3:$F$3,0))</f>
        <v>15000</v>
      </c>
      <c r="Z266" s="16">
        <f ca="1">Table1[[#This Row],[Order Total]]+Table1[[#This Row],[Shipping Cost]]</f>
        <v>167775</v>
      </c>
    </row>
    <row r="267" spans="1:26" ht="15.75" customHeight="1" x14ac:dyDescent="0.3">
      <c r="A267" s="9" t="s">
        <v>784</v>
      </c>
      <c r="B267" s="18">
        <v>42894</v>
      </c>
      <c r="C267" s="10">
        <f>YEAR(Table1[[#This Row],[Order Date]])</f>
        <v>2017</v>
      </c>
      <c r="D267" s="10" t="s">
        <v>785</v>
      </c>
      <c r="E267" s="10" t="s">
        <v>159</v>
      </c>
      <c r="F267" s="10" t="s">
        <v>71</v>
      </c>
      <c r="G267" s="10" t="s">
        <v>106</v>
      </c>
      <c r="H267" s="10" t="s">
        <v>122</v>
      </c>
      <c r="I267" s="10" t="str">
        <f>VLOOKUP(Table1[[#This Row],[Account Manager ID]],Table2[[Employee ID]:[Full Name]],4,FALSE)</f>
        <v>Ophelia Mustofa</v>
      </c>
      <c r="J267" s="10" t="str">
        <f>INDEX(Employee!$D$4:$D$47,MATCH($H$4:$H$1003,Employee!$A$4:$A$47,0))</f>
        <v>Ophelia Mustofa</v>
      </c>
      <c r="K267" s="10" t="s">
        <v>107</v>
      </c>
      <c r="L267" s="10" t="s">
        <v>173</v>
      </c>
      <c r="M267" s="10" t="s">
        <v>59</v>
      </c>
      <c r="N267" s="10" t="s">
        <v>67</v>
      </c>
      <c r="O267" s="10" t="s">
        <v>61</v>
      </c>
      <c r="P267" s="10">
        <v>42896</v>
      </c>
      <c r="Q267" s="15">
        <v>37800</v>
      </c>
      <c r="R267" s="15">
        <v>60000</v>
      </c>
      <c r="S267" s="15">
        <f>Table1[[#This Row],[Retail Price]]-Table1[[#This Row],[Cost Price]]</f>
        <v>22200</v>
      </c>
      <c r="T267" s="10">
        <v>33</v>
      </c>
      <c r="U267" s="15">
        <f>Table1[[#This Row],[Profit Margin]]*Table1[[#This Row],[Order Quantity]]</f>
        <v>732600</v>
      </c>
      <c r="V267" s="11">
        <v>0.08</v>
      </c>
      <c r="W267" s="15">
        <f t="shared" si="4"/>
        <v>58608</v>
      </c>
      <c r="X267" s="15">
        <f>Table1[[#This Row],[Sub Total]]-Table1[[#This Row],[Discount Rp]]</f>
        <v>673992</v>
      </c>
      <c r="Y267" s="15">
        <f ca="1">OFFSET(Helper!$C$3,MATCH(Data!$N$4:$N$1003,Helper!$C$4:$C$9,0),MATCH(Data!$O$4:$O$1003,Helper!$D$3:$F$3,0))</f>
        <v>5000</v>
      </c>
      <c r="Z267" s="16">
        <f ca="1">Table1[[#This Row],[Order Total]]+Table1[[#This Row],[Shipping Cost]]</f>
        <v>678992</v>
      </c>
    </row>
    <row r="268" spans="1:26" ht="15.75" customHeight="1" x14ac:dyDescent="0.3">
      <c r="A268" s="9" t="s">
        <v>786</v>
      </c>
      <c r="B268" s="18">
        <v>42895</v>
      </c>
      <c r="C268" s="10">
        <f>YEAR(Table1[[#This Row],[Order Date]])</f>
        <v>2017</v>
      </c>
      <c r="D268" s="10" t="s">
        <v>787</v>
      </c>
      <c r="E268" s="10" t="s">
        <v>668</v>
      </c>
      <c r="F268" s="10" t="s">
        <v>54</v>
      </c>
      <c r="G268" s="10" t="s">
        <v>106</v>
      </c>
      <c r="H268" s="10" t="s">
        <v>65</v>
      </c>
      <c r="I268" s="10" t="str">
        <f>VLOOKUP(Table1[[#This Row],[Account Manager ID]],Table2[[Employee ID]:[Full Name]],4,FALSE)</f>
        <v>Laras Nuraini</v>
      </c>
      <c r="J268" s="10" t="str">
        <f>INDEX(Employee!$D$4:$D$47,MATCH($H$4:$H$1003,Employee!$A$4:$A$47,0))</f>
        <v>Laras Nuraini</v>
      </c>
      <c r="K268" s="10" t="s">
        <v>107</v>
      </c>
      <c r="L268" s="10" t="s">
        <v>771</v>
      </c>
      <c r="M268" s="10" t="s">
        <v>59</v>
      </c>
      <c r="N268" s="10" t="s">
        <v>67</v>
      </c>
      <c r="O268" s="10" t="s">
        <v>61</v>
      </c>
      <c r="P268" s="10">
        <v>42896</v>
      </c>
      <c r="Q268" s="15">
        <v>23550</v>
      </c>
      <c r="R268" s="15">
        <v>49200</v>
      </c>
      <c r="S268" s="15">
        <f>Table1[[#This Row],[Retail Price]]-Table1[[#This Row],[Cost Price]]</f>
        <v>25650</v>
      </c>
      <c r="T268" s="10">
        <v>26</v>
      </c>
      <c r="U268" s="15">
        <f>Table1[[#This Row],[Profit Margin]]*Table1[[#This Row],[Order Quantity]]</f>
        <v>666900</v>
      </c>
      <c r="V268" s="11">
        <v>0.08</v>
      </c>
      <c r="W268" s="15">
        <f t="shared" si="4"/>
        <v>53352</v>
      </c>
      <c r="X268" s="15">
        <f>Table1[[#This Row],[Sub Total]]-Table1[[#This Row],[Discount Rp]]</f>
        <v>613548</v>
      </c>
      <c r="Y268" s="15">
        <f ca="1">OFFSET(Helper!$C$3,MATCH(Data!$N$4:$N$1003,Helper!$C$4:$C$9,0),MATCH(Data!$O$4:$O$1003,Helper!$D$3:$F$3,0))</f>
        <v>5000</v>
      </c>
      <c r="Z268" s="16">
        <f ca="1">Table1[[#This Row],[Order Total]]+Table1[[#This Row],[Shipping Cost]]</f>
        <v>618548</v>
      </c>
    </row>
    <row r="269" spans="1:26" ht="15.75" customHeight="1" x14ac:dyDescent="0.3">
      <c r="A269" s="9" t="s">
        <v>788</v>
      </c>
      <c r="B269" s="18">
        <v>42895</v>
      </c>
      <c r="C269" s="10">
        <f>YEAR(Table1[[#This Row],[Order Date]])</f>
        <v>2017</v>
      </c>
      <c r="D269" s="10" t="s">
        <v>658</v>
      </c>
      <c r="E269" s="10" t="s">
        <v>209</v>
      </c>
      <c r="F269" s="10" t="s">
        <v>71</v>
      </c>
      <c r="G269" s="10" t="s">
        <v>55</v>
      </c>
      <c r="H269" s="10" t="s">
        <v>185</v>
      </c>
      <c r="I269" s="10" t="str">
        <f>VLOOKUP(Table1[[#This Row],[Account Manager ID]],Table2[[Employee ID]:[Full Name]],4,FALSE)</f>
        <v>Clara Prasetyo</v>
      </c>
      <c r="J269" s="10" t="str">
        <f>INDEX(Employee!$D$4:$D$47,MATCH($H$4:$H$1003,Employee!$A$4:$A$47,0))</f>
        <v>Clara Prasetyo</v>
      </c>
      <c r="K269" s="10" t="s">
        <v>74</v>
      </c>
      <c r="L269" s="10" t="s">
        <v>212</v>
      </c>
      <c r="M269" s="10" t="s">
        <v>59</v>
      </c>
      <c r="N269" s="10" t="s">
        <v>67</v>
      </c>
      <c r="O269" s="10" t="s">
        <v>61</v>
      </c>
      <c r="P269" s="10">
        <v>42897</v>
      </c>
      <c r="Q269" s="15">
        <v>52050</v>
      </c>
      <c r="R269" s="15">
        <v>100200</v>
      </c>
      <c r="S269" s="15">
        <f>Table1[[#This Row],[Retail Price]]-Table1[[#This Row],[Cost Price]]</f>
        <v>48150</v>
      </c>
      <c r="T269" s="10">
        <v>33</v>
      </c>
      <c r="U269" s="15">
        <f>Table1[[#This Row],[Profit Margin]]*Table1[[#This Row],[Order Quantity]]</f>
        <v>1588950</v>
      </c>
      <c r="V269" s="11">
        <v>0.03</v>
      </c>
      <c r="W269" s="15">
        <f t="shared" si="4"/>
        <v>47668.5</v>
      </c>
      <c r="X269" s="15">
        <f>Table1[[#This Row],[Sub Total]]-Table1[[#This Row],[Discount Rp]]</f>
        <v>1541281.5</v>
      </c>
      <c r="Y269" s="15">
        <f ca="1">OFFSET(Helper!$C$3,MATCH(Data!$N$4:$N$1003,Helper!$C$4:$C$9,0),MATCH(Data!$O$4:$O$1003,Helper!$D$3:$F$3,0))</f>
        <v>5000</v>
      </c>
      <c r="Z269" s="16">
        <f ca="1">Table1[[#This Row],[Order Total]]+Table1[[#This Row],[Shipping Cost]]</f>
        <v>1546281.5</v>
      </c>
    </row>
    <row r="270" spans="1:26" ht="15.75" customHeight="1" x14ac:dyDescent="0.3">
      <c r="A270" s="9" t="s">
        <v>789</v>
      </c>
      <c r="B270" s="18">
        <v>42898</v>
      </c>
      <c r="C270" s="10">
        <f>YEAR(Table1[[#This Row],[Order Date]])</f>
        <v>2017</v>
      </c>
      <c r="D270" s="10" t="s">
        <v>790</v>
      </c>
      <c r="E270" s="10" t="s">
        <v>215</v>
      </c>
      <c r="F270" s="10" t="s">
        <v>71</v>
      </c>
      <c r="G270" s="10" t="s">
        <v>106</v>
      </c>
      <c r="H270" s="10" t="s">
        <v>146</v>
      </c>
      <c r="I270" s="10" t="str">
        <f>VLOOKUP(Table1[[#This Row],[Account Manager ID]],Table2[[Employee ID]:[Full Name]],4,FALSE)</f>
        <v>Kenari Rajasa</v>
      </c>
      <c r="J270" s="10" t="str">
        <f>INDEX(Employee!$D$4:$D$47,MATCH($H$4:$H$1003,Employee!$A$4:$A$47,0))</f>
        <v>Kenari Rajasa</v>
      </c>
      <c r="K270" s="10" t="s">
        <v>117</v>
      </c>
      <c r="L270" s="10" t="s">
        <v>89</v>
      </c>
      <c r="M270" s="10" t="s">
        <v>59</v>
      </c>
      <c r="N270" s="10" t="s">
        <v>67</v>
      </c>
      <c r="O270" s="10" t="s">
        <v>61</v>
      </c>
      <c r="P270" s="10">
        <v>42899</v>
      </c>
      <c r="Q270" s="15">
        <v>13500</v>
      </c>
      <c r="R270" s="15">
        <v>31500</v>
      </c>
      <c r="S270" s="15">
        <f>Table1[[#This Row],[Retail Price]]-Table1[[#This Row],[Cost Price]]</f>
        <v>18000</v>
      </c>
      <c r="T270" s="10">
        <v>21</v>
      </c>
      <c r="U270" s="15">
        <f>Table1[[#This Row],[Profit Margin]]*Table1[[#This Row],[Order Quantity]]</f>
        <v>378000</v>
      </c>
      <c r="V270" s="11">
        <v>0.04</v>
      </c>
      <c r="W270" s="15">
        <f t="shared" si="4"/>
        <v>15120</v>
      </c>
      <c r="X270" s="15">
        <f>Table1[[#This Row],[Sub Total]]-Table1[[#This Row],[Discount Rp]]</f>
        <v>362880</v>
      </c>
      <c r="Y270" s="15">
        <f ca="1">OFFSET(Helper!$C$3,MATCH(Data!$N$4:$N$1003,Helper!$C$4:$C$9,0),MATCH(Data!$O$4:$O$1003,Helper!$D$3:$F$3,0))</f>
        <v>5000</v>
      </c>
      <c r="Z270" s="16">
        <f ca="1">Table1[[#This Row],[Order Total]]+Table1[[#This Row],[Shipping Cost]]</f>
        <v>367880</v>
      </c>
    </row>
    <row r="271" spans="1:26" ht="15.75" customHeight="1" x14ac:dyDescent="0.3">
      <c r="A271" s="9" t="s">
        <v>791</v>
      </c>
      <c r="B271" s="18">
        <v>42900</v>
      </c>
      <c r="C271" s="10">
        <f>YEAR(Table1[[#This Row],[Order Date]])</f>
        <v>2017</v>
      </c>
      <c r="D271" s="10" t="s">
        <v>792</v>
      </c>
      <c r="E271" s="10" t="s">
        <v>740</v>
      </c>
      <c r="F271" s="10" t="s">
        <v>71</v>
      </c>
      <c r="G271" s="10" t="s">
        <v>55</v>
      </c>
      <c r="H271" s="10" t="s">
        <v>97</v>
      </c>
      <c r="I271" s="10" t="str">
        <f>VLOOKUP(Table1[[#This Row],[Account Manager ID]],Table2[[Employee ID]:[Full Name]],4,FALSE)</f>
        <v>Violet Mentari</v>
      </c>
      <c r="J271" s="10" t="str">
        <f>INDEX(Employee!$D$4:$D$47,MATCH($H$4:$H$1003,Employee!$A$4:$A$47,0))</f>
        <v>Violet Mentari</v>
      </c>
      <c r="K271" s="10" t="s">
        <v>117</v>
      </c>
      <c r="L271" s="10" t="s">
        <v>456</v>
      </c>
      <c r="M271" s="10" t="s">
        <v>59</v>
      </c>
      <c r="N271" s="10" t="s">
        <v>60</v>
      </c>
      <c r="O271" s="10" t="s">
        <v>61</v>
      </c>
      <c r="P271" s="10">
        <v>42901</v>
      </c>
      <c r="Q271" s="15">
        <v>275700</v>
      </c>
      <c r="R271" s="15">
        <v>437550</v>
      </c>
      <c r="S271" s="15">
        <f>Table1[[#This Row],[Retail Price]]-Table1[[#This Row],[Cost Price]]</f>
        <v>161850</v>
      </c>
      <c r="T271" s="10">
        <v>1</v>
      </c>
      <c r="U271" s="15">
        <f>Table1[[#This Row],[Profit Margin]]*Table1[[#This Row],[Order Quantity]]</f>
        <v>161850</v>
      </c>
      <c r="V271" s="11">
        <v>0.02</v>
      </c>
      <c r="W271" s="15">
        <f t="shared" si="4"/>
        <v>3237</v>
      </c>
      <c r="X271" s="15">
        <f>Table1[[#This Row],[Sub Total]]-Table1[[#This Row],[Discount Rp]]</f>
        <v>158613</v>
      </c>
      <c r="Y271" s="15">
        <f ca="1">OFFSET(Helper!$C$3,MATCH(Data!$N$4:$N$1003,Helper!$C$4:$C$9,0),MATCH(Data!$O$4:$O$1003,Helper!$D$3:$F$3,0))</f>
        <v>15000</v>
      </c>
      <c r="Z271" s="16">
        <f ca="1">Table1[[#This Row],[Order Total]]+Table1[[#This Row],[Shipping Cost]]</f>
        <v>173613</v>
      </c>
    </row>
    <row r="272" spans="1:26" ht="15.75" customHeight="1" x14ac:dyDescent="0.3">
      <c r="A272" s="9" t="s">
        <v>793</v>
      </c>
      <c r="B272" s="18">
        <v>42904</v>
      </c>
      <c r="C272" s="10">
        <f>YEAR(Table1[[#This Row],[Order Date]])</f>
        <v>2017</v>
      </c>
      <c r="D272" s="10" t="s">
        <v>794</v>
      </c>
      <c r="E272" s="10" t="s">
        <v>180</v>
      </c>
      <c r="F272" s="10" t="s">
        <v>54</v>
      </c>
      <c r="G272" s="10" t="s">
        <v>106</v>
      </c>
      <c r="H272" s="10" t="s">
        <v>65</v>
      </c>
      <c r="I272" s="10" t="str">
        <f>VLOOKUP(Table1[[#This Row],[Account Manager ID]],Table2[[Employee ID]:[Full Name]],4,FALSE)</f>
        <v>Laras Nuraini</v>
      </c>
      <c r="J272" s="10" t="str">
        <f>INDEX(Employee!$D$4:$D$47,MATCH($H$4:$H$1003,Employee!$A$4:$A$47,0))</f>
        <v>Laras Nuraini</v>
      </c>
      <c r="K272" s="10" t="s">
        <v>74</v>
      </c>
      <c r="L272" s="10" t="s">
        <v>419</v>
      </c>
      <c r="M272" s="10" t="s">
        <v>59</v>
      </c>
      <c r="N272" s="10" t="s">
        <v>60</v>
      </c>
      <c r="O272" s="10" t="s">
        <v>61</v>
      </c>
      <c r="P272" s="10">
        <v>42905</v>
      </c>
      <c r="Q272" s="15">
        <v>66900</v>
      </c>
      <c r="R272" s="15">
        <v>163350</v>
      </c>
      <c r="S272" s="15">
        <f>Table1[[#This Row],[Retail Price]]-Table1[[#This Row],[Cost Price]]</f>
        <v>96450</v>
      </c>
      <c r="T272" s="10">
        <v>32</v>
      </c>
      <c r="U272" s="15">
        <f>Table1[[#This Row],[Profit Margin]]*Table1[[#This Row],[Order Quantity]]</f>
        <v>3086400</v>
      </c>
      <c r="V272" s="11">
        <v>0.1</v>
      </c>
      <c r="W272" s="15">
        <f t="shared" si="4"/>
        <v>308640</v>
      </c>
      <c r="X272" s="15">
        <f>Table1[[#This Row],[Sub Total]]-Table1[[#This Row],[Discount Rp]]</f>
        <v>2777760</v>
      </c>
      <c r="Y272" s="15">
        <f ca="1">OFFSET(Helper!$C$3,MATCH(Data!$N$4:$N$1003,Helper!$C$4:$C$9,0),MATCH(Data!$O$4:$O$1003,Helper!$D$3:$F$3,0))</f>
        <v>15000</v>
      </c>
      <c r="Z272" s="16">
        <f ca="1">Table1[[#This Row],[Order Total]]+Table1[[#This Row],[Shipping Cost]]</f>
        <v>2792760</v>
      </c>
    </row>
    <row r="273" spans="1:26" ht="15.75" customHeight="1" x14ac:dyDescent="0.3">
      <c r="A273" s="9" t="s">
        <v>795</v>
      </c>
      <c r="B273" s="18">
        <v>42908</v>
      </c>
      <c r="C273" s="10">
        <f>YEAR(Table1[[#This Row],[Order Date]])</f>
        <v>2017</v>
      </c>
      <c r="D273" s="10" t="s">
        <v>796</v>
      </c>
      <c r="E273" s="10" t="s">
        <v>740</v>
      </c>
      <c r="F273" s="10" t="s">
        <v>71</v>
      </c>
      <c r="G273" s="10" t="s">
        <v>72</v>
      </c>
      <c r="H273" s="10" t="s">
        <v>97</v>
      </c>
      <c r="I273" s="10" t="str">
        <f>VLOOKUP(Table1[[#This Row],[Account Manager ID]],Table2[[Employee ID]:[Full Name]],4,FALSE)</f>
        <v>Violet Mentari</v>
      </c>
      <c r="J273" s="10" t="str">
        <f>INDEX(Employee!$D$4:$D$47,MATCH($H$4:$H$1003,Employee!$A$4:$A$47,0))</f>
        <v>Violet Mentari</v>
      </c>
      <c r="K273" s="10" t="s">
        <v>107</v>
      </c>
      <c r="L273" s="10" t="s">
        <v>429</v>
      </c>
      <c r="M273" s="10" t="s">
        <v>59</v>
      </c>
      <c r="N273" s="10" t="s">
        <v>60</v>
      </c>
      <c r="O273" s="10" t="s">
        <v>61</v>
      </c>
      <c r="P273" s="10">
        <v>42909</v>
      </c>
      <c r="Q273" s="15">
        <v>29100</v>
      </c>
      <c r="R273" s="15">
        <v>46200</v>
      </c>
      <c r="S273" s="15">
        <f>Table1[[#This Row],[Retail Price]]-Table1[[#This Row],[Cost Price]]</f>
        <v>17100</v>
      </c>
      <c r="T273" s="10">
        <v>1</v>
      </c>
      <c r="U273" s="15">
        <f>Table1[[#This Row],[Profit Margin]]*Table1[[#This Row],[Order Quantity]]</f>
        <v>17100</v>
      </c>
      <c r="V273" s="11">
        <v>0.08</v>
      </c>
      <c r="W273" s="15">
        <f t="shared" si="4"/>
        <v>1368</v>
      </c>
      <c r="X273" s="15">
        <f>Table1[[#This Row],[Sub Total]]-Table1[[#This Row],[Discount Rp]]</f>
        <v>15732</v>
      </c>
      <c r="Y273" s="15">
        <f ca="1">OFFSET(Helper!$C$3,MATCH(Data!$N$4:$N$1003,Helper!$C$4:$C$9,0),MATCH(Data!$O$4:$O$1003,Helper!$D$3:$F$3,0))</f>
        <v>15000</v>
      </c>
      <c r="Z273" s="16">
        <f ca="1">Table1[[#This Row],[Order Total]]+Table1[[#This Row],[Shipping Cost]]</f>
        <v>30732</v>
      </c>
    </row>
    <row r="274" spans="1:26" ht="15.75" customHeight="1" x14ac:dyDescent="0.3">
      <c r="A274" s="9" t="s">
        <v>797</v>
      </c>
      <c r="B274" s="18">
        <v>42909</v>
      </c>
      <c r="C274" s="10">
        <f>YEAR(Table1[[#This Row],[Order Date]])</f>
        <v>2017</v>
      </c>
      <c r="D274" s="10" t="s">
        <v>289</v>
      </c>
      <c r="E274" s="10" t="s">
        <v>290</v>
      </c>
      <c r="F274" s="10" t="s">
        <v>71</v>
      </c>
      <c r="G274" s="10" t="s">
        <v>72</v>
      </c>
      <c r="H274" s="10" t="s">
        <v>88</v>
      </c>
      <c r="I274" s="10" t="str">
        <f>VLOOKUP(Table1[[#This Row],[Account Manager ID]],Table2[[Employee ID]:[Full Name]],4,FALSE)</f>
        <v>Bagiya Sihombing</v>
      </c>
      <c r="J274" s="10" t="str">
        <f>INDEX(Employee!$D$4:$D$47,MATCH($H$4:$H$1003,Employee!$A$4:$A$47,0))</f>
        <v>Bagiya Sihombing</v>
      </c>
      <c r="K274" s="10" t="s">
        <v>117</v>
      </c>
      <c r="L274" s="10" t="s">
        <v>798</v>
      </c>
      <c r="M274" s="10" t="s">
        <v>59</v>
      </c>
      <c r="N274" s="10" t="s">
        <v>60</v>
      </c>
      <c r="O274" s="10" t="s">
        <v>61</v>
      </c>
      <c r="P274" s="10">
        <v>42910</v>
      </c>
      <c r="Q274" s="15">
        <v>780600</v>
      </c>
      <c r="R274" s="15">
        <v>1258950</v>
      </c>
      <c r="S274" s="15">
        <f>Table1[[#This Row],[Retail Price]]-Table1[[#This Row],[Cost Price]]</f>
        <v>478350</v>
      </c>
      <c r="T274" s="10">
        <v>50</v>
      </c>
      <c r="U274" s="15">
        <f>Table1[[#This Row],[Profit Margin]]*Table1[[#This Row],[Order Quantity]]</f>
        <v>23917500</v>
      </c>
      <c r="V274" s="11">
        <v>0.1</v>
      </c>
      <c r="W274" s="15">
        <f t="shared" si="4"/>
        <v>2391750</v>
      </c>
      <c r="X274" s="15">
        <f>Table1[[#This Row],[Sub Total]]-Table1[[#This Row],[Discount Rp]]</f>
        <v>21525750</v>
      </c>
      <c r="Y274" s="15">
        <f ca="1">OFFSET(Helper!$C$3,MATCH(Data!$N$4:$N$1003,Helper!$C$4:$C$9,0),MATCH(Data!$O$4:$O$1003,Helper!$D$3:$F$3,0))</f>
        <v>15000</v>
      </c>
      <c r="Z274" s="16">
        <f ca="1">Table1[[#This Row],[Order Total]]+Table1[[#This Row],[Shipping Cost]]</f>
        <v>21540750</v>
      </c>
    </row>
    <row r="275" spans="1:26" ht="15.75" customHeight="1" x14ac:dyDescent="0.3">
      <c r="A275" s="9" t="s">
        <v>799</v>
      </c>
      <c r="B275" s="18">
        <v>42910</v>
      </c>
      <c r="C275" s="10">
        <f>YEAR(Table1[[#This Row],[Order Date]])</f>
        <v>2017</v>
      </c>
      <c r="D275" s="10" t="s">
        <v>800</v>
      </c>
      <c r="E275" s="10" t="s">
        <v>801</v>
      </c>
      <c r="F275" s="10" t="s">
        <v>261</v>
      </c>
      <c r="G275" s="10" t="s">
        <v>55</v>
      </c>
      <c r="H275" s="10" t="s">
        <v>112</v>
      </c>
      <c r="I275" s="10" t="str">
        <f>VLOOKUP(Table1[[#This Row],[Account Manager ID]],Table2[[Employee ID]:[Full Name]],4,FALSE)</f>
        <v>Paiman Firgantoro</v>
      </c>
      <c r="J275" s="10" t="str">
        <f>INDEX(Employee!$D$4:$D$47,MATCH($H$4:$H$1003,Employee!$A$4:$A$47,0))</f>
        <v>Paiman Firgantoro</v>
      </c>
      <c r="K275" s="10" t="s">
        <v>57</v>
      </c>
      <c r="L275" s="10" t="s">
        <v>294</v>
      </c>
      <c r="M275" s="10" t="s">
        <v>81</v>
      </c>
      <c r="N275" s="10" t="s">
        <v>60</v>
      </c>
      <c r="O275" s="10" t="s">
        <v>76</v>
      </c>
      <c r="P275" s="10">
        <v>42911</v>
      </c>
      <c r="Q275" s="15">
        <v>908850</v>
      </c>
      <c r="R275" s="15">
        <v>1514700</v>
      </c>
      <c r="S275" s="15">
        <f>Table1[[#This Row],[Retail Price]]-Table1[[#This Row],[Cost Price]]</f>
        <v>605850</v>
      </c>
      <c r="T275" s="10">
        <v>5</v>
      </c>
      <c r="U275" s="15">
        <f>Table1[[#This Row],[Profit Margin]]*Table1[[#This Row],[Order Quantity]]</f>
        <v>3029250</v>
      </c>
      <c r="V275" s="11">
        <v>0.02</v>
      </c>
      <c r="W275" s="15">
        <f t="shared" si="4"/>
        <v>60585</v>
      </c>
      <c r="X275" s="15">
        <f>Table1[[#This Row],[Sub Total]]-Table1[[#This Row],[Discount Rp]]</f>
        <v>2968665</v>
      </c>
      <c r="Y275" s="15">
        <f ca="1">OFFSET(Helper!$C$3,MATCH(Data!$N$4:$N$1003,Helper!$C$4:$C$9,0),MATCH(Data!$O$4:$O$1003,Helper!$D$3:$F$3,0))</f>
        <v>30000</v>
      </c>
      <c r="Z275" s="16">
        <f ca="1">Table1[[#This Row],[Order Total]]+Table1[[#This Row],[Shipping Cost]]</f>
        <v>2998665</v>
      </c>
    </row>
    <row r="276" spans="1:26" ht="15.75" customHeight="1" x14ac:dyDescent="0.3">
      <c r="A276" s="9" t="s">
        <v>802</v>
      </c>
      <c r="B276" s="18">
        <v>42911</v>
      </c>
      <c r="C276" s="10">
        <f>YEAR(Table1[[#This Row],[Order Date]])</f>
        <v>2017</v>
      </c>
      <c r="D276" s="10" t="s">
        <v>758</v>
      </c>
      <c r="E276" s="10" t="s">
        <v>233</v>
      </c>
      <c r="F276" s="10" t="s">
        <v>54</v>
      </c>
      <c r="G276" s="10" t="s">
        <v>72</v>
      </c>
      <c r="H276" s="10" t="s">
        <v>65</v>
      </c>
      <c r="I276" s="10" t="str">
        <f>VLOOKUP(Table1[[#This Row],[Account Manager ID]],Table2[[Employee ID]:[Full Name]],4,FALSE)</f>
        <v>Laras Nuraini</v>
      </c>
      <c r="J276" s="10" t="str">
        <f>INDEX(Employee!$D$4:$D$47,MATCH($H$4:$H$1003,Employee!$A$4:$A$47,0))</f>
        <v>Laras Nuraini</v>
      </c>
      <c r="K276" s="10" t="s">
        <v>92</v>
      </c>
      <c r="L276" s="10" t="s">
        <v>248</v>
      </c>
      <c r="M276" s="10" t="s">
        <v>59</v>
      </c>
      <c r="N276" s="10" t="s">
        <v>67</v>
      </c>
      <c r="O276" s="10" t="s">
        <v>61</v>
      </c>
      <c r="P276" s="10">
        <v>42911</v>
      </c>
      <c r="Q276" s="15">
        <v>56250</v>
      </c>
      <c r="R276" s="15">
        <v>106200</v>
      </c>
      <c r="S276" s="15">
        <f>Table1[[#This Row],[Retail Price]]-Table1[[#This Row],[Cost Price]]</f>
        <v>49950</v>
      </c>
      <c r="T276" s="10">
        <v>34</v>
      </c>
      <c r="U276" s="15">
        <f>Table1[[#This Row],[Profit Margin]]*Table1[[#This Row],[Order Quantity]]</f>
        <v>1698300</v>
      </c>
      <c r="V276" s="11">
        <v>0.03</v>
      </c>
      <c r="W276" s="15">
        <f t="shared" si="4"/>
        <v>50949</v>
      </c>
      <c r="X276" s="15">
        <f>Table1[[#This Row],[Sub Total]]-Table1[[#This Row],[Discount Rp]]</f>
        <v>1647351</v>
      </c>
      <c r="Y276" s="15">
        <f ca="1">OFFSET(Helper!$C$3,MATCH(Data!$N$4:$N$1003,Helper!$C$4:$C$9,0),MATCH(Data!$O$4:$O$1003,Helper!$D$3:$F$3,0))</f>
        <v>5000</v>
      </c>
      <c r="Z276" s="16">
        <f ca="1">Table1[[#This Row],[Order Total]]+Table1[[#This Row],[Shipping Cost]]</f>
        <v>1652351</v>
      </c>
    </row>
    <row r="277" spans="1:26" ht="15.75" customHeight="1" x14ac:dyDescent="0.3">
      <c r="A277" s="9" t="s">
        <v>803</v>
      </c>
      <c r="B277" s="18">
        <v>42913</v>
      </c>
      <c r="C277" s="10">
        <f>YEAR(Table1[[#This Row],[Order Date]])</f>
        <v>2017</v>
      </c>
      <c r="D277" s="10" t="s">
        <v>104</v>
      </c>
      <c r="E277" s="10" t="s">
        <v>105</v>
      </c>
      <c r="F277" s="10" t="s">
        <v>71</v>
      </c>
      <c r="G277" s="10" t="s">
        <v>106</v>
      </c>
      <c r="H277" s="10" t="s">
        <v>73</v>
      </c>
      <c r="I277" s="10" t="str">
        <f>VLOOKUP(Table1[[#This Row],[Account Manager ID]],Table2[[Employee ID]:[Full Name]],4,FALSE)</f>
        <v>Cinthia Gunawan</v>
      </c>
      <c r="J277" s="10" t="str">
        <f>INDEX(Employee!$D$4:$D$47,MATCH($H$4:$H$1003,Employee!$A$4:$A$47,0))</f>
        <v>Cinthia Gunawan</v>
      </c>
      <c r="K277" s="10" t="s">
        <v>74</v>
      </c>
      <c r="L277" s="10" t="s">
        <v>465</v>
      </c>
      <c r="M277" s="10" t="s">
        <v>59</v>
      </c>
      <c r="N277" s="10" t="s">
        <v>60</v>
      </c>
      <c r="O277" s="10" t="s">
        <v>61</v>
      </c>
      <c r="P277" s="10">
        <v>42913</v>
      </c>
      <c r="Q277" s="15">
        <v>52500</v>
      </c>
      <c r="R277" s="15">
        <v>86100</v>
      </c>
      <c r="S277" s="15">
        <f>Table1[[#This Row],[Retail Price]]-Table1[[#This Row],[Cost Price]]</f>
        <v>33600</v>
      </c>
      <c r="T277" s="10">
        <v>45</v>
      </c>
      <c r="U277" s="15">
        <f>Table1[[#This Row],[Profit Margin]]*Table1[[#This Row],[Order Quantity]]</f>
        <v>1512000</v>
      </c>
      <c r="V277" s="11">
        <v>0</v>
      </c>
      <c r="W277" s="15">
        <f t="shared" si="4"/>
        <v>0</v>
      </c>
      <c r="X277" s="15">
        <f>Table1[[#This Row],[Sub Total]]-Table1[[#This Row],[Discount Rp]]</f>
        <v>1512000</v>
      </c>
      <c r="Y277" s="15">
        <f ca="1">OFFSET(Helper!$C$3,MATCH(Data!$N$4:$N$1003,Helper!$C$4:$C$9,0),MATCH(Data!$O$4:$O$1003,Helper!$D$3:$F$3,0))</f>
        <v>15000</v>
      </c>
      <c r="Z277" s="16">
        <f ca="1">Table1[[#This Row],[Order Total]]+Table1[[#This Row],[Shipping Cost]]</f>
        <v>1527000</v>
      </c>
    </row>
    <row r="278" spans="1:26" ht="15.75" customHeight="1" x14ac:dyDescent="0.3">
      <c r="A278" s="9" t="s">
        <v>804</v>
      </c>
      <c r="B278" s="18">
        <v>42915</v>
      </c>
      <c r="C278" s="10">
        <f>YEAR(Table1[[#This Row],[Order Date]])</f>
        <v>2017</v>
      </c>
      <c r="D278" s="10" t="s">
        <v>805</v>
      </c>
      <c r="E278" s="10" t="s">
        <v>594</v>
      </c>
      <c r="F278" s="10" t="s">
        <v>71</v>
      </c>
      <c r="G278" s="10" t="s">
        <v>55</v>
      </c>
      <c r="H278" s="10" t="s">
        <v>194</v>
      </c>
      <c r="I278" s="10" t="str">
        <f>VLOOKUP(Table1[[#This Row],[Account Manager ID]],Table2[[Employee ID]:[Full Name]],4,FALSE)</f>
        <v>Nabila Prakasa</v>
      </c>
      <c r="J278" s="10" t="str">
        <f>INDEX(Employee!$D$4:$D$47,MATCH($H$4:$H$1003,Employee!$A$4:$A$47,0))</f>
        <v>Nabila Prakasa</v>
      </c>
      <c r="K278" s="10" t="s">
        <v>74</v>
      </c>
      <c r="L278" s="10" t="s">
        <v>93</v>
      </c>
      <c r="M278" s="10" t="s">
        <v>59</v>
      </c>
      <c r="N278" s="10" t="s">
        <v>67</v>
      </c>
      <c r="O278" s="10" t="s">
        <v>61</v>
      </c>
      <c r="P278" s="10">
        <v>42916</v>
      </c>
      <c r="Q278" s="15">
        <v>16350.000000000002</v>
      </c>
      <c r="R278" s="15">
        <v>39000</v>
      </c>
      <c r="S278" s="15">
        <f>Table1[[#This Row],[Retail Price]]-Table1[[#This Row],[Cost Price]]</f>
        <v>22650</v>
      </c>
      <c r="T278" s="10">
        <v>43</v>
      </c>
      <c r="U278" s="15">
        <f>Table1[[#This Row],[Profit Margin]]*Table1[[#This Row],[Order Quantity]]</f>
        <v>973950</v>
      </c>
      <c r="V278" s="11">
        <v>0.01</v>
      </c>
      <c r="W278" s="15">
        <f t="shared" si="4"/>
        <v>9739.5</v>
      </c>
      <c r="X278" s="15">
        <f>Table1[[#This Row],[Sub Total]]-Table1[[#This Row],[Discount Rp]]</f>
        <v>964210.5</v>
      </c>
      <c r="Y278" s="15">
        <f ca="1">OFFSET(Helper!$C$3,MATCH(Data!$N$4:$N$1003,Helper!$C$4:$C$9,0),MATCH(Data!$O$4:$O$1003,Helper!$D$3:$F$3,0))</f>
        <v>5000</v>
      </c>
      <c r="Z278" s="16">
        <f ca="1">Table1[[#This Row],[Order Total]]+Table1[[#This Row],[Shipping Cost]]</f>
        <v>969210.5</v>
      </c>
    </row>
    <row r="279" spans="1:26" ht="15.75" customHeight="1" x14ac:dyDescent="0.3">
      <c r="A279" s="9" t="s">
        <v>806</v>
      </c>
      <c r="B279" s="18">
        <v>42915</v>
      </c>
      <c r="C279" s="10">
        <f>YEAR(Table1[[#This Row],[Order Date]])</f>
        <v>2017</v>
      </c>
      <c r="D279" s="10" t="s">
        <v>807</v>
      </c>
      <c r="E279" s="10" t="s">
        <v>579</v>
      </c>
      <c r="F279" s="10" t="s">
        <v>71</v>
      </c>
      <c r="G279" s="10" t="s">
        <v>72</v>
      </c>
      <c r="H279" s="10" t="s">
        <v>73</v>
      </c>
      <c r="I279" s="10" t="str">
        <f>VLOOKUP(Table1[[#This Row],[Account Manager ID]],Table2[[Employee ID]:[Full Name]],4,FALSE)</f>
        <v>Cinthia Gunawan</v>
      </c>
      <c r="J279" s="10" t="str">
        <f>INDEX(Employee!$D$4:$D$47,MATCH($H$4:$H$1003,Employee!$A$4:$A$47,0))</f>
        <v>Cinthia Gunawan</v>
      </c>
      <c r="K279" s="10" t="s">
        <v>107</v>
      </c>
      <c r="L279" s="10" t="s">
        <v>291</v>
      </c>
      <c r="M279" s="10" t="s">
        <v>59</v>
      </c>
      <c r="N279" s="10" t="s">
        <v>60</v>
      </c>
      <c r="O279" s="10" t="s">
        <v>61</v>
      </c>
      <c r="P279" s="10">
        <v>42916</v>
      </c>
      <c r="Q279" s="15">
        <v>133800</v>
      </c>
      <c r="R279" s="15">
        <v>446100</v>
      </c>
      <c r="S279" s="15">
        <f>Table1[[#This Row],[Retail Price]]-Table1[[#This Row],[Cost Price]]</f>
        <v>312300</v>
      </c>
      <c r="T279" s="10">
        <v>25</v>
      </c>
      <c r="U279" s="15">
        <f>Table1[[#This Row],[Profit Margin]]*Table1[[#This Row],[Order Quantity]]</f>
        <v>7807500</v>
      </c>
      <c r="V279" s="11">
        <v>0</v>
      </c>
      <c r="W279" s="15">
        <f t="shared" si="4"/>
        <v>0</v>
      </c>
      <c r="X279" s="15">
        <f>Table1[[#This Row],[Sub Total]]-Table1[[#This Row],[Discount Rp]]</f>
        <v>7807500</v>
      </c>
      <c r="Y279" s="15">
        <f ca="1">OFFSET(Helper!$C$3,MATCH(Data!$N$4:$N$1003,Helper!$C$4:$C$9,0),MATCH(Data!$O$4:$O$1003,Helper!$D$3:$F$3,0))</f>
        <v>15000</v>
      </c>
      <c r="Z279" s="16">
        <f ca="1">Table1[[#This Row],[Order Total]]+Table1[[#This Row],[Shipping Cost]]</f>
        <v>7822500</v>
      </c>
    </row>
    <row r="280" spans="1:26" ht="15.75" customHeight="1" x14ac:dyDescent="0.3">
      <c r="A280" s="9" t="s">
        <v>808</v>
      </c>
      <c r="B280" s="18">
        <v>42915</v>
      </c>
      <c r="C280" s="10">
        <f>YEAR(Table1[[#This Row],[Order Date]])</f>
        <v>2017</v>
      </c>
      <c r="D280" s="10" t="s">
        <v>809</v>
      </c>
      <c r="E280" s="10" t="s">
        <v>189</v>
      </c>
      <c r="F280" s="10" t="s">
        <v>54</v>
      </c>
      <c r="G280" s="10" t="s">
        <v>106</v>
      </c>
      <c r="H280" s="10" t="s">
        <v>56</v>
      </c>
      <c r="I280" s="10" t="str">
        <f>VLOOKUP(Table1[[#This Row],[Account Manager ID]],Table2[[Employee ID]:[Full Name]],4,FALSE)</f>
        <v>Gaduh Pratama</v>
      </c>
      <c r="J280" s="10" t="str">
        <f>INDEX(Employee!$D$4:$D$47,MATCH($H$4:$H$1003,Employee!$A$4:$A$47,0))</f>
        <v>Gaduh Pratama</v>
      </c>
      <c r="K280" s="10" t="s">
        <v>107</v>
      </c>
      <c r="L280" s="10" t="s">
        <v>810</v>
      </c>
      <c r="M280" s="10" t="s">
        <v>59</v>
      </c>
      <c r="N280" s="10" t="s">
        <v>60</v>
      </c>
      <c r="O280" s="10" t="s">
        <v>61</v>
      </c>
      <c r="P280" s="10">
        <v>42916</v>
      </c>
      <c r="Q280" s="15">
        <v>329550</v>
      </c>
      <c r="R280" s="15">
        <v>531600</v>
      </c>
      <c r="S280" s="15">
        <f>Table1[[#This Row],[Retail Price]]-Table1[[#This Row],[Cost Price]]</f>
        <v>202050</v>
      </c>
      <c r="T280" s="10">
        <v>21</v>
      </c>
      <c r="U280" s="15">
        <f>Table1[[#This Row],[Profit Margin]]*Table1[[#This Row],[Order Quantity]]</f>
        <v>4243050</v>
      </c>
      <c r="V280" s="11">
        <v>0</v>
      </c>
      <c r="W280" s="15">
        <f t="shared" si="4"/>
        <v>0</v>
      </c>
      <c r="X280" s="15">
        <f>Table1[[#This Row],[Sub Total]]-Table1[[#This Row],[Discount Rp]]</f>
        <v>4243050</v>
      </c>
      <c r="Y280" s="15">
        <f ca="1">OFFSET(Helper!$C$3,MATCH(Data!$N$4:$N$1003,Helper!$C$4:$C$9,0),MATCH(Data!$O$4:$O$1003,Helper!$D$3:$F$3,0))</f>
        <v>15000</v>
      </c>
      <c r="Z280" s="16">
        <f ca="1">Table1[[#This Row],[Order Total]]+Table1[[#This Row],[Shipping Cost]]</f>
        <v>4258050</v>
      </c>
    </row>
    <row r="281" spans="1:26" ht="15.75" customHeight="1" x14ac:dyDescent="0.3">
      <c r="A281" s="9" t="s">
        <v>811</v>
      </c>
      <c r="B281" s="18">
        <v>42917</v>
      </c>
      <c r="C281" s="10">
        <f>YEAR(Table1[[#This Row],[Order Date]])</f>
        <v>2017</v>
      </c>
      <c r="D281" s="10" t="s">
        <v>812</v>
      </c>
      <c r="E281" s="10" t="s">
        <v>813</v>
      </c>
      <c r="F281" s="10" t="s">
        <v>54</v>
      </c>
      <c r="G281" s="10" t="s">
        <v>106</v>
      </c>
      <c r="H281" s="10" t="s">
        <v>65</v>
      </c>
      <c r="I281" s="10" t="str">
        <f>VLOOKUP(Table1[[#This Row],[Account Manager ID]],Table2[[Employee ID]:[Full Name]],4,FALSE)</f>
        <v>Laras Nuraini</v>
      </c>
      <c r="J281" s="10" t="str">
        <f>INDEX(Employee!$D$4:$D$47,MATCH($H$4:$H$1003,Employee!$A$4:$A$47,0))</f>
        <v>Laras Nuraini</v>
      </c>
      <c r="K281" s="10" t="s">
        <v>74</v>
      </c>
      <c r="L281" s="10" t="s">
        <v>446</v>
      </c>
      <c r="M281" s="10" t="s">
        <v>59</v>
      </c>
      <c r="N281" s="10" t="s">
        <v>60</v>
      </c>
      <c r="O281" s="10" t="s">
        <v>61</v>
      </c>
      <c r="P281" s="10">
        <v>42919</v>
      </c>
      <c r="Q281" s="15">
        <v>33900</v>
      </c>
      <c r="R281" s="15">
        <v>53700</v>
      </c>
      <c r="S281" s="15">
        <f>Table1[[#This Row],[Retail Price]]-Table1[[#This Row],[Cost Price]]</f>
        <v>19800</v>
      </c>
      <c r="T281" s="10">
        <v>39</v>
      </c>
      <c r="U281" s="15">
        <f>Table1[[#This Row],[Profit Margin]]*Table1[[#This Row],[Order Quantity]]</f>
        <v>772200</v>
      </c>
      <c r="V281" s="11">
        <v>0</v>
      </c>
      <c r="W281" s="15">
        <f t="shared" si="4"/>
        <v>0</v>
      </c>
      <c r="X281" s="15">
        <f>Table1[[#This Row],[Sub Total]]-Table1[[#This Row],[Discount Rp]]</f>
        <v>772200</v>
      </c>
      <c r="Y281" s="15">
        <f ca="1">OFFSET(Helper!$C$3,MATCH(Data!$N$4:$N$1003,Helper!$C$4:$C$9,0),MATCH(Data!$O$4:$O$1003,Helper!$D$3:$F$3,0))</f>
        <v>15000</v>
      </c>
      <c r="Z281" s="16">
        <f ca="1">Table1[[#This Row],[Order Total]]+Table1[[#This Row],[Shipping Cost]]</f>
        <v>787200</v>
      </c>
    </row>
    <row r="282" spans="1:26" ht="15.75" customHeight="1" x14ac:dyDescent="0.3">
      <c r="A282" s="9" t="s">
        <v>814</v>
      </c>
      <c r="B282" s="18">
        <v>42919</v>
      </c>
      <c r="C282" s="10">
        <f>YEAR(Table1[[#This Row],[Order Date]])</f>
        <v>2017</v>
      </c>
      <c r="D282" s="10" t="s">
        <v>815</v>
      </c>
      <c r="E282" s="10" t="s">
        <v>607</v>
      </c>
      <c r="F282" s="10" t="s">
        <v>71</v>
      </c>
      <c r="G282" s="10" t="s">
        <v>55</v>
      </c>
      <c r="H282" s="10" t="s">
        <v>185</v>
      </c>
      <c r="I282" s="10" t="str">
        <f>VLOOKUP(Table1[[#This Row],[Account Manager ID]],Table2[[Employee ID]:[Full Name]],4,FALSE)</f>
        <v>Clara Prasetyo</v>
      </c>
      <c r="J282" s="10" t="str">
        <f>INDEX(Employee!$D$4:$D$47,MATCH($H$4:$H$1003,Employee!$A$4:$A$47,0))</f>
        <v>Clara Prasetyo</v>
      </c>
      <c r="K282" s="10" t="s">
        <v>92</v>
      </c>
      <c r="L282" s="10" t="s">
        <v>429</v>
      </c>
      <c r="M282" s="10" t="s">
        <v>59</v>
      </c>
      <c r="N282" s="10" t="s">
        <v>60</v>
      </c>
      <c r="O282" s="10" t="s">
        <v>61</v>
      </c>
      <c r="P282" s="10">
        <v>42924</v>
      </c>
      <c r="Q282" s="15">
        <v>29100</v>
      </c>
      <c r="R282" s="15">
        <v>46200</v>
      </c>
      <c r="S282" s="15">
        <f>Table1[[#This Row],[Retail Price]]-Table1[[#This Row],[Cost Price]]</f>
        <v>17100</v>
      </c>
      <c r="T282" s="10">
        <v>5</v>
      </c>
      <c r="U282" s="15">
        <f>Table1[[#This Row],[Profit Margin]]*Table1[[#This Row],[Order Quantity]]</f>
        <v>85500</v>
      </c>
      <c r="V282" s="11">
        <v>0.06</v>
      </c>
      <c r="W282" s="15">
        <f t="shared" si="4"/>
        <v>5130</v>
      </c>
      <c r="X282" s="15">
        <f>Table1[[#This Row],[Sub Total]]-Table1[[#This Row],[Discount Rp]]</f>
        <v>80370</v>
      </c>
      <c r="Y282" s="15">
        <f ca="1">OFFSET(Helper!$C$3,MATCH(Data!$N$4:$N$1003,Helper!$C$4:$C$9,0),MATCH(Data!$O$4:$O$1003,Helper!$D$3:$F$3,0))</f>
        <v>15000</v>
      </c>
      <c r="Z282" s="16">
        <f ca="1">Table1[[#This Row],[Order Total]]+Table1[[#This Row],[Shipping Cost]]</f>
        <v>95370</v>
      </c>
    </row>
    <row r="283" spans="1:26" ht="15.75" customHeight="1" x14ac:dyDescent="0.3">
      <c r="A283" s="9" t="s">
        <v>816</v>
      </c>
      <c r="B283" s="18">
        <v>42926</v>
      </c>
      <c r="C283" s="10">
        <f>YEAR(Table1[[#This Row],[Order Date]])</f>
        <v>2017</v>
      </c>
      <c r="D283" s="10" t="s">
        <v>702</v>
      </c>
      <c r="E283" s="10" t="s">
        <v>193</v>
      </c>
      <c r="F283" s="10" t="s">
        <v>71</v>
      </c>
      <c r="G283" s="10" t="s">
        <v>106</v>
      </c>
      <c r="H283" s="10" t="s">
        <v>194</v>
      </c>
      <c r="I283" s="10" t="str">
        <f>VLOOKUP(Table1[[#This Row],[Account Manager ID]],Table2[[Employee ID]:[Full Name]],4,FALSE)</f>
        <v>Nabila Prakasa</v>
      </c>
      <c r="J283" s="10" t="str">
        <f>INDEX(Employee!$D$4:$D$47,MATCH($H$4:$H$1003,Employee!$A$4:$A$47,0))</f>
        <v>Nabila Prakasa</v>
      </c>
      <c r="K283" s="10" t="s">
        <v>57</v>
      </c>
      <c r="L283" s="10" t="s">
        <v>591</v>
      </c>
      <c r="M283" s="10" t="s">
        <v>59</v>
      </c>
      <c r="N283" s="10" t="s">
        <v>60</v>
      </c>
      <c r="O283" s="10" t="s">
        <v>61</v>
      </c>
      <c r="P283" s="10">
        <v>42926</v>
      </c>
      <c r="Q283" s="15">
        <v>165600</v>
      </c>
      <c r="R283" s="15">
        <v>254700</v>
      </c>
      <c r="S283" s="15">
        <f>Table1[[#This Row],[Retail Price]]-Table1[[#This Row],[Cost Price]]</f>
        <v>89100</v>
      </c>
      <c r="T283" s="10">
        <v>31</v>
      </c>
      <c r="U283" s="15">
        <f>Table1[[#This Row],[Profit Margin]]*Table1[[#This Row],[Order Quantity]]</f>
        <v>2762100</v>
      </c>
      <c r="V283" s="11">
        <v>0.03</v>
      </c>
      <c r="W283" s="15">
        <f t="shared" si="4"/>
        <v>82863</v>
      </c>
      <c r="X283" s="15">
        <f>Table1[[#This Row],[Sub Total]]-Table1[[#This Row],[Discount Rp]]</f>
        <v>2679237</v>
      </c>
      <c r="Y283" s="15">
        <f ca="1">OFFSET(Helper!$C$3,MATCH(Data!$N$4:$N$1003,Helper!$C$4:$C$9,0),MATCH(Data!$O$4:$O$1003,Helper!$D$3:$F$3,0))</f>
        <v>15000</v>
      </c>
      <c r="Z283" s="16">
        <f ca="1">Table1[[#This Row],[Order Total]]+Table1[[#This Row],[Shipping Cost]]</f>
        <v>2694237</v>
      </c>
    </row>
    <row r="284" spans="1:26" ht="15.75" customHeight="1" x14ac:dyDescent="0.3">
      <c r="A284" s="9" t="s">
        <v>817</v>
      </c>
      <c r="B284" s="18">
        <v>42927</v>
      </c>
      <c r="C284" s="10">
        <f>YEAR(Table1[[#This Row],[Order Date]])</f>
        <v>2017</v>
      </c>
      <c r="D284" s="10" t="s">
        <v>818</v>
      </c>
      <c r="E284" s="10" t="s">
        <v>557</v>
      </c>
      <c r="F284" s="10" t="s">
        <v>71</v>
      </c>
      <c r="G284" s="10" t="s">
        <v>87</v>
      </c>
      <c r="H284" s="10" t="s">
        <v>185</v>
      </c>
      <c r="I284" s="10" t="str">
        <f>VLOOKUP(Table1[[#This Row],[Account Manager ID]],Table2[[Employee ID]:[Full Name]],4,FALSE)</f>
        <v>Clara Prasetyo</v>
      </c>
      <c r="J284" s="10" t="str">
        <f>INDEX(Employee!$D$4:$D$47,MATCH($H$4:$H$1003,Employee!$A$4:$A$47,0))</f>
        <v>Clara Prasetyo</v>
      </c>
      <c r="K284" s="10" t="s">
        <v>107</v>
      </c>
      <c r="L284" s="10" t="s">
        <v>588</v>
      </c>
      <c r="M284" s="10" t="s">
        <v>59</v>
      </c>
      <c r="N284" s="10" t="s">
        <v>60</v>
      </c>
      <c r="O284" s="10" t="s">
        <v>61</v>
      </c>
      <c r="P284" s="10">
        <v>42928</v>
      </c>
      <c r="Q284" s="15">
        <v>67950</v>
      </c>
      <c r="R284" s="15">
        <v>109500</v>
      </c>
      <c r="S284" s="15">
        <f>Table1[[#This Row],[Retail Price]]-Table1[[#This Row],[Cost Price]]</f>
        <v>41550</v>
      </c>
      <c r="T284" s="10">
        <v>18</v>
      </c>
      <c r="U284" s="15">
        <f>Table1[[#This Row],[Profit Margin]]*Table1[[#This Row],[Order Quantity]]</f>
        <v>747900</v>
      </c>
      <c r="V284" s="11">
        <v>0.05</v>
      </c>
      <c r="W284" s="15">
        <f t="shared" si="4"/>
        <v>37395</v>
      </c>
      <c r="X284" s="15">
        <f>Table1[[#This Row],[Sub Total]]-Table1[[#This Row],[Discount Rp]]</f>
        <v>710505</v>
      </c>
      <c r="Y284" s="15">
        <f ca="1">OFFSET(Helper!$C$3,MATCH(Data!$N$4:$N$1003,Helper!$C$4:$C$9,0),MATCH(Data!$O$4:$O$1003,Helper!$D$3:$F$3,0))</f>
        <v>15000</v>
      </c>
      <c r="Z284" s="16">
        <f ca="1">Table1[[#This Row],[Order Total]]+Table1[[#This Row],[Shipping Cost]]</f>
        <v>725505</v>
      </c>
    </row>
    <row r="285" spans="1:26" ht="15.75" customHeight="1" x14ac:dyDescent="0.3">
      <c r="A285" s="9" t="s">
        <v>819</v>
      </c>
      <c r="B285" s="18">
        <v>42929</v>
      </c>
      <c r="C285" s="10">
        <f>YEAR(Table1[[#This Row],[Order Date]])</f>
        <v>2017</v>
      </c>
      <c r="D285" s="10" t="s">
        <v>820</v>
      </c>
      <c r="E285" s="10" t="s">
        <v>521</v>
      </c>
      <c r="F285" s="10" t="s">
        <v>71</v>
      </c>
      <c r="G285" s="10" t="s">
        <v>55</v>
      </c>
      <c r="H285" s="10" t="s">
        <v>88</v>
      </c>
      <c r="I285" s="10" t="str">
        <f>VLOOKUP(Table1[[#This Row],[Account Manager ID]],Table2[[Employee ID]:[Full Name]],4,FALSE)</f>
        <v>Bagiya Sihombing</v>
      </c>
      <c r="J285" s="10" t="str">
        <f>INDEX(Employee!$D$4:$D$47,MATCH($H$4:$H$1003,Employee!$A$4:$A$47,0))</f>
        <v>Bagiya Sihombing</v>
      </c>
      <c r="K285" s="10" t="s">
        <v>107</v>
      </c>
      <c r="L285" s="10" t="s">
        <v>384</v>
      </c>
      <c r="M285" s="10" t="s">
        <v>59</v>
      </c>
      <c r="N285" s="10" t="s">
        <v>67</v>
      </c>
      <c r="O285" s="10" t="s">
        <v>61</v>
      </c>
      <c r="P285" s="10">
        <v>42929</v>
      </c>
      <c r="Q285" s="15">
        <v>65550</v>
      </c>
      <c r="R285" s="15">
        <v>136650</v>
      </c>
      <c r="S285" s="15">
        <f>Table1[[#This Row],[Retail Price]]-Table1[[#This Row],[Cost Price]]</f>
        <v>71100</v>
      </c>
      <c r="T285" s="10">
        <v>1</v>
      </c>
      <c r="U285" s="15">
        <f>Table1[[#This Row],[Profit Margin]]*Table1[[#This Row],[Order Quantity]]</f>
        <v>71100</v>
      </c>
      <c r="V285" s="11">
        <v>0.1</v>
      </c>
      <c r="W285" s="15">
        <f t="shared" si="4"/>
        <v>7110</v>
      </c>
      <c r="X285" s="15">
        <f>Table1[[#This Row],[Sub Total]]-Table1[[#This Row],[Discount Rp]]</f>
        <v>63990</v>
      </c>
      <c r="Y285" s="15">
        <f ca="1">OFFSET(Helper!$C$3,MATCH(Data!$N$4:$N$1003,Helper!$C$4:$C$9,0),MATCH(Data!$O$4:$O$1003,Helper!$D$3:$F$3,0))</f>
        <v>5000</v>
      </c>
      <c r="Z285" s="16">
        <f ca="1">Table1[[#This Row],[Order Total]]+Table1[[#This Row],[Shipping Cost]]</f>
        <v>68990</v>
      </c>
    </row>
    <row r="286" spans="1:26" ht="15.75" customHeight="1" x14ac:dyDescent="0.3">
      <c r="A286" s="9" t="s">
        <v>821</v>
      </c>
      <c r="B286" s="18">
        <v>42930</v>
      </c>
      <c r="C286" s="10">
        <f>YEAR(Table1[[#This Row],[Order Date]])</f>
        <v>2017</v>
      </c>
      <c r="D286" s="10" t="s">
        <v>705</v>
      </c>
      <c r="E286" s="10" t="s">
        <v>319</v>
      </c>
      <c r="F286" s="10" t="s">
        <v>71</v>
      </c>
      <c r="G286" s="10" t="s">
        <v>87</v>
      </c>
      <c r="H286" s="10" t="s">
        <v>155</v>
      </c>
      <c r="I286" s="10" t="str">
        <f>VLOOKUP(Table1[[#This Row],[Account Manager ID]],Table2[[Employee ID]:[Full Name]],4,FALSE)</f>
        <v>Puti Nadine Prakasa</v>
      </c>
      <c r="J286" s="10" t="str">
        <f>INDEX(Employee!$D$4:$D$47,MATCH($H$4:$H$1003,Employee!$A$4:$A$47,0))</f>
        <v>Puti Nadine Prakasa</v>
      </c>
      <c r="K286" s="10" t="s">
        <v>74</v>
      </c>
      <c r="L286" s="10" t="s">
        <v>598</v>
      </c>
      <c r="M286" s="10" t="s">
        <v>59</v>
      </c>
      <c r="N286" s="10" t="s">
        <v>136</v>
      </c>
      <c r="O286" s="10" t="s">
        <v>61</v>
      </c>
      <c r="P286" s="10">
        <v>42931</v>
      </c>
      <c r="Q286" s="15">
        <v>252000</v>
      </c>
      <c r="R286" s="15">
        <v>614550</v>
      </c>
      <c r="S286" s="15">
        <f>Table1[[#This Row],[Retail Price]]-Table1[[#This Row],[Cost Price]]</f>
        <v>362550</v>
      </c>
      <c r="T286" s="10">
        <v>44</v>
      </c>
      <c r="U286" s="15">
        <f>Table1[[#This Row],[Profit Margin]]*Table1[[#This Row],[Order Quantity]]</f>
        <v>15952200</v>
      </c>
      <c r="V286" s="11">
        <v>0.08</v>
      </c>
      <c r="W286" s="15">
        <f t="shared" si="4"/>
        <v>1276176</v>
      </c>
      <c r="X286" s="15">
        <f>Table1[[#This Row],[Sub Total]]-Table1[[#This Row],[Discount Rp]]</f>
        <v>14676024</v>
      </c>
      <c r="Y286" s="15">
        <f ca="1">OFFSET(Helper!$C$3,MATCH(Data!$N$4:$N$1003,Helper!$C$4:$C$9,0),MATCH(Data!$O$4:$O$1003,Helper!$D$3:$F$3,0))</f>
        <v>10000</v>
      </c>
      <c r="Z286" s="16">
        <f ca="1">Table1[[#This Row],[Order Total]]+Table1[[#This Row],[Shipping Cost]]</f>
        <v>14686024</v>
      </c>
    </row>
    <row r="287" spans="1:26" ht="15.75" customHeight="1" x14ac:dyDescent="0.3">
      <c r="A287" s="9" t="s">
        <v>822</v>
      </c>
      <c r="B287" s="18">
        <v>42931</v>
      </c>
      <c r="C287" s="10">
        <f>YEAR(Table1[[#This Row],[Order Date]])</f>
        <v>2017</v>
      </c>
      <c r="D287" s="10" t="s">
        <v>179</v>
      </c>
      <c r="E287" s="10" t="s">
        <v>180</v>
      </c>
      <c r="F287" s="10" t="s">
        <v>54</v>
      </c>
      <c r="G287" s="10" t="s">
        <v>72</v>
      </c>
      <c r="H287" s="10" t="s">
        <v>65</v>
      </c>
      <c r="I287" s="10" t="str">
        <f>VLOOKUP(Table1[[#This Row],[Account Manager ID]],Table2[[Employee ID]:[Full Name]],4,FALSE)</f>
        <v>Laras Nuraini</v>
      </c>
      <c r="J287" s="10" t="str">
        <f>INDEX(Employee!$D$4:$D$47,MATCH($H$4:$H$1003,Employee!$A$4:$A$47,0))</f>
        <v>Laras Nuraini</v>
      </c>
      <c r="K287" s="10" t="s">
        <v>117</v>
      </c>
      <c r="L287" s="10" t="s">
        <v>823</v>
      </c>
      <c r="M287" s="10" t="s">
        <v>59</v>
      </c>
      <c r="N287" s="10" t="s">
        <v>60</v>
      </c>
      <c r="O287" s="10" t="s">
        <v>61</v>
      </c>
      <c r="P287" s="10">
        <v>42933</v>
      </c>
      <c r="Q287" s="15">
        <v>106950</v>
      </c>
      <c r="R287" s="15">
        <v>314700</v>
      </c>
      <c r="S287" s="15">
        <f>Table1[[#This Row],[Retail Price]]-Table1[[#This Row],[Cost Price]]</f>
        <v>207750</v>
      </c>
      <c r="T287" s="10">
        <v>39</v>
      </c>
      <c r="U287" s="15">
        <f>Table1[[#This Row],[Profit Margin]]*Table1[[#This Row],[Order Quantity]]</f>
        <v>8102250</v>
      </c>
      <c r="V287" s="11">
        <v>0.04</v>
      </c>
      <c r="W287" s="15">
        <f t="shared" si="4"/>
        <v>324090</v>
      </c>
      <c r="X287" s="15">
        <f>Table1[[#This Row],[Sub Total]]-Table1[[#This Row],[Discount Rp]]</f>
        <v>7778160</v>
      </c>
      <c r="Y287" s="15">
        <f ca="1">OFFSET(Helper!$C$3,MATCH(Data!$N$4:$N$1003,Helper!$C$4:$C$9,0),MATCH(Data!$O$4:$O$1003,Helper!$D$3:$F$3,0))</f>
        <v>15000</v>
      </c>
      <c r="Z287" s="16">
        <f ca="1">Table1[[#This Row],[Order Total]]+Table1[[#This Row],[Shipping Cost]]</f>
        <v>7793160</v>
      </c>
    </row>
    <row r="288" spans="1:26" ht="15.75" customHeight="1" x14ac:dyDescent="0.3">
      <c r="A288" s="9" t="s">
        <v>824</v>
      </c>
      <c r="B288" s="18">
        <v>42931</v>
      </c>
      <c r="C288" s="10">
        <f>YEAR(Table1[[#This Row],[Order Date]])</f>
        <v>2017</v>
      </c>
      <c r="D288" s="10" t="s">
        <v>825</v>
      </c>
      <c r="E288" s="10" t="s">
        <v>826</v>
      </c>
      <c r="F288" s="10" t="s">
        <v>71</v>
      </c>
      <c r="G288" s="10" t="s">
        <v>87</v>
      </c>
      <c r="H288" s="10" t="s">
        <v>304</v>
      </c>
      <c r="I288" s="10" t="str">
        <f>VLOOKUP(Table1[[#This Row],[Account Manager ID]],Table2[[Employee ID]:[Full Name]],4,FALSE)</f>
        <v>Sutan Tirtayasa Wasita</v>
      </c>
      <c r="J288" s="10" t="str">
        <f>INDEX(Employee!$D$4:$D$47,MATCH($H$4:$H$1003,Employee!$A$4:$A$47,0))</f>
        <v>Sutan Tirtayasa Wasita</v>
      </c>
      <c r="K288" s="10" t="s">
        <v>74</v>
      </c>
      <c r="L288" s="10" t="s">
        <v>450</v>
      </c>
      <c r="M288" s="10" t="s">
        <v>59</v>
      </c>
      <c r="N288" s="10" t="s">
        <v>136</v>
      </c>
      <c r="O288" s="10" t="s">
        <v>61</v>
      </c>
      <c r="P288" s="10">
        <v>42933</v>
      </c>
      <c r="Q288" s="15">
        <v>21900</v>
      </c>
      <c r="R288" s="15">
        <v>53550</v>
      </c>
      <c r="S288" s="15">
        <f>Table1[[#This Row],[Retail Price]]-Table1[[#This Row],[Cost Price]]</f>
        <v>31650</v>
      </c>
      <c r="T288" s="10">
        <v>41</v>
      </c>
      <c r="U288" s="15">
        <f>Table1[[#This Row],[Profit Margin]]*Table1[[#This Row],[Order Quantity]]</f>
        <v>1297650</v>
      </c>
      <c r="V288" s="11">
        <v>0.03</v>
      </c>
      <c r="W288" s="15">
        <f t="shared" si="4"/>
        <v>38929.5</v>
      </c>
      <c r="X288" s="15">
        <f>Table1[[#This Row],[Sub Total]]-Table1[[#This Row],[Discount Rp]]</f>
        <v>1258720.5</v>
      </c>
      <c r="Y288" s="15">
        <f ca="1">OFFSET(Helper!$C$3,MATCH(Data!$N$4:$N$1003,Helper!$C$4:$C$9,0),MATCH(Data!$O$4:$O$1003,Helper!$D$3:$F$3,0))</f>
        <v>10000</v>
      </c>
      <c r="Z288" s="16">
        <f ca="1">Table1[[#This Row],[Order Total]]+Table1[[#This Row],[Shipping Cost]]</f>
        <v>1268720.5</v>
      </c>
    </row>
    <row r="289" spans="1:26" ht="15.75" customHeight="1" x14ac:dyDescent="0.3">
      <c r="A289" s="9" t="s">
        <v>827</v>
      </c>
      <c r="B289" s="18">
        <v>42932</v>
      </c>
      <c r="C289" s="10">
        <f>YEAR(Table1[[#This Row],[Order Date]])</f>
        <v>2017</v>
      </c>
      <c r="D289" s="10" t="s">
        <v>435</v>
      </c>
      <c r="E289" s="10" t="s">
        <v>828</v>
      </c>
      <c r="F289" s="10" t="s">
        <v>71</v>
      </c>
      <c r="G289" s="10" t="s">
        <v>87</v>
      </c>
      <c r="H289" s="10" t="s">
        <v>316</v>
      </c>
      <c r="I289" s="10" t="str">
        <f>VLOOKUP(Table1[[#This Row],[Account Manager ID]],Table2[[Employee ID]:[Full Name]],4,FALSE)</f>
        <v>Sari Winarno</v>
      </c>
      <c r="J289" s="10" t="str">
        <f>INDEX(Employee!$D$4:$D$47,MATCH($H$4:$H$1003,Employee!$A$4:$A$47,0))</f>
        <v>Sari Winarno</v>
      </c>
      <c r="K289" s="10" t="s">
        <v>117</v>
      </c>
      <c r="L289" s="10" t="s">
        <v>829</v>
      </c>
      <c r="M289" s="10" t="s">
        <v>59</v>
      </c>
      <c r="N289" s="10" t="s">
        <v>67</v>
      </c>
      <c r="O289" s="10" t="s">
        <v>61</v>
      </c>
      <c r="P289" s="10">
        <v>42934</v>
      </c>
      <c r="Q289" s="15">
        <v>31950</v>
      </c>
      <c r="R289" s="15">
        <v>52350</v>
      </c>
      <c r="S289" s="15">
        <f>Table1[[#This Row],[Retail Price]]-Table1[[#This Row],[Cost Price]]</f>
        <v>20400</v>
      </c>
      <c r="T289" s="10">
        <v>46</v>
      </c>
      <c r="U289" s="15">
        <f>Table1[[#This Row],[Profit Margin]]*Table1[[#This Row],[Order Quantity]]</f>
        <v>938400</v>
      </c>
      <c r="V289" s="11">
        <v>0.01</v>
      </c>
      <c r="W289" s="15">
        <f t="shared" si="4"/>
        <v>9384</v>
      </c>
      <c r="X289" s="15">
        <f>Table1[[#This Row],[Sub Total]]-Table1[[#This Row],[Discount Rp]]</f>
        <v>929016</v>
      </c>
      <c r="Y289" s="15">
        <f ca="1">OFFSET(Helper!$C$3,MATCH(Data!$N$4:$N$1003,Helper!$C$4:$C$9,0),MATCH(Data!$O$4:$O$1003,Helper!$D$3:$F$3,0))</f>
        <v>5000</v>
      </c>
      <c r="Z289" s="16">
        <f ca="1">Table1[[#This Row],[Order Total]]+Table1[[#This Row],[Shipping Cost]]</f>
        <v>934016</v>
      </c>
    </row>
    <row r="290" spans="1:26" ht="15.75" customHeight="1" x14ac:dyDescent="0.3">
      <c r="A290" s="9" t="s">
        <v>830</v>
      </c>
      <c r="B290" s="18">
        <v>42933</v>
      </c>
      <c r="C290" s="10">
        <f>YEAR(Table1[[#This Row],[Order Date]])</f>
        <v>2017</v>
      </c>
      <c r="D290" s="10" t="s">
        <v>423</v>
      </c>
      <c r="E290" s="10" t="s">
        <v>424</v>
      </c>
      <c r="F290" s="10" t="s">
        <v>54</v>
      </c>
      <c r="G290" s="10" t="s">
        <v>106</v>
      </c>
      <c r="H290" s="10" t="s">
        <v>56</v>
      </c>
      <c r="I290" s="10" t="str">
        <f>VLOOKUP(Table1[[#This Row],[Account Manager ID]],Table2[[Employee ID]:[Full Name]],4,FALSE)</f>
        <v>Gaduh Pratama</v>
      </c>
      <c r="J290" s="10" t="str">
        <f>INDEX(Employee!$D$4:$D$47,MATCH($H$4:$H$1003,Employee!$A$4:$A$47,0))</f>
        <v>Gaduh Pratama</v>
      </c>
      <c r="K290" s="10" t="s">
        <v>107</v>
      </c>
      <c r="L290" s="10" t="s">
        <v>272</v>
      </c>
      <c r="M290" s="10" t="s">
        <v>59</v>
      </c>
      <c r="N290" s="10" t="s">
        <v>60</v>
      </c>
      <c r="O290" s="10" t="s">
        <v>61</v>
      </c>
      <c r="P290" s="10">
        <v>42934</v>
      </c>
      <c r="Q290" s="15">
        <v>57600</v>
      </c>
      <c r="R290" s="15">
        <v>94500</v>
      </c>
      <c r="S290" s="15">
        <f>Table1[[#This Row],[Retail Price]]-Table1[[#This Row],[Cost Price]]</f>
        <v>36900</v>
      </c>
      <c r="T290" s="10">
        <v>18</v>
      </c>
      <c r="U290" s="15">
        <f>Table1[[#This Row],[Profit Margin]]*Table1[[#This Row],[Order Quantity]]</f>
        <v>664200</v>
      </c>
      <c r="V290" s="11">
        <v>0.1</v>
      </c>
      <c r="W290" s="15">
        <f t="shared" si="4"/>
        <v>66420</v>
      </c>
      <c r="X290" s="15">
        <f>Table1[[#This Row],[Sub Total]]-Table1[[#This Row],[Discount Rp]]</f>
        <v>597780</v>
      </c>
      <c r="Y290" s="15">
        <f ca="1">OFFSET(Helper!$C$3,MATCH(Data!$N$4:$N$1003,Helper!$C$4:$C$9,0),MATCH(Data!$O$4:$O$1003,Helper!$D$3:$F$3,0))</f>
        <v>15000</v>
      </c>
      <c r="Z290" s="16">
        <f ca="1">Table1[[#This Row],[Order Total]]+Table1[[#This Row],[Shipping Cost]]</f>
        <v>612780</v>
      </c>
    </row>
    <row r="291" spans="1:26" ht="15.75" customHeight="1" x14ac:dyDescent="0.3">
      <c r="A291" s="9" t="s">
        <v>831</v>
      </c>
      <c r="B291" s="18">
        <v>42935</v>
      </c>
      <c r="C291" s="10">
        <f>YEAR(Table1[[#This Row],[Order Date]])</f>
        <v>2017</v>
      </c>
      <c r="D291" s="10" t="s">
        <v>832</v>
      </c>
      <c r="E291" s="10" t="s">
        <v>826</v>
      </c>
      <c r="F291" s="10" t="s">
        <v>71</v>
      </c>
      <c r="G291" s="10" t="s">
        <v>72</v>
      </c>
      <c r="H291" s="10" t="s">
        <v>304</v>
      </c>
      <c r="I291" s="10" t="str">
        <f>VLOOKUP(Table1[[#This Row],[Account Manager ID]],Table2[[Employee ID]:[Full Name]],4,FALSE)</f>
        <v>Sutan Tirtayasa Wasita</v>
      </c>
      <c r="J291" s="10" t="str">
        <f>INDEX(Employee!$D$4:$D$47,MATCH($H$4:$H$1003,Employee!$A$4:$A$47,0))</f>
        <v>Sutan Tirtayasa Wasita</v>
      </c>
      <c r="K291" s="10" t="s">
        <v>92</v>
      </c>
      <c r="L291" s="10" t="s">
        <v>833</v>
      </c>
      <c r="M291" s="10" t="s">
        <v>59</v>
      </c>
      <c r="N291" s="10" t="s">
        <v>67</v>
      </c>
      <c r="O291" s="10" t="s">
        <v>61</v>
      </c>
      <c r="P291" s="10">
        <v>42940</v>
      </c>
      <c r="Q291" s="15">
        <v>15750</v>
      </c>
      <c r="R291" s="15">
        <v>29250</v>
      </c>
      <c r="S291" s="15">
        <f>Table1[[#This Row],[Retail Price]]-Table1[[#This Row],[Cost Price]]</f>
        <v>13500</v>
      </c>
      <c r="T291" s="10">
        <v>31</v>
      </c>
      <c r="U291" s="15">
        <f>Table1[[#This Row],[Profit Margin]]*Table1[[#This Row],[Order Quantity]]</f>
        <v>418500</v>
      </c>
      <c r="V291" s="11">
        <v>0.02</v>
      </c>
      <c r="W291" s="15">
        <f t="shared" si="4"/>
        <v>8370</v>
      </c>
      <c r="X291" s="15">
        <f>Table1[[#This Row],[Sub Total]]-Table1[[#This Row],[Discount Rp]]</f>
        <v>410130</v>
      </c>
      <c r="Y291" s="15">
        <f ca="1">OFFSET(Helper!$C$3,MATCH(Data!$N$4:$N$1003,Helper!$C$4:$C$9,0),MATCH(Data!$O$4:$O$1003,Helper!$D$3:$F$3,0))</f>
        <v>5000</v>
      </c>
      <c r="Z291" s="16">
        <f ca="1">Table1[[#This Row],[Order Total]]+Table1[[#This Row],[Shipping Cost]]</f>
        <v>415130</v>
      </c>
    </row>
    <row r="292" spans="1:26" ht="15.75" customHeight="1" x14ac:dyDescent="0.3">
      <c r="A292" s="9" t="s">
        <v>834</v>
      </c>
      <c r="B292" s="18">
        <v>42936</v>
      </c>
      <c r="C292" s="10">
        <f>YEAR(Table1[[#This Row],[Order Date]])</f>
        <v>2017</v>
      </c>
      <c r="D292" s="10" t="s">
        <v>835</v>
      </c>
      <c r="E292" s="10" t="s">
        <v>169</v>
      </c>
      <c r="F292" s="10" t="s">
        <v>54</v>
      </c>
      <c r="G292" s="10" t="s">
        <v>72</v>
      </c>
      <c r="H292" s="10" t="s">
        <v>65</v>
      </c>
      <c r="I292" s="10" t="str">
        <f>VLOOKUP(Table1[[#This Row],[Account Manager ID]],Table2[[Employee ID]:[Full Name]],4,FALSE)</f>
        <v>Laras Nuraini</v>
      </c>
      <c r="J292" s="10" t="str">
        <f>INDEX(Employee!$D$4:$D$47,MATCH($H$4:$H$1003,Employee!$A$4:$A$47,0))</f>
        <v>Laras Nuraini</v>
      </c>
      <c r="K292" s="10" t="s">
        <v>74</v>
      </c>
      <c r="L292" s="10" t="s">
        <v>394</v>
      </c>
      <c r="M292" s="10" t="s">
        <v>59</v>
      </c>
      <c r="N292" s="10" t="s">
        <v>67</v>
      </c>
      <c r="O292" s="10" t="s">
        <v>61</v>
      </c>
      <c r="P292" s="10">
        <v>42936</v>
      </c>
      <c r="Q292" s="15">
        <v>3600</v>
      </c>
      <c r="R292" s="15">
        <v>18900</v>
      </c>
      <c r="S292" s="15">
        <f>Table1[[#This Row],[Retail Price]]-Table1[[#This Row],[Cost Price]]</f>
        <v>15300</v>
      </c>
      <c r="T292" s="10">
        <v>35</v>
      </c>
      <c r="U292" s="15">
        <f>Table1[[#This Row],[Profit Margin]]*Table1[[#This Row],[Order Quantity]]</f>
        <v>535500</v>
      </c>
      <c r="V292" s="11">
        <v>0.09</v>
      </c>
      <c r="W292" s="15">
        <f t="shared" si="4"/>
        <v>48195</v>
      </c>
      <c r="X292" s="15">
        <f>Table1[[#This Row],[Sub Total]]-Table1[[#This Row],[Discount Rp]]</f>
        <v>487305</v>
      </c>
      <c r="Y292" s="15">
        <f ca="1">OFFSET(Helper!$C$3,MATCH(Data!$N$4:$N$1003,Helper!$C$4:$C$9,0),MATCH(Data!$O$4:$O$1003,Helper!$D$3:$F$3,0))</f>
        <v>5000</v>
      </c>
      <c r="Z292" s="16">
        <f ca="1">Table1[[#This Row],[Order Total]]+Table1[[#This Row],[Shipping Cost]]</f>
        <v>492305</v>
      </c>
    </row>
    <row r="293" spans="1:26" ht="15.75" customHeight="1" x14ac:dyDescent="0.3">
      <c r="A293" s="9" t="s">
        <v>836</v>
      </c>
      <c r="B293" s="18">
        <v>42936</v>
      </c>
      <c r="C293" s="10">
        <f>YEAR(Table1[[#This Row],[Order Date]])</f>
        <v>2017</v>
      </c>
      <c r="D293" s="10" t="s">
        <v>556</v>
      </c>
      <c r="E293" s="10" t="s">
        <v>557</v>
      </c>
      <c r="F293" s="10" t="s">
        <v>71</v>
      </c>
      <c r="G293" s="10" t="s">
        <v>55</v>
      </c>
      <c r="H293" s="10" t="s">
        <v>185</v>
      </c>
      <c r="I293" s="10" t="str">
        <f>VLOOKUP(Table1[[#This Row],[Account Manager ID]],Table2[[Employee ID]:[Full Name]],4,FALSE)</f>
        <v>Clara Prasetyo</v>
      </c>
      <c r="J293" s="10" t="str">
        <f>INDEX(Employee!$D$4:$D$47,MATCH($H$4:$H$1003,Employee!$A$4:$A$47,0))</f>
        <v>Clara Prasetyo</v>
      </c>
      <c r="K293" s="10" t="s">
        <v>107</v>
      </c>
      <c r="L293" s="10" t="s">
        <v>837</v>
      </c>
      <c r="M293" s="10" t="s">
        <v>81</v>
      </c>
      <c r="N293" s="10" t="s">
        <v>82</v>
      </c>
      <c r="O293" s="10" t="s">
        <v>83</v>
      </c>
      <c r="P293" s="10">
        <v>42936</v>
      </c>
      <c r="Q293" s="15">
        <v>4734150</v>
      </c>
      <c r="R293" s="15">
        <v>7514550</v>
      </c>
      <c r="S293" s="15">
        <f>Table1[[#This Row],[Retail Price]]-Table1[[#This Row],[Cost Price]]</f>
        <v>2780400</v>
      </c>
      <c r="T293" s="10">
        <v>31</v>
      </c>
      <c r="U293" s="15">
        <f>Table1[[#This Row],[Profit Margin]]*Table1[[#This Row],[Order Quantity]]</f>
        <v>86192400</v>
      </c>
      <c r="V293" s="11">
        <v>0.06</v>
      </c>
      <c r="W293" s="15">
        <f t="shared" si="4"/>
        <v>5171544</v>
      </c>
      <c r="X293" s="15">
        <f>Table1[[#This Row],[Sub Total]]-Table1[[#This Row],[Discount Rp]]</f>
        <v>81020856</v>
      </c>
      <c r="Y293" s="15">
        <f ca="1">OFFSET(Helper!$C$3,MATCH(Data!$N$4:$N$1003,Helper!$C$4:$C$9,0),MATCH(Data!$O$4:$O$1003,Helper!$D$3:$F$3,0))</f>
        <v>500000</v>
      </c>
      <c r="Z293" s="16">
        <f ca="1">Table1[[#This Row],[Order Total]]+Table1[[#This Row],[Shipping Cost]]</f>
        <v>81520856</v>
      </c>
    </row>
    <row r="294" spans="1:26" ht="15.75" customHeight="1" x14ac:dyDescent="0.3">
      <c r="A294" s="9" t="s">
        <v>838</v>
      </c>
      <c r="B294" s="18">
        <v>42936</v>
      </c>
      <c r="C294" s="10">
        <f>YEAR(Table1[[#This Row],[Order Date]])</f>
        <v>2017</v>
      </c>
      <c r="D294" s="10" t="s">
        <v>839</v>
      </c>
      <c r="E294" s="10" t="s">
        <v>539</v>
      </c>
      <c r="F294" s="10" t="s">
        <v>71</v>
      </c>
      <c r="G294" s="10" t="s">
        <v>72</v>
      </c>
      <c r="H294" s="10" t="s">
        <v>146</v>
      </c>
      <c r="I294" s="10" t="str">
        <f>VLOOKUP(Table1[[#This Row],[Account Manager ID]],Table2[[Employee ID]:[Full Name]],4,FALSE)</f>
        <v>Kenari Rajasa</v>
      </c>
      <c r="J294" s="10" t="str">
        <f>INDEX(Employee!$D$4:$D$47,MATCH($H$4:$H$1003,Employee!$A$4:$A$47,0))</f>
        <v>Kenari Rajasa</v>
      </c>
      <c r="K294" s="10" t="s">
        <v>117</v>
      </c>
      <c r="L294" s="10" t="s">
        <v>751</v>
      </c>
      <c r="M294" s="10" t="s">
        <v>81</v>
      </c>
      <c r="N294" s="10" t="s">
        <v>459</v>
      </c>
      <c r="O294" s="10" t="s">
        <v>61</v>
      </c>
      <c r="P294" s="10">
        <v>42938</v>
      </c>
      <c r="Q294" s="15">
        <v>5669850</v>
      </c>
      <c r="R294" s="15">
        <v>8999850</v>
      </c>
      <c r="S294" s="15">
        <f>Table1[[#This Row],[Retail Price]]-Table1[[#This Row],[Cost Price]]</f>
        <v>3330000</v>
      </c>
      <c r="T294" s="10">
        <v>30</v>
      </c>
      <c r="U294" s="15">
        <f>Table1[[#This Row],[Profit Margin]]*Table1[[#This Row],[Order Quantity]]</f>
        <v>99900000</v>
      </c>
      <c r="V294" s="11">
        <v>0.09</v>
      </c>
      <c r="W294" s="15">
        <f t="shared" si="4"/>
        <v>8991000</v>
      </c>
      <c r="X294" s="15">
        <f>Table1[[#This Row],[Sub Total]]-Table1[[#This Row],[Discount Rp]]</f>
        <v>90909000</v>
      </c>
      <c r="Y294" s="15">
        <f ca="1">OFFSET(Helper!$C$3,MATCH(Data!$N$4:$N$1003,Helper!$C$4:$C$9,0),MATCH(Data!$O$4:$O$1003,Helper!$D$3:$F$3,0))</f>
        <v>50000</v>
      </c>
      <c r="Z294" s="16">
        <f ca="1">Table1[[#This Row],[Order Total]]+Table1[[#This Row],[Shipping Cost]]</f>
        <v>90959000</v>
      </c>
    </row>
    <row r="295" spans="1:26" ht="15.75" customHeight="1" x14ac:dyDescent="0.3">
      <c r="A295" s="9" t="s">
        <v>840</v>
      </c>
      <c r="B295" s="18">
        <v>42940</v>
      </c>
      <c r="C295" s="10">
        <f>YEAR(Table1[[#This Row],[Order Date]])</f>
        <v>2017</v>
      </c>
      <c r="D295" s="10" t="s">
        <v>841</v>
      </c>
      <c r="E295" s="10" t="s">
        <v>275</v>
      </c>
      <c r="F295" s="10" t="s">
        <v>71</v>
      </c>
      <c r="G295" s="10" t="s">
        <v>106</v>
      </c>
      <c r="H295" s="10" t="s">
        <v>146</v>
      </c>
      <c r="I295" s="10" t="str">
        <f>VLOOKUP(Table1[[#This Row],[Account Manager ID]],Table2[[Employee ID]:[Full Name]],4,FALSE)</f>
        <v>Kenari Rajasa</v>
      </c>
      <c r="J295" s="10" t="str">
        <f>INDEX(Employee!$D$4:$D$47,MATCH($H$4:$H$1003,Employee!$A$4:$A$47,0))</f>
        <v>Kenari Rajasa</v>
      </c>
      <c r="K295" s="10" t="s">
        <v>117</v>
      </c>
      <c r="L295" s="10" t="s">
        <v>93</v>
      </c>
      <c r="M295" s="10" t="s">
        <v>59</v>
      </c>
      <c r="N295" s="10" t="s">
        <v>67</v>
      </c>
      <c r="O295" s="10" t="s">
        <v>61</v>
      </c>
      <c r="P295" s="10">
        <v>42941</v>
      </c>
      <c r="Q295" s="15">
        <v>16350.000000000002</v>
      </c>
      <c r="R295" s="15">
        <v>39000</v>
      </c>
      <c r="S295" s="15">
        <f>Table1[[#This Row],[Retail Price]]-Table1[[#This Row],[Cost Price]]</f>
        <v>22650</v>
      </c>
      <c r="T295" s="10">
        <v>2</v>
      </c>
      <c r="U295" s="15">
        <f>Table1[[#This Row],[Profit Margin]]*Table1[[#This Row],[Order Quantity]]</f>
        <v>45300</v>
      </c>
      <c r="V295" s="11">
        <v>0.03</v>
      </c>
      <c r="W295" s="15">
        <f t="shared" si="4"/>
        <v>1359</v>
      </c>
      <c r="X295" s="15">
        <f>Table1[[#This Row],[Sub Total]]-Table1[[#This Row],[Discount Rp]]</f>
        <v>43941</v>
      </c>
      <c r="Y295" s="15">
        <f ca="1">OFFSET(Helper!$C$3,MATCH(Data!$N$4:$N$1003,Helper!$C$4:$C$9,0),MATCH(Data!$O$4:$O$1003,Helper!$D$3:$F$3,0))</f>
        <v>5000</v>
      </c>
      <c r="Z295" s="16">
        <f ca="1">Table1[[#This Row],[Order Total]]+Table1[[#This Row],[Shipping Cost]]</f>
        <v>48941</v>
      </c>
    </row>
    <row r="296" spans="1:26" ht="15.75" customHeight="1" x14ac:dyDescent="0.3">
      <c r="A296" s="9" t="s">
        <v>842</v>
      </c>
      <c r="B296" s="18">
        <v>42944</v>
      </c>
      <c r="C296" s="10">
        <f>YEAR(Table1[[#This Row],[Order Date]])</f>
        <v>2017</v>
      </c>
      <c r="D296" s="10" t="s">
        <v>843</v>
      </c>
      <c r="E296" s="10" t="s">
        <v>125</v>
      </c>
      <c r="F296" s="10" t="s">
        <v>71</v>
      </c>
      <c r="G296" s="10" t="s">
        <v>72</v>
      </c>
      <c r="H296" s="10" t="s">
        <v>97</v>
      </c>
      <c r="I296" s="10" t="str">
        <f>VLOOKUP(Table1[[#This Row],[Account Manager ID]],Table2[[Employee ID]:[Full Name]],4,FALSE)</f>
        <v>Violet Mentari</v>
      </c>
      <c r="J296" s="10" t="str">
        <f>INDEX(Employee!$D$4:$D$47,MATCH($H$4:$H$1003,Employee!$A$4:$A$47,0))</f>
        <v>Violet Mentari</v>
      </c>
      <c r="K296" s="10" t="s">
        <v>57</v>
      </c>
      <c r="L296" s="10" t="s">
        <v>410</v>
      </c>
      <c r="M296" s="10" t="s">
        <v>81</v>
      </c>
      <c r="N296" s="10" t="s">
        <v>60</v>
      </c>
      <c r="O296" s="10" t="s">
        <v>61</v>
      </c>
      <c r="P296" s="10">
        <v>42945</v>
      </c>
      <c r="Q296" s="15">
        <v>97650</v>
      </c>
      <c r="R296" s="15">
        <v>464700</v>
      </c>
      <c r="S296" s="15">
        <f>Table1[[#This Row],[Retail Price]]-Table1[[#This Row],[Cost Price]]</f>
        <v>367050</v>
      </c>
      <c r="T296" s="10">
        <v>36</v>
      </c>
      <c r="U296" s="15">
        <f>Table1[[#This Row],[Profit Margin]]*Table1[[#This Row],[Order Quantity]]</f>
        <v>13213800</v>
      </c>
      <c r="V296" s="11">
        <v>0</v>
      </c>
      <c r="W296" s="15">
        <f t="shared" si="4"/>
        <v>0</v>
      </c>
      <c r="X296" s="15">
        <f>Table1[[#This Row],[Sub Total]]-Table1[[#This Row],[Discount Rp]]</f>
        <v>13213800</v>
      </c>
      <c r="Y296" s="15">
        <f ca="1">OFFSET(Helper!$C$3,MATCH(Data!$N$4:$N$1003,Helper!$C$4:$C$9,0),MATCH(Data!$O$4:$O$1003,Helper!$D$3:$F$3,0))</f>
        <v>15000</v>
      </c>
      <c r="Z296" s="16">
        <f ca="1">Table1[[#This Row],[Order Total]]+Table1[[#This Row],[Shipping Cost]]</f>
        <v>13228800</v>
      </c>
    </row>
    <row r="297" spans="1:26" ht="15.75" customHeight="1" x14ac:dyDescent="0.3">
      <c r="A297" s="9" t="s">
        <v>844</v>
      </c>
      <c r="B297" s="18">
        <v>42946</v>
      </c>
      <c r="C297" s="10">
        <f>YEAR(Table1[[#This Row],[Order Date]])</f>
        <v>2017</v>
      </c>
      <c r="D297" s="10" t="s">
        <v>845</v>
      </c>
      <c r="E297" s="10" t="s">
        <v>189</v>
      </c>
      <c r="F297" s="10" t="s">
        <v>54</v>
      </c>
      <c r="G297" s="10" t="s">
        <v>87</v>
      </c>
      <c r="H297" s="10" t="s">
        <v>56</v>
      </c>
      <c r="I297" s="10" t="str">
        <f>VLOOKUP(Table1[[#This Row],[Account Manager ID]],Table2[[Employee ID]:[Full Name]],4,FALSE)</f>
        <v>Gaduh Pratama</v>
      </c>
      <c r="J297" s="10" t="str">
        <f>INDEX(Employee!$D$4:$D$47,MATCH($H$4:$H$1003,Employee!$A$4:$A$47,0))</f>
        <v>Gaduh Pratama</v>
      </c>
      <c r="K297" s="10" t="s">
        <v>57</v>
      </c>
      <c r="L297" s="10" t="s">
        <v>142</v>
      </c>
      <c r="M297" s="10" t="s">
        <v>59</v>
      </c>
      <c r="N297" s="10" t="s">
        <v>60</v>
      </c>
      <c r="O297" s="10" t="s">
        <v>61</v>
      </c>
      <c r="P297" s="10">
        <v>42948</v>
      </c>
      <c r="Q297" s="15">
        <v>68850</v>
      </c>
      <c r="R297" s="15">
        <v>109200</v>
      </c>
      <c r="S297" s="15">
        <f>Table1[[#This Row],[Retail Price]]-Table1[[#This Row],[Cost Price]]</f>
        <v>40350</v>
      </c>
      <c r="T297" s="10">
        <v>11</v>
      </c>
      <c r="U297" s="15">
        <f>Table1[[#This Row],[Profit Margin]]*Table1[[#This Row],[Order Quantity]]</f>
        <v>443850</v>
      </c>
      <c r="V297" s="11">
        <v>7.0000000000000007E-2</v>
      </c>
      <c r="W297" s="15">
        <f t="shared" si="4"/>
        <v>31069.500000000004</v>
      </c>
      <c r="X297" s="15">
        <f>Table1[[#This Row],[Sub Total]]-Table1[[#This Row],[Discount Rp]]</f>
        <v>412780.5</v>
      </c>
      <c r="Y297" s="15">
        <f ca="1">OFFSET(Helper!$C$3,MATCH(Data!$N$4:$N$1003,Helper!$C$4:$C$9,0),MATCH(Data!$O$4:$O$1003,Helper!$D$3:$F$3,0))</f>
        <v>15000</v>
      </c>
      <c r="Z297" s="16">
        <f ca="1">Table1[[#This Row],[Order Total]]+Table1[[#This Row],[Shipping Cost]]</f>
        <v>427780.5</v>
      </c>
    </row>
    <row r="298" spans="1:26" ht="15.75" customHeight="1" x14ac:dyDescent="0.3">
      <c r="A298" s="9" t="s">
        <v>846</v>
      </c>
      <c r="B298" s="18">
        <v>42946</v>
      </c>
      <c r="C298" s="10">
        <f>YEAR(Table1[[#This Row],[Order Date]])</f>
        <v>2017</v>
      </c>
      <c r="D298" s="10" t="s">
        <v>847</v>
      </c>
      <c r="E298" s="10" t="s">
        <v>750</v>
      </c>
      <c r="F298" s="10" t="s">
        <v>54</v>
      </c>
      <c r="G298" s="10" t="s">
        <v>55</v>
      </c>
      <c r="H298" s="10" t="s">
        <v>56</v>
      </c>
      <c r="I298" s="10" t="str">
        <f>VLOOKUP(Table1[[#This Row],[Account Manager ID]],Table2[[Employee ID]:[Full Name]],4,FALSE)</f>
        <v>Gaduh Pratama</v>
      </c>
      <c r="J298" s="10" t="str">
        <f>INDEX(Employee!$D$4:$D$47,MATCH($H$4:$H$1003,Employee!$A$4:$A$47,0))</f>
        <v>Gaduh Pratama</v>
      </c>
      <c r="K298" s="10" t="s">
        <v>117</v>
      </c>
      <c r="L298" s="10" t="s">
        <v>775</v>
      </c>
      <c r="M298" s="10" t="s">
        <v>59</v>
      </c>
      <c r="N298" s="10" t="s">
        <v>136</v>
      </c>
      <c r="O298" s="10" t="s">
        <v>61</v>
      </c>
      <c r="P298" s="10">
        <v>42947</v>
      </c>
      <c r="Q298" s="15">
        <v>62850.000000000007</v>
      </c>
      <c r="R298" s="15">
        <v>153450</v>
      </c>
      <c r="S298" s="15">
        <f>Table1[[#This Row],[Retail Price]]-Table1[[#This Row],[Cost Price]]</f>
        <v>90600</v>
      </c>
      <c r="T298" s="10">
        <v>22</v>
      </c>
      <c r="U298" s="15">
        <f>Table1[[#This Row],[Profit Margin]]*Table1[[#This Row],[Order Quantity]]</f>
        <v>1993200</v>
      </c>
      <c r="V298" s="11">
        <v>7.0000000000000007E-2</v>
      </c>
      <c r="W298" s="15">
        <f t="shared" si="4"/>
        <v>139524</v>
      </c>
      <c r="X298" s="15">
        <f>Table1[[#This Row],[Sub Total]]-Table1[[#This Row],[Discount Rp]]</f>
        <v>1853676</v>
      </c>
      <c r="Y298" s="15">
        <f ca="1">OFFSET(Helper!$C$3,MATCH(Data!$N$4:$N$1003,Helper!$C$4:$C$9,0),MATCH(Data!$O$4:$O$1003,Helper!$D$3:$F$3,0))</f>
        <v>10000</v>
      </c>
      <c r="Z298" s="16">
        <f ca="1">Table1[[#This Row],[Order Total]]+Table1[[#This Row],[Shipping Cost]]</f>
        <v>1863676</v>
      </c>
    </row>
    <row r="299" spans="1:26" ht="15.75" customHeight="1" x14ac:dyDescent="0.3">
      <c r="A299" s="9" t="s">
        <v>848</v>
      </c>
      <c r="B299" s="18">
        <v>42946</v>
      </c>
      <c r="C299" s="10">
        <f>YEAR(Table1[[#This Row],[Order Date]])</f>
        <v>2017</v>
      </c>
      <c r="D299" s="10" t="s">
        <v>849</v>
      </c>
      <c r="E299" s="10" t="s">
        <v>850</v>
      </c>
      <c r="F299" s="10" t="s">
        <v>71</v>
      </c>
      <c r="G299" s="10" t="s">
        <v>106</v>
      </c>
      <c r="H299" s="10" t="s">
        <v>134</v>
      </c>
      <c r="I299" s="10" t="str">
        <f>VLOOKUP(Table1[[#This Row],[Account Manager ID]],Table2[[Employee ID]:[Full Name]],4,FALSE)</f>
        <v>Darmanto Laksita</v>
      </c>
      <c r="J299" s="10" t="str">
        <f>INDEX(Employee!$D$4:$D$47,MATCH($H$4:$H$1003,Employee!$A$4:$A$47,0))</f>
        <v>Darmanto Laksita</v>
      </c>
      <c r="K299" s="10" t="s">
        <v>74</v>
      </c>
      <c r="L299" s="10" t="s">
        <v>135</v>
      </c>
      <c r="M299" s="10" t="s">
        <v>59</v>
      </c>
      <c r="N299" s="10" t="s">
        <v>136</v>
      </c>
      <c r="O299" s="10" t="s">
        <v>76</v>
      </c>
      <c r="P299" s="10">
        <v>42947</v>
      </c>
      <c r="Q299" s="15">
        <v>51300</v>
      </c>
      <c r="R299" s="15">
        <v>125100</v>
      </c>
      <c r="S299" s="15">
        <f>Table1[[#This Row],[Retail Price]]-Table1[[#This Row],[Cost Price]]</f>
        <v>73800</v>
      </c>
      <c r="T299" s="10">
        <v>16</v>
      </c>
      <c r="U299" s="15">
        <f>Table1[[#This Row],[Profit Margin]]*Table1[[#This Row],[Order Quantity]]</f>
        <v>1180800</v>
      </c>
      <c r="V299" s="11">
        <v>0.04</v>
      </c>
      <c r="W299" s="15">
        <f t="shared" si="4"/>
        <v>47232</v>
      </c>
      <c r="X299" s="15">
        <f>Table1[[#This Row],[Sub Total]]-Table1[[#This Row],[Discount Rp]]</f>
        <v>1133568</v>
      </c>
      <c r="Y299" s="15">
        <f ca="1">OFFSET(Helper!$C$3,MATCH(Data!$N$4:$N$1003,Helper!$C$4:$C$9,0),MATCH(Data!$O$4:$O$1003,Helper!$D$3:$F$3,0))</f>
        <v>20000</v>
      </c>
      <c r="Z299" s="16">
        <f ca="1">Table1[[#This Row],[Order Total]]+Table1[[#This Row],[Shipping Cost]]</f>
        <v>1153568</v>
      </c>
    </row>
    <row r="300" spans="1:26" ht="15.75" customHeight="1" x14ac:dyDescent="0.3">
      <c r="A300" s="9" t="s">
        <v>851</v>
      </c>
      <c r="B300" s="18">
        <v>42961</v>
      </c>
      <c r="C300" s="10">
        <f>YEAR(Table1[[#This Row],[Order Date]])</f>
        <v>2017</v>
      </c>
      <c r="D300" s="10" t="s">
        <v>852</v>
      </c>
      <c r="E300" s="10" t="s">
        <v>853</v>
      </c>
      <c r="F300" s="10" t="s">
        <v>71</v>
      </c>
      <c r="G300" s="10" t="s">
        <v>87</v>
      </c>
      <c r="H300" s="10" t="s">
        <v>185</v>
      </c>
      <c r="I300" s="10" t="str">
        <f>VLOOKUP(Table1[[#This Row],[Account Manager ID]],Table2[[Employee ID]:[Full Name]],4,FALSE)</f>
        <v>Clara Prasetyo</v>
      </c>
      <c r="J300" s="10" t="str">
        <f>INDEX(Employee!$D$4:$D$47,MATCH($H$4:$H$1003,Employee!$A$4:$A$47,0))</f>
        <v>Clara Prasetyo</v>
      </c>
      <c r="K300" s="10" t="s">
        <v>92</v>
      </c>
      <c r="L300" s="10" t="s">
        <v>854</v>
      </c>
      <c r="M300" s="10" t="s">
        <v>59</v>
      </c>
      <c r="N300" s="10" t="s">
        <v>60</v>
      </c>
      <c r="O300" s="10" t="s">
        <v>61</v>
      </c>
      <c r="P300" s="10">
        <v>42963</v>
      </c>
      <c r="Q300" s="15">
        <v>1263300</v>
      </c>
      <c r="R300" s="15">
        <v>3158250</v>
      </c>
      <c r="S300" s="15">
        <f>Table1[[#This Row],[Retail Price]]-Table1[[#This Row],[Cost Price]]</f>
        <v>1894950</v>
      </c>
      <c r="T300" s="10">
        <v>32</v>
      </c>
      <c r="U300" s="15">
        <f>Table1[[#This Row],[Profit Margin]]*Table1[[#This Row],[Order Quantity]]</f>
        <v>60638400</v>
      </c>
      <c r="V300" s="11">
        <v>0.1</v>
      </c>
      <c r="W300" s="15">
        <f t="shared" si="4"/>
        <v>6063840</v>
      </c>
      <c r="X300" s="15">
        <f>Table1[[#This Row],[Sub Total]]-Table1[[#This Row],[Discount Rp]]</f>
        <v>54574560</v>
      </c>
      <c r="Y300" s="15">
        <f ca="1">OFFSET(Helper!$C$3,MATCH(Data!$N$4:$N$1003,Helper!$C$4:$C$9,0),MATCH(Data!$O$4:$O$1003,Helper!$D$3:$F$3,0))</f>
        <v>15000</v>
      </c>
      <c r="Z300" s="16">
        <f ca="1">Table1[[#This Row],[Order Total]]+Table1[[#This Row],[Shipping Cost]]</f>
        <v>54589560</v>
      </c>
    </row>
    <row r="301" spans="1:26" ht="15.75" customHeight="1" x14ac:dyDescent="0.3">
      <c r="A301" s="9" t="s">
        <v>855</v>
      </c>
      <c r="B301" s="18">
        <v>42961</v>
      </c>
      <c r="C301" s="10">
        <f>YEAR(Table1[[#This Row],[Order Date]])</f>
        <v>2017</v>
      </c>
      <c r="D301" s="10" t="s">
        <v>856</v>
      </c>
      <c r="E301" s="10" t="s">
        <v>323</v>
      </c>
      <c r="F301" s="10" t="s">
        <v>71</v>
      </c>
      <c r="G301" s="10" t="s">
        <v>72</v>
      </c>
      <c r="H301" s="10" t="s">
        <v>194</v>
      </c>
      <c r="I301" s="10" t="str">
        <f>VLOOKUP(Table1[[#This Row],[Account Manager ID]],Table2[[Employee ID]:[Full Name]],4,FALSE)</f>
        <v>Nabila Prakasa</v>
      </c>
      <c r="J301" s="10" t="str">
        <f>INDEX(Employee!$D$4:$D$47,MATCH($H$4:$H$1003,Employee!$A$4:$A$47,0))</f>
        <v>Nabila Prakasa</v>
      </c>
      <c r="K301" s="10" t="s">
        <v>107</v>
      </c>
      <c r="L301" s="10" t="s">
        <v>823</v>
      </c>
      <c r="M301" s="10" t="s">
        <v>59</v>
      </c>
      <c r="N301" s="10" t="s">
        <v>60</v>
      </c>
      <c r="O301" s="10" t="s">
        <v>76</v>
      </c>
      <c r="P301" s="10">
        <v>42962</v>
      </c>
      <c r="Q301" s="15">
        <v>106950</v>
      </c>
      <c r="R301" s="15">
        <v>314700</v>
      </c>
      <c r="S301" s="15">
        <f>Table1[[#This Row],[Retail Price]]-Table1[[#This Row],[Cost Price]]</f>
        <v>207750</v>
      </c>
      <c r="T301" s="10">
        <v>14</v>
      </c>
      <c r="U301" s="15">
        <f>Table1[[#This Row],[Profit Margin]]*Table1[[#This Row],[Order Quantity]]</f>
        <v>2908500</v>
      </c>
      <c r="V301" s="11">
        <v>0.1</v>
      </c>
      <c r="W301" s="15">
        <f t="shared" si="4"/>
        <v>290850</v>
      </c>
      <c r="X301" s="15">
        <f>Table1[[#This Row],[Sub Total]]-Table1[[#This Row],[Discount Rp]]</f>
        <v>2617650</v>
      </c>
      <c r="Y301" s="15">
        <f ca="1">OFFSET(Helper!$C$3,MATCH(Data!$N$4:$N$1003,Helper!$C$4:$C$9,0),MATCH(Data!$O$4:$O$1003,Helper!$D$3:$F$3,0))</f>
        <v>30000</v>
      </c>
      <c r="Z301" s="16">
        <f ca="1">Table1[[#This Row],[Order Total]]+Table1[[#This Row],[Shipping Cost]]</f>
        <v>2647650</v>
      </c>
    </row>
    <row r="302" spans="1:26" ht="15.75" customHeight="1" x14ac:dyDescent="0.3">
      <c r="A302" s="9" t="s">
        <v>857</v>
      </c>
      <c r="B302" s="18">
        <v>42961</v>
      </c>
      <c r="C302" s="10">
        <f>YEAR(Table1[[#This Row],[Order Date]])</f>
        <v>2017</v>
      </c>
      <c r="D302" s="10" t="s">
        <v>858</v>
      </c>
      <c r="E302" s="10" t="s">
        <v>245</v>
      </c>
      <c r="F302" s="10" t="s">
        <v>71</v>
      </c>
      <c r="G302" s="10" t="s">
        <v>55</v>
      </c>
      <c r="H302" s="10" t="s">
        <v>146</v>
      </c>
      <c r="I302" s="10" t="str">
        <f>VLOOKUP(Table1[[#This Row],[Account Manager ID]],Table2[[Employee ID]:[Full Name]],4,FALSE)</f>
        <v>Kenari Rajasa</v>
      </c>
      <c r="J302" s="10" t="str">
        <f>INDEX(Employee!$D$4:$D$47,MATCH($H$4:$H$1003,Employee!$A$4:$A$47,0))</f>
        <v>Kenari Rajasa</v>
      </c>
      <c r="K302" s="10" t="s">
        <v>74</v>
      </c>
      <c r="L302" s="10" t="s">
        <v>280</v>
      </c>
      <c r="M302" s="10" t="s">
        <v>59</v>
      </c>
      <c r="N302" s="10" t="s">
        <v>67</v>
      </c>
      <c r="O302" s="10" t="s">
        <v>61</v>
      </c>
      <c r="P302" s="10">
        <v>42962</v>
      </c>
      <c r="Q302" s="15">
        <v>34350</v>
      </c>
      <c r="R302" s="15">
        <v>53700</v>
      </c>
      <c r="S302" s="15">
        <f>Table1[[#This Row],[Retail Price]]-Table1[[#This Row],[Cost Price]]</f>
        <v>19350</v>
      </c>
      <c r="T302" s="10">
        <v>15</v>
      </c>
      <c r="U302" s="15">
        <f>Table1[[#This Row],[Profit Margin]]*Table1[[#This Row],[Order Quantity]]</f>
        <v>290250</v>
      </c>
      <c r="V302" s="11">
        <v>0.05</v>
      </c>
      <c r="W302" s="15">
        <f t="shared" si="4"/>
        <v>14512.5</v>
      </c>
      <c r="X302" s="15">
        <f>Table1[[#This Row],[Sub Total]]-Table1[[#This Row],[Discount Rp]]</f>
        <v>275737.5</v>
      </c>
      <c r="Y302" s="15">
        <f ca="1">OFFSET(Helper!$C$3,MATCH(Data!$N$4:$N$1003,Helper!$C$4:$C$9,0),MATCH(Data!$O$4:$O$1003,Helper!$D$3:$F$3,0))</f>
        <v>5000</v>
      </c>
      <c r="Z302" s="16">
        <f ca="1">Table1[[#This Row],[Order Total]]+Table1[[#This Row],[Shipping Cost]]</f>
        <v>280737.5</v>
      </c>
    </row>
    <row r="303" spans="1:26" ht="15.75" customHeight="1" x14ac:dyDescent="0.3">
      <c r="A303" s="9" t="s">
        <v>859</v>
      </c>
      <c r="B303" s="18">
        <v>42962</v>
      </c>
      <c r="C303" s="10">
        <f>YEAR(Table1[[#This Row],[Order Date]])</f>
        <v>2017</v>
      </c>
      <c r="D303" s="10" t="s">
        <v>467</v>
      </c>
      <c r="E303" s="10" t="s">
        <v>424</v>
      </c>
      <c r="F303" s="10" t="s">
        <v>54</v>
      </c>
      <c r="G303" s="10" t="s">
        <v>55</v>
      </c>
      <c r="H303" s="10" t="s">
        <v>56</v>
      </c>
      <c r="I303" s="10" t="str">
        <f>VLOOKUP(Table1[[#This Row],[Account Manager ID]],Table2[[Employee ID]:[Full Name]],4,FALSE)</f>
        <v>Gaduh Pratama</v>
      </c>
      <c r="J303" s="10" t="str">
        <f>INDEX(Employee!$D$4:$D$47,MATCH($H$4:$H$1003,Employee!$A$4:$A$47,0))</f>
        <v>Gaduh Pratama</v>
      </c>
      <c r="K303" s="10" t="s">
        <v>92</v>
      </c>
      <c r="L303" s="10" t="s">
        <v>390</v>
      </c>
      <c r="M303" s="10" t="s">
        <v>59</v>
      </c>
      <c r="N303" s="10" t="s">
        <v>67</v>
      </c>
      <c r="O303" s="10" t="s">
        <v>61</v>
      </c>
      <c r="P303" s="10">
        <v>42966</v>
      </c>
      <c r="Q303" s="15">
        <v>19650</v>
      </c>
      <c r="R303" s="15">
        <v>42600</v>
      </c>
      <c r="S303" s="15">
        <f>Table1[[#This Row],[Retail Price]]-Table1[[#This Row],[Cost Price]]</f>
        <v>22950</v>
      </c>
      <c r="T303" s="10">
        <v>48</v>
      </c>
      <c r="U303" s="15">
        <f>Table1[[#This Row],[Profit Margin]]*Table1[[#This Row],[Order Quantity]]</f>
        <v>1101600</v>
      </c>
      <c r="V303" s="11">
        <v>0.1</v>
      </c>
      <c r="W303" s="15">
        <f t="shared" si="4"/>
        <v>110160</v>
      </c>
      <c r="X303" s="15">
        <f>Table1[[#This Row],[Sub Total]]-Table1[[#This Row],[Discount Rp]]</f>
        <v>991440</v>
      </c>
      <c r="Y303" s="15">
        <f ca="1">OFFSET(Helper!$C$3,MATCH(Data!$N$4:$N$1003,Helper!$C$4:$C$9,0),MATCH(Data!$O$4:$O$1003,Helper!$D$3:$F$3,0))</f>
        <v>5000</v>
      </c>
      <c r="Z303" s="16">
        <f ca="1">Table1[[#This Row],[Order Total]]+Table1[[#This Row],[Shipping Cost]]</f>
        <v>996440</v>
      </c>
    </row>
    <row r="304" spans="1:26" ht="15.75" customHeight="1" x14ac:dyDescent="0.3">
      <c r="A304" s="9" t="s">
        <v>860</v>
      </c>
      <c r="B304" s="18">
        <v>42965</v>
      </c>
      <c r="C304" s="10">
        <f>YEAR(Table1[[#This Row],[Order Date]])</f>
        <v>2017</v>
      </c>
      <c r="D304" s="10" t="s">
        <v>861</v>
      </c>
      <c r="E304" s="10" t="s">
        <v>370</v>
      </c>
      <c r="F304" s="10" t="s">
        <v>71</v>
      </c>
      <c r="G304" s="10" t="s">
        <v>55</v>
      </c>
      <c r="H304" s="10" t="s">
        <v>146</v>
      </c>
      <c r="I304" s="10" t="str">
        <f>VLOOKUP(Table1[[#This Row],[Account Manager ID]],Table2[[Employee ID]:[Full Name]],4,FALSE)</f>
        <v>Kenari Rajasa</v>
      </c>
      <c r="J304" s="10" t="str">
        <f>INDEX(Employee!$D$4:$D$47,MATCH($H$4:$H$1003,Employee!$A$4:$A$47,0))</f>
        <v>Kenari Rajasa</v>
      </c>
      <c r="K304" s="10" t="s">
        <v>107</v>
      </c>
      <c r="L304" s="10" t="s">
        <v>446</v>
      </c>
      <c r="M304" s="10" t="s">
        <v>59</v>
      </c>
      <c r="N304" s="10" t="s">
        <v>60</v>
      </c>
      <c r="O304" s="10" t="s">
        <v>61</v>
      </c>
      <c r="P304" s="10">
        <v>42967</v>
      </c>
      <c r="Q304" s="15">
        <v>33900</v>
      </c>
      <c r="R304" s="15">
        <v>53700</v>
      </c>
      <c r="S304" s="15">
        <f>Table1[[#This Row],[Retail Price]]-Table1[[#This Row],[Cost Price]]</f>
        <v>19800</v>
      </c>
      <c r="T304" s="10">
        <v>25</v>
      </c>
      <c r="U304" s="15">
        <f>Table1[[#This Row],[Profit Margin]]*Table1[[#This Row],[Order Quantity]]</f>
        <v>495000</v>
      </c>
      <c r="V304" s="11">
        <v>0</v>
      </c>
      <c r="W304" s="15">
        <f t="shared" si="4"/>
        <v>0</v>
      </c>
      <c r="X304" s="15">
        <f>Table1[[#This Row],[Sub Total]]-Table1[[#This Row],[Discount Rp]]</f>
        <v>495000</v>
      </c>
      <c r="Y304" s="15">
        <f ca="1">OFFSET(Helper!$C$3,MATCH(Data!$N$4:$N$1003,Helper!$C$4:$C$9,0),MATCH(Data!$O$4:$O$1003,Helper!$D$3:$F$3,0))</f>
        <v>15000</v>
      </c>
      <c r="Z304" s="16">
        <f ca="1">Table1[[#This Row],[Order Total]]+Table1[[#This Row],[Shipping Cost]]</f>
        <v>510000</v>
      </c>
    </row>
    <row r="305" spans="1:26" ht="15.75" customHeight="1" x14ac:dyDescent="0.3">
      <c r="A305" s="9" t="s">
        <v>862</v>
      </c>
      <c r="B305" s="18">
        <v>42965</v>
      </c>
      <c r="C305" s="10">
        <f>YEAR(Table1[[#This Row],[Order Date]])</f>
        <v>2017</v>
      </c>
      <c r="D305" s="10" t="s">
        <v>861</v>
      </c>
      <c r="E305" s="10" t="s">
        <v>370</v>
      </c>
      <c r="F305" s="10" t="s">
        <v>71</v>
      </c>
      <c r="G305" s="10" t="s">
        <v>55</v>
      </c>
      <c r="H305" s="10" t="s">
        <v>146</v>
      </c>
      <c r="I305" s="10" t="str">
        <f>VLOOKUP(Table1[[#This Row],[Account Manager ID]],Table2[[Employee ID]:[Full Name]],4,FALSE)</f>
        <v>Kenari Rajasa</v>
      </c>
      <c r="J305" s="10" t="str">
        <f>INDEX(Employee!$D$4:$D$47,MATCH($H$4:$H$1003,Employee!$A$4:$A$47,0))</f>
        <v>Kenari Rajasa</v>
      </c>
      <c r="K305" s="10" t="s">
        <v>107</v>
      </c>
      <c r="L305" s="10" t="s">
        <v>863</v>
      </c>
      <c r="M305" s="10" t="s">
        <v>59</v>
      </c>
      <c r="N305" s="10" t="s">
        <v>67</v>
      </c>
      <c r="O305" s="10" t="s">
        <v>61</v>
      </c>
      <c r="P305" s="10">
        <v>42967</v>
      </c>
      <c r="Q305" s="15">
        <v>13050</v>
      </c>
      <c r="R305" s="15">
        <v>27150</v>
      </c>
      <c r="S305" s="15">
        <f>Table1[[#This Row],[Retail Price]]-Table1[[#This Row],[Cost Price]]</f>
        <v>14100</v>
      </c>
      <c r="T305" s="10">
        <v>45</v>
      </c>
      <c r="U305" s="15">
        <f>Table1[[#This Row],[Profit Margin]]*Table1[[#This Row],[Order Quantity]]</f>
        <v>634500</v>
      </c>
      <c r="V305" s="11">
        <v>0.08</v>
      </c>
      <c r="W305" s="15">
        <f t="shared" si="4"/>
        <v>50760</v>
      </c>
      <c r="X305" s="15">
        <f>Table1[[#This Row],[Sub Total]]-Table1[[#This Row],[Discount Rp]]</f>
        <v>583740</v>
      </c>
      <c r="Y305" s="15">
        <f ca="1">OFFSET(Helper!$C$3,MATCH(Data!$N$4:$N$1003,Helper!$C$4:$C$9,0),MATCH(Data!$O$4:$O$1003,Helper!$D$3:$F$3,0))</f>
        <v>5000</v>
      </c>
      <c r="Z305" s="16">
        <f ca="1">Table1[[#This Row],[Order Total]]+Table1[[#This Row],[Shipping Cost]]</f>
        <v>588740</v>
      </c>
    </row>
    <row r="306" spans="1:26" ht="15.75" customHeight="1" x14ac:dyDescent="0.3">
      <c r="A306" s="9" t="s">
        <v>864</v>
      </c>
      <c r="B306" s="18">
        <v>42967</v>
      </c>
      <c r="C306" s="10">
        <f>YEAR(Table1[[#This Row],[Order Date]])</f>
        <v>2017</v>
      </c>
      <c r="D306" s="10" t="s">
        <v>865</v>
      </c>
      <c r="E306" s="10" t="s">
        <v>866</v>
      </c>
      <c r="F306" s="10" t="s">
        <v>261</v>
      </c>
      <c r="G306" s="10" t="s">
        <v>72</v>
      </c>
      <c r="H306" s="10" t="s">
        <v>112</v>
      </c>
      <c r="I306" s="10" t="str">
        <f>VLOOKUP(Table1[[#This Row],[Account Manager ID]],Table2[[Employee ID]:[Full Name]],4,FALSE)</f>
        <v>Paiman Firgantoro</v>
      </c>
      <c r="J306" s="10" t="str">
        <f>INDEX(Employee!$D$4:$D$47,MATCH($H$4:$H$1003,Employee!$A$4:$A$47,0))</f>
        <v>Paiman Firgantoro</v>
      </c>
      <c r="K306" s="10" t="s">
        <v>92</v>
      </c>
      <c r="L306" s="10" t="s">
        <v>468</v>
      </c>
      <c r="M306" s="10" t="s">
        <v>59</v>
      </c>
      <c r="N306" s="10" t="s">
        <v>67</v>
      </c>
      <c r="O306" s="10" t="s">
        <v>61</v>
      </c>
      <c r="P306" s="10">
        <v>42972</v>
      </c>
      <c r="Q306" s="15">
        <v>13950</v>
      </c>
      <c r="R306" s="15">
        <v>22200</v>
      </c>
      <c r="S306" s="15">
        <f>Table1[[#This Row],[Retail Price]]-Table1[[#This Row],[Cost Price]]</f>
        <v>8250</v>
      </c>
      <c r="T306" s="10">
        <v>33</v>
      </c>
      <c r="U306" s="15">
        <f>Table1[[#This Row],[Profit Margin]]*Table1[[#This Row],[Order Quantity]]</f>
        <v>272250</v>
      </c>
      <c r="V306" s="11">
        <v>7.0000000000000007E-2</v>
      </c>
      <c r="W306" s="15">
        <f t="shared" si="4"/>
        <v>19057.5</v>
      </c>
      <c r="X306" s="15">
        <f>Table1[[#This Row],[Sub Total]]-Table1[[#This Row],[Discount Rp]]</f>
        <v>253192.5</v>
      </c>
      <c r="Y306" s="15">
        <f ca="1">OFFSET(Helper!$C$3,MATCH(Data!$N$4:$N$1003,Helper!$C$4:$C$9,0),MATCH(Data!$O$4:$O$1003,Helper!$D$3:$F$3,0))</f>
        <v>5000</v>
      </c>
      <c r="Z306" s="16">
        <f ca="1">Table1[[#This Row],[Order Total]]+Table1[[#This Row],[Shipping Cost]]</f>
        <v>258192.5</v>
      </c>
    </row>
    <row r="307" spans="1:26" ht="15.75" customHeight="1" x14ac:dyDescent="0.3">
      <c r="A307" s="9" t="s">
        <v>867</v>
      </c>
      <c r="B307" s="18">
        <v>42967</v>
      </c>
      <c r="C307" s="10">
        <f>YEAR(Table1[[#This Row],[Order Date]])</f>
        <v>2017</v>
      </c>
      <c r="D307" s="10" t="s">
        <v>868</v>
      </c>
      <c r="E307" s="10" t="s">
        <v>279</v>
      </c>
      <c r="F307" s="10" t="s">
        <v>71</v>
      </c>
      <c r="G307" s="10" t="s">
        <v>72</v>
      </c>
      <c r="H307" s="10" t="s">
        <v>155</v>
      </c>
      <c r="I307" s="10" t="str">
        <f>VLOOKUP(Table1[[#This Row],[Account Manager ID]],Table2[[Employee ID]:[Full Name]],4,FALSE)</f>
        <v>Puti Nadine Prakasa</v>
      </c>
      <c r="J307" s="10" t="str">
        <f>INDEX(Employee!$D$4:$D$47,MATCH($H$4:$H$1003,Employee!$A$4:$A$47,0))</f>
        <v>Puti Nadine Prakasa</v>
      </c>
      <c r="K307" s="10" t="s">
        <v>92</v>
      </c>
      <c r="L307" s="10" t="s">
        <v>355</v>
      </c>
      <c r="M307" s="10" t="s">
        <v>59</v>
      </c>
      <c r="N307" s="10" t="s">
        <v>60</v>
      </c>
      <c r="O307" s="10" t="s">
        <v>61</v>
      </c>
      <c r="P307" s="10">
        <v>42971</v>
      </c>
      <c r="Q307" s="15">
        <v>19950</v>
      </c>
      <c r="R307" s="15">
        <v>31200</v>
      </c>
      <c r="S307" s="15">
        <f>Table1[[#This Row],[Retail Price]]-Table1[[#This Row],[Cost Price]]</f>
        <v>11250</v>
      </c>
      <c r="T307" s="10">
        <v>40</v>
      </c>
      <c r="U307" s="15">
        <f>Table1[[#This Row],[Profit Margin]]*Table1[[#This Row],[Order Quantity]]</f>
        <v>450000</v>
      </c>
      <c r="V307" s="11">
        <v>0</v>
      </c>
      <c r="W307" s="15">
        <f t="shared" si="4"/>
        <v>0</v>
      </c>
      <c r="X307" s="15">
        <f>Table1[[#This Row],[Sub Total]]-Table1[[#This Row],[Discount Rp]]</f>
        <v>450000</v>
      </c>
      <c r="Y307" s="15">
        <f ca="1">OFFSET(Helper!$C$3,MATCH(Data!$N$4:$N$1003,Helper!$C$4:$C$9,0),MATCH(Data!$O$4:$O$1003,Helper!$D$3:$F$3,0))</f>
        <v>15000</v>
      </c>
      <c r="Z307" s="16">
        <f ca="1">Table1[[#This Row],[Order Total]]+Table1[[#This Row],[Shipping Cost]]</f>
        <v>465000</v>
      </c>
    </row>
    <row r="308" spans="1:26" ht="15.75" customHeight="1" x14ac:dyDescent="0.3">
      <c r="A308" s="9" t="s">
        <v>869</v>
      </c>
      <c r="B308" s="18">
        <v>42968</v>
      </c>
      <c r="C308" s="10">
        <f>YEAR(Table1[[#This Row],[Order Date]])</f>
        <v>2017</v>
      </c>
      <c r="D308" s="10" t="s">
        <v>870</v>
      </c>
      <c r="E308" s="10" t="s">
        <v>750</v>
      </c>
      <c r="F308" s="10" t="s">
        <v>54</v>
      </c>
      <c r="G308" s="10" t="s">
        <v>72</v>
      </c>
      <c r="H308" s="10" t="s">
        <v>56</v>
      </c>
      <c r="I308" s="10" t="str">
        <f>VLOOKUP(Table1[[#This Row],[Account Manager ID]],Table2[[Employee ID]:[Full Name]],4,FALSE)</f>
        <v>Gaduh Pratama</v>
      </c>
      <c r="J308" s="10" t="str">
        <f>INDEX(Employee!$D$4:$D$47,MATCH($H$4:$H$1003,Employee!$A$4:$A$47,0))</f>
        <v>Gaduh Pratama</v>
      </c>
      <c r="K308" s="10" t="s">
        <v>74</v>
      </c>
      <c r="L308" s="10" t="s">
        <v>480</v>
      </c>
      <c r="M308" s="10" t="s">
        <v>253</v>
      </c>
      <c r="N308" s="10" t="s">
        <v>459</v>
      </c>
      <c r="O308" s="10" t="s">
        <v>61</v>
      </c>
      <c r="P308" s="10">
        <v>42969</v>
      </c>
      <c r="Q308" s="15">
        <v>842400</v>
      </c>
      <c r="R308" s="15">
        <v>2054699.9999999998</v>
      </c>
      <c r="S308" s="15">
        <f>Table1[[#This Row],[Retail Price]]-Table1[[#This Row],[Cost Price]]</f>
        <v>1212299.9999999998</v>
      </c>
      <c r="T308" s="10">
        <v>44</v>
      </c>
      <c r="U308" s="15">
        <f>Table1[[#This Row],[Profit Margin]]*Table1[[#This Row],[Order Quantity]]</f>
        <v>53341199.999999993</v>
      </c>
      <c r="V308" s="11">
        <v>0.08</v>
      </c>
      <c r="W308" s="15">
        <f t="shared" si="4"/>
        <v>4267295.9999999991</v>
      </c>
      <c r="X308" s="15">
        <f>Table1[[#This Row],[Sub Total]]-Table1[[#This Row],[Discount Rp]]</f>
        <v>49073903.999999993</v>
      </c>
      <c r="Y308" s="15">
        <f ca="1">OFFSET(Helper!$C$3,MATCH(Data!$N$4:$N$1003,Helper!$C$4:$C$9,0),MATCH(Data!$O$4:$O$1003,Helper!$D$3:$F$3,0))</f>
        <v>50000</v>
      </c>
      <c r="Z308" s="16">
        <f ca="1">Table1[[#This Row],[Order Total]]+Table1[[#This Row],[Shipping Cost]]</f>
        <v>49123903.999999993</v>
      </c>
    </row>
    <row r="309" spans="1:26" ht="15.75" customHeight="1" x14ac:dyDescent="0.3">
      <c r="A309" s="9" t="s">
        <v>871</v>
      </c>
      <c r="B309" s="18">
        <v>42970</v>
      </c>
      <c r="C309" s="10">
        <f>YEAR(Table1[[#This Row],[Order Date]])</f>
        <v>2017</v>
      </c>
      <c r="D309" s="10" t="s">
        <v>347</v>
      </c>
      <c r="E309" s="10" t="s">
        <v>348</v>
      </c>
      <c r="F309" s="10" t="s">
        <v>261</v>
      </c>
      <c r="G309" s="10" t="s">
        <v>72</v>
      </c>
      <c r="H309" s="10" t="s">
        <v>146</v>
      </c>
      <c r="I309" s="10" t="str">
        <f>VLOOKUP(Table1[[#This Row],[Account Manager ID]],Table2[[Employee ID]:[Full Name]],4,FALSE)</f>
        <v>Kenari Rajasa</v>
      </c>
      <c r="J309" s="10" t="str">
        <f>INDEX(Employee!$D$4:$D$47,MATCH($H$4:$H$1003,Employee!$A$4:$A$47,0))</f>
        <v>Kenari Rajasa</v>
      </c>
      <c r="K309" s="10" t="s">
        <v>117</v>
      </c>
      <c r="L309" s="10" t="s">
        <v>615</v>
      </c>
      <c r="M309" s="10" t="s">
        <v>59</v>
      </c>
      <c r="N309" s="10" t="s">
        <v>67</v>
      </c>
      <c r="O309" s="10" t="s">
        <v>61</v>
      </c>
      <c r="P309" s="10">
        <v>42971</v>
      </c>
      <c r="Q309" s="15">
        <v>78300</v>
      </c>
      <c r="R309" s="15">
        <v>147750</v>
      </c>
      <c r="S309" s="15">
        <f>Table1[[#This Row],[Retail Price]]-Table1[[#This Row],[Cost Price]]</f>
        <v>69450</v>
      </c>
      <c r="T309" s="10">
        <v>20</v>
      </c>
      <c r="U309" s="15">
        <f>Table1[[#This Row],[Profit Margin]]*Table1[[#This Row],[Order Quantity]]</f>
        <v>1389000</v>
      </c>
      <c r="V309" s="11">
        <v>0.06</v>
      </c>
      <c r="W309" s="15">
        <f t="shared" si="4"/>
        <v>83340</v>
      </c>
      <c r="X309" s="15">
        <f>Table1[[#This Row],[Sub Total]]-Table1[[#This Row],[Discount Rp]]</f>
        <v>1305660</v>
      </c>
      <c r="Y309" s="15">
        <f ca="1">OFFSET(Helper!$C$3,MATCH(Data!$N$4:$N$1003,Helper!$C$4:$C$9,0),MATCH(Data!$O$4:$O$1003,Helper!$D$3:$F$3,0))</f>
        <v>5000</v>
      </c>
      <c r="Z309" s="16">
        <f ca="1">Table1[[#This Row],[Order Total]]+Table1[[#This Row],[Shipping Cost]]</f>
        <v>1310660</v>
      </c>
    </row>
    <row r="310" spans="1:26" ht="15.75" customHeight="1" x14ac:dyDescent="0.3">
      <c r="A310" s="9" t="s">
        <v>872</v>
      </c>
      <c r="B310" s="18">
        <v>42972</v>
      </c>
      <c r="C310" s="10">
        <f>YEAR(Table1[[#This Row],[Order Date]])</f>
        <v>2017</v>
      </c>
      <c r="D310" s="10" t="s">
        <v>479</v>
      </c>
      <c r="E310" s="10" t="s">
        <v>154</v>
      </c>
      <c r="F310" s="10" t="s">
        <v>71</v>
      </c>
      <c r="G310" s="10" t="s">
        <v>55</v>
      </c>
      <c r="H310" s="10" t="s">
        <v>155</v>
      </c>
      <c r="I310" s="10" t="str">
        <f>VLOOKUP(Table1[[#This Row],[Account Manager ID]],Table2[[Employee ID]:[Full Name]],4,FALSE)</f>
        <v>Puti Nadine Prakasa</v>
      </c>
      <c r="J310" s="10" t="str">
        <f>INDEX(Employee!$D$4:$D$47,MATCH($H$4:$H$1003,Employee!$A$4:$A$47,0))</f>
        <v>Puti Nadine Prakasa</v>
      </c>
      <c r="K310" s="10" t="s">
        <v>107</v>
      </c>
      <c r="L310" s="10" t="s">
        <v>873</v>
      </c>
      <c r="M310" s="10" t="s">
        <v>59</v>
      </c>
      <c r="N310" s="10" t="s">
        <v>60</v>
      </c>
      <c r="O310" s="10" t="s">
        <v>61</v>
      </c>
      <c r="P310" s="10">
        <v>42973</v>
      </c>
      <c r="Q310" s="15">
        <v>41400</v>
      </c>
      <c r="R310" s="15">
        <v>65700</v>
      </c>
      <c r="S310" s="15">
        <f>Table1[[#This Row],[Retail Price]]-Table1[[#This Row],[Cost Price]]</f>
        <v>24300</v>
      </c>
      <c r="T310" s="10">
        <v>29</v>
      </c>
      <c r="U310" s="15">
        <f>Table1[[#This Row],[Profit Margin]]*Table1[[#This Row],[Order Quantity]]</f>
        <v>704700</v>
      </c>
      <c r="V310" s="11">
        <v>0.08</v>
      </c>
      <c r="W310" s="15">
        <f t="shared" si="4"/>
        <v>56376</v>
      </c>
      <c r="X310" s="15">
        <f>Table1[[#This Row],[Sub Total]]-Table1[[#This Row],[Discount Rp]]</f>
        <v>648324</v>
      </c>
      <c r="Y310" s="15">
        <f ca="1">OFFSET(Helper!$C$3,MATCH(Data!$N$4:$N$1003,Helper!$C$4:$C$9,0),MATCH(Data!$O$4:$O$1003,Helper!$D$3:$F$3,0))</f>
        <v>15000</v>
      </c>
      <c r="Z310" s="16">
        <f ca="1">Table1[[#This Row],[Order Total]]+Table1[[#This Row],[Shipping Cost]]</f>
        <v>663324</v>
      </c>
    </row>
    <row r="311" spans="1:26" ht="15.75" customHeight="1" x14ac:dyDescent="0.3">
      <c r="A311" s="9" t="s">
        <v>874</v>
      </c>
      <c r="B311" s="18">
        <v>42974</v>
      </c>
      <c r="C311" s="10">
        <f>YEAR(Table1[[#This Row],[Order Date]])</f>
        <v>2017</v>
      </c>
      <c r="D311" s="10" t="s">
        <v>417</v>
      </c>
      <c r="E311" s="10" t="s">
        <v>418</v>
      </c>
      <c r="F311" s="10" t="s">
        <v>261</v>
      </c>
      <c r="G311" s="10" t="s">
        <v>87</v>
      </c>
      <c r="H311" s="10" t="s">
        <v>97</v>
      </c>
      <c r="I311" s="10" t="str">
        <f>VLOOKUP(Table1[[#This Row],[Account Manager ID]],Table2[[Employee ID]:[Full Name]],4,FALSE)</f>
        <v>Violet Mentari</v>
      </c>
      <c r="J311" s="10" t="str">
        <f>INDEX(Employee!$D$4:$D$47,MATCH($H$4:$H$1003,Employee!$A$4:$A$47,0))</f>
        <v>Violet Mentari</v>
      </c>
      <c r="K311" s="10" t="s">
        <v>117</v>
      </c>
      <c r="L311" s="10" t="s">
        <v>429</v>
      </c>
      <c r="M311" s="10" t="s">
        <v>59</v>
      </c>
      <c r="N311" s="10" t="s">
        <v>60</v>
      </c>
      <c r="O311" s="10" t="s">
        <v>61</v>
      </c>
      <c r="P311" s="10">
        <v>42975</v>
      </c>
      <c r="Q311" s="15">
        <v>29100</v>
      </c>
      <c r="R311" s="15">
        <v>46200</v>
      </c>
      <c r="S311" s="15">
        <f>Table1[[#This Row],[Retail Price]]-Table1[[#This Row],[Cost Price]]</f>
        <v>17100</v>
      </c>
      <c r="T311" s="10">
        <v>9</v>
      </c>
      <c r="U311" s="15">
        <f>Table1[[#This Row],[Profit Margin]]*Table1[[#This Row],[Order Quantity]]</f>
        <v>153900</v>
      </c>
      <c r="V311" s="11">
        <v>0.01</v>
      </c>
      <c r="W311" s="15">
        <f t="shared" si="4"/>
        <v>1539</v>
      </c>
      <c r="X311" s="15">
        <f>Table1[[#This Row],[Sub Total]]-Table1[[#This Row],[Discount Rp]]</f>
        <v>152361</v>
      </c>
      <c r="Y311" s="15">
        <f ca="1">OFFSET(Helper!$C$3,MATCH(Data!$N$4:$N$1003,Helper!$C$4:$C$9,0),MATCH(Data!$O$4:$O$1003,Helper!$D$3:$F$3,0))</f>
        <v>15000</v>
      </c>
      <c r="Z311" s="16">
        <f ca="1">Table1[[#This Row],[Order Total]]+Table1[[#This Row],[Shipping Cost]]</f>
        <v>167361</v>
      </c>
    </row>
    <row r="312" spans="1:26" ht="15.75" customHeight="1" x14ac:dyDescent="0.3">
      <c r="A312" s="9" t="s">
        <v>875</v>
      </c>
      <c r="B312" s="18">
        <v>42976</v>
      </c>
      <c r="C312" s="10">
        <f>YEAR(Table1[[#This Row],[Order Date]])</f>
        <v>2017</v>
      </c>
      <c r="D312" s="10" t="s">
        <v>309</v>
      </c>
      <c r="E312" s="10" t="s">
        <v>159</v>
      </c>
      <c r="F312" s="10" t="s">
        <v>71</v>
      </c>
      <c r="G312" s="10" t="s">
        <v>106</v>
      </c>
      <c r="H312" s="10" t="s">
        <v>122</v>
      </c>
      <c r="I312" s="10" t="str">
        <f>VLOOKUP(Table1[[#This Row],[Account Manager ID]],Table2[[Employee ID]:[Full Name]],4,FALSE)</f>
        <v>Ophelia Mustofa</v>
      </c>
      <c r="J312" s="10" t="str">
        <f>INDEX(Employee!$D$4:$D$47,MATCH($H$4:$H$1003,Employee!$A$4:$A$47,0))</f>
        <v>Ophelia Mustofa</v>
      </c>
      <c r="K312" s="10" t="s">
        <v>107</v>
      </c>
      <c r="L312" s="10" t="s">
        <v>488</v>
      </c>
      <c r="M312" s="10" t="s">
        <v>59</v>
      </c>
      <c r="N312" s="10" t="s">
        <v>136</v>
      </c>
      <c r="O312" s="10" t="s">
        <v>61</v>
      </c>
      <c r="P312" s="10">
        <v>42977</v>
      </c>
      <c r="Q312" s="15">
        <v>77850</v>
      </c>
      <c r="R312" s="15">
        <v>194700</v>
      </c>
      <c r="S312" s="15">
        <f>Table1[[#This Row],[Retail Price]]-Table1[[#This Row],[Cost Price]]</f>
        <v>116850</v>
      </c>
      <c r="T312" s="10">
        <v>20</v>
      </c>
      <c r="U312" s="15">
        <f>Table1[[#This Row],[Profit Margin]]*Table1[[#This Row],[Order Quantity]]</f>
        <v>2337000</v>
      </c>
      <c r="V312" s="11">
        <v>0.04</v>
      </c>
      <c r="W312" s="15">
        <f t="shared" si="4"/>
        <v>93480</v>
      </c>
      <c r="X312" s="15">
        <f>Table1[[#This Row],[Sub Total]]-Table1[[#This Row],[Discount Rp]]</f>
        <v>2243520</v>
      </c>
      <c r="Y312" s="15">
        <f ca="1">OFFSET(Helper!$C$3,MATCH(Data!$N$4:$N$1003,Helper!$C$4:$C$9,0),MATCH(Data!$O$4:$O$1003,Helper!$D$3:$F$3,0))</f>
        <v>10000</v>
      </c>
      <c r="Z312" s="16">
        <f ca="1">Table1[[#This Row],[Order Total]]+Table1[[#This Row],[Shipping Cost]]</f>
        <v>2253520</v>
      </c>
    </row>
    <row r="313" spans="1:26" ht="15.75" customHeight="1" x14ac:dyDescent="0.3">
      <c r="A313" s="9" t="s">
        <v>876</v>
      </c>
      <c r="B313" s="18">
        <v>42978</v>
      </c>
      <c r="C313" s="10">
        <f>YEAR(Table1[[#This Row],[Order Date]])</f>
        <v>2017</v>
      </c>
      <c r="D313" s="10" t="s">
        <v>877</v>
      </c>
      <c r="E313" s="10" t="s">
        <v>813</v>
      </c>
      <c r="F313" s="10" t="s">
        <v>54</v>
      </c>
      <c r="G313" s="10" t="s">
        <v>87</v>
      </c>
      <c r="H313" s="10" t="s">
        <v>65</v>
      </c>
      <c r="I313" s="10" t="str">
        <f>VLOOKUP(Table1[[#This Row],[Account Manager ID]],Table2[[Employee ID]:[Full Name]],4,FALSE)</f>
        <v>Laras Nuraini</v>
      </c>
      <c r="J313" s="10" t="str">
        <f>INDEX(Employee!$D$4:$D$47,MATCH($H$4:$H$1003,Employee!$A$4:$A$47,0))</f>
        <v>Laras Nuraini</v>
      </c>
      <c r="K313" s="10" t="s">
        <v>117</v>
      </c>
      <c r="L313" s="10" t="s">
        <v>252</v>
      </c>
      <c r="M313" s="10" t="s">
        <v>253</v>
      </c>
      <c r="N313" s="10" t="s">
        <v>136</v>
      </c>
      <c r="O313" s="10" t="s">
        <v>76</v>
      </c>
      <c r="P313" s="10">
        <v>42979</v>
      </c>
      <c r="Q313" s="15">
        <v>82500</v>
      </c>
      <c r="R313" s="15">
        <v>183300</v>
      </c>
      <c r="S313" s="15">
        <f>Table1[[#This Row],[Retail Price]]-Table1[[#This Row],[Cost Price]]</f>
        <v>100800</v>
      </c>
      <c r="T313" s="10">
        <v>18</v>
      </c>
      <c r="U313" s="15">
        <f>Table1[[#This Row],[Profit Margin]]*Table1[[#This Row],[Order Quantity]]</f>
        <v>1814400</v>
      </c>
      <c r="V313" s="11">
        <v>0.04</v>
      </c>
      <c r="W313" s="15">
        <f t="shared" si="4"/>
        <v>72576</v>
      </c>
      <c r="X313" s="15">
        <f>Table1[[#This Row],[Sub Total]]-Table1[[#This Row],[Discount Rp]]</f>
        <v>1741824</v>
      </c>
      <c r="Y313" s="15">
        <f ca="1">OFFSET(Helper!$C$3,MATCH(Data!$N$4:$N$1003,Helper!$C$4:$C$9,0),MATCH(Data!$O$4:$O$1003,Helper!$D$3:$F$3,0))</f>
        <v>20000</v>
      </c>
      <c r="Z313" s="16">
        <f ca="1">Table1[[#This Row],[Order Total]]+Table1[[#This Row],[Shipping Cost]]</f>
        <v>1761824</v>
      </c>
    </row>
    <row r="314" spans="1:26" ht="15.75" customHeight="1" x14ac:dyDescent="0.3">
      <c r="A314" s="9" t="s">
        <v>878</v>
      </c>
      <c r="B314" s="18">
        <v>42978</v>
      </c>
      <c r="C314" s="10">
        <f>YEAR(Table1[[#This Row],[Order Date]])</f>
        <v>2017</v>
      </c>
      <c r="D314" s="10" t="s">
        <v>879</v>
      </c>
      <c r="E314" s="10" t="s">
        <v>251</v>
      </c>
      <c r="F314" s="10" t="s">
        <v>71</v>
      </c>
      <c r="G314" s="10" t="s">
        <v>72</v>
      </c>
      <c r="H314" s="10" t="s">
        <v>122</v>
      </c>
      <c r="I314" s="10" t="str">
        <f>VLOOKUP(Table1[[#This Row],[Account Manager ID]],Table2[[Employee ID]:[Full Name]],4,FALSE)</f>
        <v>Ophelia Mustofa</v>
      </c>
      <c r="J314" s="10" t="str">
        <f>INDEX(Employee!$D$4:$D$47,MATCH($H$4:$H$1003,Employee!$A$4:$A$47,0))</f>
        <v>Ophelia Mustofa</v>
      </c>
      <c r="K314" s="10" t="s">
        <v>92</v>
      </c>
      <c r="L314" s="10" t="s">
        <v>700</v>
      </c>
      <c r="M314" s="10" t="s">
        <v>59</v>
      </c>
      <c r="N314" s="10" t="s">
        <v>67</v>
      </c>
      <c r="O314" s="10" t="s">
        <v>76</v>
      </c>
      <c r="P314" s="10">
        <v>42983</v>
      </c>
      <c r="Q314" s="15">
        <v>34650</v>
      </c>
      <c r="R314" s="15">
        <v>56700</v>
      </c>
      <c r="S314" s="15">
        <f>Table1[[#This Row],[Retail Price]]-Table1[[#This Row],[Cost Price]]</f>
        <v>22050</v>
      </c>
      <c r="T314" s="10">
        <v>15</v>
      </c>
      <c r="U314" s="15">
        <f>Table1[[#This Row],[Profit Margin]]*Table1[[#This Row],[Order Quantity]]</f>
        <v>330750</v>
      </c>
      <c r="V314" s="11">
        <v>0.03</v>
      </c>
      <c r="W314" s="15">
        <f t="shared" si="4"/>
        <v>9922.5</v>
      </c>
      <c r="X314" s="15">
        <f>Table1[[#This Row],[Sub Total]]-Table1[[#This Row],[Discount Rp]]</f>
        <v>320827.5</v>
      </c>
      <c r="Y314" s="15">
        <f ca="1">OFFSET(Helper!$C$3,MATCH(Data!$N$4:$N$1003,Helper!$C$4:$C$9,0),MATCH(Data!$O$4:$O$1003,Helper!$D$3:$F$3,0))</f>
        <v>10000</v>
      </c>
      <c r="Z314" s="16">
        <f ca="1">Table1[[#This Row],[Order Total]]+Table1[[#This Row],[Shipping Cost]]</f>
        <v>330827.5</v>
      </c>
    </row>
    <row r="315" spans="1:26" ht="15.75" customHeight="1" x14ac:dyDescent="0.3">
      <c r="A315" s="9" t="s">
        <v>880</v>
      </c>
      <c r="B315" s="18">
        <v>42984</v>
      </c>
      <c r="C315" s="10">
        <f>YEAR(Table1[[#This Row],[Order Date]])</f>
        <v>2017</v>
      </c>
      <c r="D315" s="10" t="s">
        <v>881</v>
      </c>
      <c r="E315" s="10" t="s">
        <v>882</v>
      </c>
      <c r="F315" s="10" t="s">
        <v>71</v>
      </c>
      <c r="G315" s="10" t="s">
        <v>106</v>
      </c>
      <c r="H315" s="10" t="s">
        <v>316</v>
      </c>
      <c r="I315" s="10" t="str">
        <f>VLOOKUP(Table1[[#This Row],[Account Manager ID]],Table2[[Employee ID]:[Full Name]],4,FALSE)</f>
        <v>Sari Winarno</v>
      </c>
      <c r="J315" s="10" t="str">
        <f>INDEX(Employee!$D$4:$D$47,MATCH($H$4:$H$1003,Employee!$A$4:$A$47,0))</f>
        <v>Sari Winarno</v>
      </c>
      <c r="K315" s="10" t="s">
        <v>92</v>
      </c>
      <c r="L315" s="10" t="s">
        <v>406</v>
      </c>
      <c r="M315" s="10" t="s">
        <v>81</v>
      </c>
      <c r="N315" s="10" t="s">
        <v>82</v>
      </c>
      <c r="O315" s="10" t="s">
        <v>83</v>
      </c>
      <c r="P315" s="10">
        <v>42988</v>
      </c>
      <c r="Q315" s="15">
        <v>4184850</v>
      </c>
      <c r="R315" s="15">
        <v>6749850</v>
      </c>
      <c r="S315" s="15">
        <f>Table1[[#This Row],[Retail Price]]-Table1[[#This Row],[Cost Price]]</f>
        <v>2565000</v>
      </c>
      <c r="T315" s="10">
        <v>47</v>
      </c>
      <c r="U315" s="15">
        <f>Table1[[#This Row],[Profit Margin]]*Table1[[#This Row],[Order Quantity]]</f>
        <v>120555000</v>
      </c>
      <c r="V315" s="11">
        <v>0.1</v>
      </c>
      <c r="W315" s="15">
        <f t="shared" si="4"/>
        <v>12055500</v>
      </c>
      <c r="X315" s="15">
        <f>Table1[[#This Row],[Sub Total]]-Table1[[#This Row],[Discount Rp]]</f>
        <v>108499500</v>
      </c>
      <c r="Y315" s="15">
        <f ca="1">OFFSET(Helper!$C$3,MATCH(Data!$N$4:$N$1003,Helper!$C$4:$C$9,0),MATCH(Data!$O$4:$O$1003,Helper!$D$3:$F$3,0))</f>
        <v>500000</v>
      </c>
      <c r="Z315" s="16">
        <f ca="1">Table1[[#This Row],[Order Total]]+Table1[[#This Row],[Shipping Cost]]</f>
        <v>108999500</v>
      </c>
    </row>
    <row r="316" spans="1:26" ht="15.75" customHeight="1" x14ac:dyDescent="0.3">
      <c r="A316" s="9" t="s">
        <v>883</v>
      </c>
      <c r="B316" s="18">
        <v>42988</v>
      </c>
      <c r="C316" s="10">
        <f>YEAR(Table1[[#This Row],[Order Date]])</f>
        <v>2017</v>
      </c>
      <c r="D316" s="10" t="s">
        <v>884</v>
      </c>
      <c r="E316" s="10" t="s">
        <v>275</v>
      </c>
      <c r="F316" s="10" t="s">
        <v>71</v>
      </c>
      <c r="G316" s="10" t="s">
        <v>72</v>
      </c>
      <c r="H316" s="10" t="s">
        <v>146</v>
      </c>
      <c r="I316" s="10" t="str">
        <f>VLOOKUP(Table1[[#This Row],[Account Manager ID]],Table2[[Employee ID]:[Full Name]],4,FALSE)</f>
        <v>Kenari Rajasa</v>
      </c>
      <c r="J316" s="10" t="str">
        <f>INDEX(Employee!$D$4:$D$47,MATCH($H$4:$H$1003,Employee!$A$4:$A$47,0))</f>
        <v>Kenari Rajasa</v>
      </c>
      <c r="K316" s="10" t="s">
        <v>92</v>
      </c>
      <c r="L316" s="10" t="s">
        <v>190</v>
      </c>
      <c r="M316" s="10" t="s">
        <v>81</v>
      </c>
      <c r="N316" s="10" t="s">
        <v>60</v>
      </c>
      <c r="O316" s="10" t="s">
        <v>61</v>
      </c>
      <c r="P316" s="10">
        <v>42992</v>
      </c>
      <c r="Q316" s="15">
        <v>480300.00000000006</v>
      </c>
      <c r="R316" s="15">
        <v>2287200</v>
      </c>
      <c r="S316" s="15">
        <f>Table1[[#This Row],[Retail Price]]-Table1[[#This Row],[Cost Price]]</f>
        <v>1806900</v>
      </c>
      <c r="T316" s="10">
        <v>49</v>
      </c>
      <c r="U316" s="15">
        <f>Table1[[#This Row],[Profit Margin]]*Table1[[#This Row],[Order Quantity]]</f>
        <v>88538100</v>
      </c>
      <c r="V316" s="11">
        <v>0.03</v>
      </c>
      <c r="W316" s="15">
        <f t="shared" si="4"/>
        <v>2656143</v>
      </c>
      <c r="X316" s="15">
        <f>Table1[[#This Row],[Sub Total]]-Table1[[#This Row],[Discount Rp]]</f>
        <v>85881957</v>
      </c>
      <c r="Y316" s="15">
        <f ca="1">OFFSET(Helper!$C$3,MATCH(Data!$N$4:$N$1003,Helper!$C$4:$C$9,0),MATCH(Data!$O$4:$O$1003,Helper!$D$3:$F$3,0))</f>
        <v>15000</v>
      </c>
      <c r="Z316" s="16">
        <f ca="1">Table1[[#This Row],[Order Total]]+Table1[[#This Row],[Shipping Cost]]</f>
        <v>85896957</v>
      </c>
    </row>
    <row r="317" spans="1:26" ht="15.75" customHeight="1" x14ac:dyDescent="0.3">
      <c r="A317" s="9" t="s">
        <v>885</v>
      </c>
      <c r="B317" s="18">
        <v>42988</v>
      </c>
      <c r="C317" s="10">
        <f>YEAR(Table1[[#This Row],[Order Date]])</f>
        <v>2017</v>
      </c>
      <c r="D317" s="10" t="s">
        <v>886</v>
      </c>
      <c r="E317" s="10" t="s">
        <v>887</v>
      </c>
      <c r="F317" s="10" t="s">
        <v>71</v>
      </c>
      <c r="G317" s="10" t="s">
        <v>72</v>
      </c>
      <c r="H317" s="10" t="s">
        <v>112</v>
      </c>
      <c r="I317" s="10" t="str">
        <f>VLOOKUP(Table1[[#This Row],[Account Manager ID]],Table2[[Employee ID]:[Full Name]],4,FALSE)</f>
        <v>Paiman Firgantoro</v>
      </c>
      <c r="J317" s="10" t="str">
        <f>INDEX(Employee!$D$4:$D$47,MATCH($H$4:$H$1003,Employee!$A$4:$A$47,0))</f>
        <v>Paiman Firgantoro</v>
      </c>
      <c r="K317" s="10" t="s">
        <v>57</v>
      </c>
      <c r="L317" s="10" t="s">
        <v>234</v>
      </c>
      <c r="M317" s="10" t="s">
        <v>59</v>
      </c>
      <c r="N317" s="10" t="s">
        <v>60</v>
      </c>
      <c r="O317" s="10" t="s">
        <v>61</v>
      </c>
      <c r="P317" s="10">
        <v>42988</v>
      </c>
      <c r="Q317" s="15">
        <v>208200</v>
      </c>
      <c r="R317" s="15">
        <v>335700</v>
      </c>
      <c r="S317" s="15">
        <f>Table1[[#This Row],[Retail Price]]-Table1[[#This Row],[Cost Price]]</f>
        <v>127500</v>
      </c>
      <c r="T317" s="10">
        <v>26</v>
      </c>
      <c r="U317" s="15">
        <f>Table1[[#This Row],[Profit Margin]]*Table1[[#This Row],[Order Quantity]]</f>
        <v>3315000</v>
      </c>
      <c r="V317" s="11">
        <v>7.0000000000000007E-2</v>
      </c>
      <c r="W317" s="15">
        <f t="shared" si="4"/>
        <v>232050.00000000003</v>
      </c>
      <c r="X317" s="15">
        <f>Table1[[#This Row],[Sub Total]]-Table1[[#This Row],[Discount Rp]]</f>
        <v>3082950</v>
      </c>
      <c r="Y317" s="15">
        <f ca="1">OFFSET(Helper!$C$3,MATCH(Data!$N$4:$N$1003,Helper!$C$4:$C$9,0),MATCH(Data!$O$4:$O$1003,Helper!$D$3:$F$3,0))</f>
        <v>15000</v>
      </c>
      <c r="Z317" s="16">
        <f ca="1">Table1[[#This Row],[Order Total]]+Table1[[#This Row],[Shipping Cost]]</f>
        <v>3097950</v>
      </c>
    </row>
    <row r="318" spans="1:26" ht="15.75" customHeight="1" x14ac:dyDescent="0.3">
      <c r="A318" s="9" t="s">
        <v>888</v>
      </c>
      <c r="B318" s="18">
        <v>42988</v>
      </c>
      <c r="C318" s="10">
        <f>YEAR(Table1[[#This Row],[Order Date]])</f>
        <v>2017</v>
      </c>
      <c r="D318" s="10" t="s">
        <v>889</v>
      </c>
      <c r="E318" s="10" t="s">
        <v>445</v>
      </c>
      <c r="F318" s="10" t="s">
        <v>54</v>
      </c>
      <c r="G318" s="10" t="s">
        <v>72</v>
      </c>
      <c r="H318" s="10" t="s">
        <v>56</v>
      </c>
      <c r="I318" s="10" t="str">
        <f>VLOOKUP(Table1[[#This Row],[Account Manager ID]],Table2[[Employee ID]:[Full Name]],4,FALSE)</f>
        <v>Gaduh Pratama</v>
      </c>
      <c r="J318" s="10" t="str">
        <f>INDEX(Employee!$D$4:$D$47,MATCH($H$4:$H$1003,Employee!$A$4:$A$47,0))</f>
        <v>Gaduh Pratama</v>
      </c>
      <c r="K318" s="10" t="s">
        <v>117</v>
      </c>
      <c r="L318" s="10" t="s">
        <v>200</v>
      </c>
      <c r="M318" s="10" t="s">
        <v>59</v>
      </c>
      <c r="N318" s="10" t="s">
        <v>136</v>
      </c>
      <c r="O318" s="10" t="s">
        <v>61</v>
      </c>
      <c r="P318" s="10">
        <v>42988</v>
      </c>
      <c r="Q318" s="15">
        <v>71850</v>
      </c>
      <c r="R318" s="15">
        <v>179550</v>
      </c>
      <c r="S318" s="15">
        <f>Table1[[#This Row],[Retail Price]]-Table1[[#This Row],[Cost Price]]</f>
        <v>107700</v>
      </c>
      <c r="T318" s="10">
        <v>46</v>
      </c>
      <c r="U318" s="15">
        <f>Table1[[#This Row],[Profit Margin]]*Table1[[#This Row],[Order Quantity]]</f>
        <v>4954200</v>
      </c>
      <c r="V318" s="11">
        <v>7.0000000000000007E-2</v>
      </c>
      <c r="W318" s="15">
        <f t="shared" si="4"/>
        <v>346794.00000000006</v>
      </c>
      <c r="X318" s="15">
        <f>Table1[[#This Row],[Sub Total]]-Table1[[#This Row],[Discount Rp]]</f>
        <v>4607406</v>
      </c>
      <c r="Y318" s="15">
        <f ca="1">OFFSET(Helper!$C$3,MATCH(Data!$N$4:$N$1003,Helper!$C$4:$C$9,0),MATCH(Data!$O$4:$O$1003,Helper!$D$3:$F$3,0))</f>
        <v>10000</v>
      </c>
      <c r="Z318" s="16">
        <f ca="1">Table1[[#This Row],[Order Total]]+Table1[[#This Row],[Shipping Cost]]</f>
        <v>4617406</v>
      </c>
    </row>
    <row r="319" spans="1:26" ht="15.75" customHeight="1" x14ac:dyDescent="0.3">
      <c r="A319" s="9" t="s">
        <v>890</v>
      </c>
      <c r="B319" s="18">
        <v>42992</v>
      </c>
      <c r="C319" s="10">
        <f>YEAR(Table1[[#This Row],[Order Date]])</f>
        <v>2017</v>
      </c>
      <c r="D319" s="10" t="s">
        <v>891</v>
      </c>
      <c r="E319" s="10" t="s">
        <v>892</v>
      </c>
      <c r="F319" s="10" t="s">
        <v>54</v>
      </c>
      <c r="G319" s="10" t="s">
        <v>72</v>
      </c>
      <c r="H319" s="10" t="s">
        <v>65</v>
      </c>
      <c r="I319" s="10" t="str">
        <f>VLOOKUP(Table1[[#This Row],[Account Manager ID]],Table2[[Employee ID]:[Full Name]],4,FALSE)</f>
        <v>Laras Nuraini</v>
      </c>
      <c r="J319" s="10" t="str">
        <f>INDEX(Employee!$D$4:$D$47,MATCH($H$4:$H$1003,Employee!$A$4:$A$47,0))</f>
        <v>Laras Nuraini</v>
      </c>
      <c r="K319" s="10" t="s">
        <v>74</v>
      </c>
      <c r="L319" s="10" t="s">
        <v>226</v>
      </c>
      <c r="M319" s="10" t="s">
        <v>81</v>
      </c>
      <c r="N319" s="10" t="s">
        <v>227</v>
      </c>
      <c r="O319" s="10" t="s">
        <v>61</v>
      </c>
      <c r="P319" s="10">
        <v>42994</v>
      </c>
      <c r="Q319" s="15">
        <v>132300</v>
      </c>
      <c r="R319" s="15">
        <v>314850</v>
      </c>
      <c r="S319" s="15">
        <f>Table1[[#This Row],[Retail Price]]-Table1[[#This Row],[Cost Price]]</f>
        <v>182550</v>
      </c>
      <c r="T319" s="10">
        <v>10</v>
      </c>
      <c r="U319" s="15">
        <f>Table1[[#This Row],[Profit Margin]]*Table1[[#This Row],[Order Quantity]]</f>
        <v>1825500</v>
      </c>
      <c r="V319" s="11">
        <v>0</v>
      </c>
      <c r="W319" s="15">
        <f t="shared" si="4"/>
        <v>0</v>
      </c>
      <c r="X319" s="15">
        <f>Table1[[#This Row],[Sub Total]]-Table1[[#This Row],[Discount Rp]]</f>
        <v>1825500</v>
      </c>
      <c r="Y319" s="15">
        <f ca="1">OFFSET(Helper!$C$3,MATCH(Data!$N$4:$N$1003,Helper!$C$4:$C$9,0),MATCH(Data!$O$4:$O$1003,Helper!$D$3:$F$3,0))</f>
        <v>20000</v>
      </c>
      <c r="Z319" s="16">
        <f ca="1">Table1[[#This Row],[Order Total]]+Table1[[#This Row],[Shipping Cost]]</f>
        <v>1845500</v>
      </c>
    </row>
    <row r="320" spans="1:26" ht="15.75" customHeight="1" x14ac:dyDescent="0.3">
      <c r="A320" s="9" t="s">
        <v>893</v>
      </c>
      <c r="B320" s="18">
        <v>42993</v>
      </c>
      <c r="C320" s="10">
        <f>YEAR(Table1[[#This Row],[Order Date]])</f>
        <v>2017</v>
      </c>
      <c r="D320" s="10" t="s">
        <v>606</v>
      </c>
      <c r="E320" s="10" t="s">
        <v>607</v>
      </c>
      <c r="F320" s="10" t="s">
        <v>71</v>
      </c>
      <c r="G320" s="10" t="s">
        <v>72</v>
      </c>
      <c r="H320" s="10" t="s">
        <v>185</v>
      </c>
      <c r="I320" s="10" t="str">
        <f>VLOOKUP(Table1[[#This Row],[Account Manager ID]],Table2[[Employee ID]:[Full Name]],4,FALSE)</f>
        <v>Clara Prasetyo</v>
      </c>
      <c r="J320" s="10" t="str">
        <f>INDEX(Employee!$D$4:$D$47,MATCH($H$4:$H$1003,Employee!$A$4:$A$47,0))</f>
        <v>Clara Prasetyo</v>
      </c>
      <c r="K320" s="10" t="s">
        <v>107</v>
      </c>
      <c r="L320" s="10" t="s">
        <v>894</v>
      </c>
      <c r="M320" s="10" t="s">
        <v>59</v>
      </c>
      <c r="N320" s="10" t="s">
        <v>67</v>
      </c>
      <c r="O320" s="10" t="s">
        <v>61</v>
      </c>
      <c r="P320" s="10">
        <v>42994</v>
      </c>
      <c r="Q320" s="15">
        <v>16350.000000000002</v>
      </c>
      <c r="R320" s="15">
        <v>27300</v>
      </c>
      <c r="S320" s="15">
        <f>Table1[[#This Row],[Retail Price]]-Table1[[#This Row],[Cost Price]]</f>
        <v>10949.999999999998</v>
      </c>
      <c r="T320" s="10">
        <v>40</v>
      </c>
      <c r="U320" s="15">
        <f>Table1[[#This Row],[Profit Margin]]*Table1[[#This Row],[Order Quantity]]</f>
        <v>437999.99999999994</v>
      </c>
      <c r="V320" s="11">
        <v>0.1</v>
      </c>
      <c r="W320" s="15">
        <f t="shared" si="4"/>
        <v>43800</v>
      </c>
      <c r="X320" s="15">
        <f>Table1[[#This Row],[Sub Total]]-Table1[[#This Row],[Discount Rp]]</f>
        <v>394199.99999999994</v>
      </c>
      <c r="Y320" s="15">
        <f ca="1">OFFSET(Helper!$C$3,MATCH(Data!$N$4:$N$1003,Helper!$C$4:$C$9,0),MATCH(Data!$O$4:$O$1003,Helper!$D$3:$F$3,0))</f>
        <v>5000</v>
      </c>
      <c r="Z320" s="16">
        <f ca="1">Table1[[#This Row],[Order Total]]+Table1[[#This Row],[Shipping Cost]]</f>
        <v>399199.99999999994</v>
      </c>
    </row>
    <row r="321" spans="1:26" ht="15.75" customHeight="1" x14ac:dyDescent="0.3">
      <c r="A321" s="9" t="s">
        <v>895</v>
      </c>
      <c r="B321" s="18">
        <v>42993</v>
      </c>
      <c r="C321" s="10">
        <f>YEAR(Table1[[#This Row],[Order Date]])</f>
        <v>2017</v>
      </c>
      <c r="D321" s="10" t="s">
        <v>896</v>
      </c>
      <c r="E321" s="10" t="s">
        <v>897</v>
      </c>
      <c r="F321" s="10" t="s">
        <v>261</v>
      </c>
      <c r="G321" s="10" t="s">
        <v>106</v>
      </c>
      <c r="H321" s="10" t="s">
        <v>146</v>
      </c>
      <c r="I321" s="10" t="str">
        <f>VLOOKUP(Table1[[#This Row],[Account Manager ID]],Table2[[Employee ID]:[Full Name]],4,FALSE)</f>
        <v>Kenari Rajasa</v>
      </c>
      <c r="J321" s="10" t="str">
        <f>INDEX(Employee!$D$4:$D$47,MATCH($H$4:$H$1003,Employee!$A$4:$A$47,0))</f>
        <v>Kenari Rajasa</v>
      </c>
      <c r="K321" s="10" t="s">
        <v>57</v>
      </c>
      <c r="L321" s="10" t="s">
        <v>248</v>
      </c>
      <c r="M321" s="10" t="s">
        <v>59</v>
      </c>
      <c r="N321" s="10" t="s">
        <v>67</v>
      </c>
      <c r="O321" s="10" t="s">
        <v>61</v>
      </c>
      <c r="P321" s="10">
        <v>42995</v>
      </c>
      <c r="Q321" s="15">
        <v>56250</v>
      </c>
      <c r="R321" s="15">
        <v>106200</v>
      </c>
      <c r="S321" s="15">
        <f>Table1[[#This Row],[Retail Price]]-Table1[[#This Row],[Cost Price]]</f>
        <v>49950</v>
      </c>
      <c r="T321" s="10">
        <v>45</v>
      </c>
      <c r="U321" s="15">
        <f>Table1[[#This Row],[Profit Margin]]*Table1[[#This Row],[Order Quantity]]</f>
        <v>2247750</v>
      </c>
      <c r="V321" s="11">
        <v>0.06</v>
      </c>
      <c r="W321" s="15">
        <f t="shared" si="4"/>
        <v>134865</v>
      </c>
      <c r="X321" s="15">
        <f>Table1[[#This Row],[Sub Total]]-Table1[[#This Row],[Discount Rp]]</f>
        <v>2112885</v>
      </c>
      <c r="Y321" s="15">
        <f ca="1">OFFSET(Helper!$C$3,MATCH(Data!$N$4:$N$1003,Helper!$C$4:$C$9,0),MATCH(Data!$O$4:$O$1003,Helper!$D$3:$F$3,0))</f>
        <v>5000</v>
      </c>
      <c r="Z321" s="16">
        <f ca="1">Table1[[#This Row],[Order Total]]+Table1[[#This Row],[Shipping Cost]]</f>
        <v>2117885</v>
      </c>
    </row>
    <row r="322" spans="1:26" ht="15.75" customHeight="1" x14ac:dyDescent="0.3">
      <c r="A322" s="9" t="s">
        <v>898</v>
      </c>
      <c r="B322" s="18">
        <v>42994</v>
      </c>
      <c r="C322" s="10">
        <f>YEAR(Table1[[#This Row],[Order Date]])</f>
        <v>2017</v>
      </c>
      <c r="D322" s="10" t="s">
        <v>564</v>
      </c>
      <c r="E322" s="10" t="s">
        <v>315</v>
      </c>
      <c r="F322" s="10" t="s">
        <v>71</v>
      </c>
      <c r="G322" s="10" t="s">
        <v>87</v>
      </c>
      <c r="H322" s="10" t="s">
        <v>316</v>
      </c>
      <c r="I322" s="10" t="str">
        <f>VLOOKUP(Table1[[#This Row],[Account Manager ID]],Table2[[Employee ID]:[Full Name]],4,FALSE)</f>
        <v>Sari Winarno</v>
      </c>
      <c r="J322" s="10" t="str">
        <f>INDEX(Employee!$D$4:$D$47,MATCH($H$4:$H$1003,Employee!$A$4:$A$47,0))</f>
        <v>Sari Winarno</v>
      </c>
      <c r="K322" s="10" t="s">
        <v>57</v>
      </c>
      <c r="L322" s="10" t="s">
        <v>320</v>
      </c>
      <c r="M322" s="10" t="s">
        <v>59</v>
      </c>
      <c r="N322" s="10" t="s">
        <v>60</v>
      </c>
      <c r="O322" s="10" t="s">
        <v>61</v>
      </c>
      <c r="P322" s="10">
        <v>42995</v>
      </c>
      <c r="Q322" s="15">
        <v>2682450</v>
      </c>
      <c r="R322" s="15">
        <v>6238200</v>
      </c>
      <c r="S322" s="15">
        <f>Table1[[#This Row],[Retail Price]]-Table1[[#This Row],[Cost Price]]</f>
        <v>3555750</v>
      </c>
      <c r="T322" s="10">
        <v>43</v>
      </c>
      <c r="U322" s="15">
        <f>Table1[[#This Row],[Profit Margin]]*Table1[[#This Row],[Order Quantity]]</f>
        <v>152897250</v>
      </c>
      <c r="V322" s="11">
        <v>7.0000000000000007E-2</v>
      </c>
      <c r="W322" s="15">
        <f t="shared" si="4"/>
        <v>10702807.500000002</v>
      </c>
      <c r="X322" s="15">
        <f>Table1[[#This Row],[Sub Total]]-Table1[[#This Row],[Discount Rp]]</f>
        <v>142194442.5</v>
      </c>
      <c r="Y322" s="15">
        <f ca="1">OFFSET(Helper!$C$3,MATCH(Data!$N$4:$N$1003,Helper!$C$4:$C$9,0),MATCH(Data!$O$4:$O$1003,Helper!$D$3:$F$3,0))</f>
        <v>15000</v>
      </c>
      <c r="Z322" s="16">
        <f ca="1">Table1[[#This Row],[Order Total]]+Table1[[#This Row],[Shipping Cost]]</f>
        <v>142209442.5</v>
      </c>
    </row>
    <row r="323" spans="1:26" ht="15.75" customHeight="1" x14ac:dyDescent="0.3">
      <c r="A323" s="9" t="s">
        <v>899</v>
      </c>
      <c r="B323" s="18">
        <v>42994</v>
      </c>
      <c r="C323" s="10">
        <f>YEAR(Table1[[#This Row],[Order Date]])</f>
        <v>2017</v>
      </c>
      <c r="D323" s="10" t="s">
        <v>900</v>
      </c>
      <c r="E323" s="10" t="s">
        <v>279</v>
      </c>
      <c r="F323" s="10" t="s">
        <v>71</v>
      </c>
      <c r="G323" s="10" t="s">
        <v>106</v>
      </c>
      <c r="H323" s="10" t="s">
        <v>155</v>
      </c>
      <c r="I323" s="10" t="str">
        <f>VLOOKUP(Table1[[#This Row],[Account Manager ID]],Table2[[Employee ID]:[Full Name]],4,FALSE)</f>
        <v>Puti Nadine Prakasa</v>
      </c>
      <c r="J323" s="10" t="str">
        <f>INDEX(Employee!$D$4:$D$47,MATCH($H$4:$H$1003,Employee!$A$4:$A$47,0))</f>
        <v>Puti Nadine Prakasa</v>
      </c>
      <c r="K323" s="10" t="s">
        <v>107</v>
      </c>
      <c r="L323" s="10" t="s">
        <v>276</v>
      </c>
      <c r="M323" s="10" t="s">
        <v>81</v>
      </c>
      <c r="N323" s="10" t="s">
        <v>60</v>
      </c>
      <c r="O323" s="10" t="s">
        <v>61</v>
      </c>
      <c r="P323" s="10">
        <v>42995</v>
      </c>
      <c r="Q323" s="15">
        <v>2347500</v>
      </c>
      <c r="R323" s="15">
        <v>4514550</v>
      </c>
      <c r="S323" s="15">
        <f>Table1[[#This Row],[Retail Price]]-Table1[[#This Row],[Cost Price]]</f>
        <v>2167050</v>
      </c>
      <c r="T323" s="10">
        <v>6</v>
      </c>
      <c r="U323" s="15">
        <f>Table1[[#This Row],[Profit Margin]]*Table1[[#This Row],[Order Quantity]]</f>
        <v>13002300</v>
      </c>
      <c r="V323" s="11">
        <v>0.04</v>
      </c>
      <c r="W323" s="15">
        <f t="shared" si="4"/>
        <v>520092</v>
      </c>
      <c r="X323" s="15">
        <f>Table1[[#This Row],[Sub Total]]-Table1[[#This Row],[Discount Rp]]</f>
        <v>12482208</v>
      </c>
      <c r="Y323" s="15">
        <f ca="1">OFFSET(Helper!$C$3,MATCH(Data!$N$4:$N$1003,Helper!$C$4:$C$9,0),MATCH(Data!$O$4:$O$1003,Helper!$D$3:$F$3,0))</f>
        <v>15000</v>
      </c>
      <c r="Z323" s="16">
        <f ca="1">Table1[[#This Row],[Order Total]]+Table1[[#This Row],[Shipping Cost]]</f>
        <v>12497208</v>
      </c>
    </row>
    <row r="324" spans="1:26" ht="15.75" customHeight="1" x14ac:dyDescent="0.3">
      <c r="A324" s="9" t="s">
        <v>901</v>
      </c>
      <c r="B324" s="18">
        <v>42995</v>
      </c>
      <c r="C324" s="10">
        <f>YEAR(Table1[[#This Row],[Order Date]])</f>
        <v>2017</v>
      </c>
      <c r="D324" s="10" t="s">
        <v>902</v>
      </c>
      <c r="E324" s="10" t="s">
        <v>647</v>
      </c>
      <c r="F324" s="10" t="s">
        <v>71</v>
      </c>
      <c r="G324" s="10" t="s">
        <v>72</v>
      </c>
      <c r="H324" s="10" t="s">
        <v>97</v>
      </c>
      <c r="I324" s="10" t="str">
        <f>VLOOKUP(Table1[[#This Row],[Account Manager ID]],Table2[[Employee ID]:[Full Name]],4,FALSE)</f>
        <v>Violet Mentari</v>
      </c>
      <c r="J324" s="10" t="str">
        <f>INDEX(Employee!$D$4:$D$47,MATCH($H$4:$H$1003,Employee!$A$4:$A$47,0))</f>
        <v>Violet Mentari</v>
      </c>
      <c r="K324" s="10" t="s">
        <v>117</v>
      </c>
      <c r="L324" s="10" t="s">
        <v>287</v>
      </c>
      <c r="M324" s="10" t="s">
        <v>59</v>
      </c>
      <c r="N324" s="10" t="s">
        <v>60</v>
      </c>
      <c r="O324" s="10" t="s">
        <v>61</v>
      </c>
      <c r="P324" s="10">
        <v>42997</v>
      </c>
      <c r="Q324" s="15">
        <v>185850</v>
      </c>
      <c r="R324" s="15">
        <v>299700</v>
      </c>
      <c r="S324" s="15">
        <f>Table1[[#This Row],[Retail Price]]-Table1[[#This Row],[Cost Price]]</f>
        <v>113850</v>
      </c>
      <c r="T324" s="10">
        <v>10</v>
      </c>
      <c r="U324" s="15">
        <f>Table1[[#This Row],[Profit Margin]]*Table1[[#This Row],[Order Quantity]]</f>
        <v>1138500</v>
      </c>
      <c r="V324" s="11">
        <v>0.1</v>
      </c>
      <c r="W324" s="15">
        <f t="shared" ref="W324:W387" si="5">V324*U324</f>
        <v>113850</v>
      </c>
      <c r="X324" s="15">
        <f>Table1[[#This Row],[Sub Total]]-Table1[[#This Row],[Discount Rp]]</f>
        <v>1024650</v>
      </c>
      <c r="Y324" s="15">
        <f ca="1">OFFSET(Helper!$C$3,MATCH(Data!$N$4:$N$1003,Helper!$C$4:$C$9,0),MATCH(Data!$O$4:$O$1003,Helper!$D$3:$F$3,0))</f>
        <v>15000</v>
      </c>
      <c r="Z324" s="16">
        <f ca="1">Table1[[#This Row],[Order Total]]+Table1[[#This Row],[Shipping Cost]]</f>
        <v>1039650</v>
      </c>
    </row>
    <row r="325" spans="1:26" ht="15.75" customHeight="1" x14ac:dyDescent="0.3">
      <c r="A325" s="9" t="s">
        <v>903</v>
      </c>
      <c r="B325" s="18">
        <v>42997</v>
      </c>
      <c r="C325" s="10">
        <f>YEAR(Table1[[#This Row],[Order Date]])</f>
        <v>2017</v>
      </c>
      <c r="D325" s="10" t="s">
        <v>904</v>
      </c>
      <c r="E325" s="10" t="s">
        <v>905</v>
      </c>
      <c r="F325" s="10" t="s">
        <v>71</v>
      </c>
      <c r="G325" s="10" t="s">
        <v>87</v>
      </c>
      <c r="H325" s="10" t="s">
        <v>185</v>
      </c>
      <c r="I325" s="10" t="str">
        <f>VLOOKUP(Table1[[#This Row],[Account Manager ID]],Table2[[Employee ID]:[Full Name]],4,FALSE)</f>
        <v>Clara Prasetyo</v>
      </c>
      <c r="J325" s="10" t="str">
        <f>INDEX(Employee!$D$4:$D$47,MATCH($H$4:$H$1003,Employee!$A$4:$A$47,0))</f>
        <v>Clara Prasetyo</v>
      </c>
      <c r="K325" s="10" t="s">
        <v>117</v>
      </c>
      <c r="L325" s="10" t="s">
        <v>406</v>
      </c>
      <c r="M325" s="10" t="s">
        <v>81</v>
      </c>
      <c r="N325" s="10" t="s">
        <v>82</v>
      </c>
      <c r="O325" s="10" t="s">
        <v>83</v>
      </c>
      <c r="P325" s="10">
        <v>42998</v>
      </c>
      <c r="Q325" s="15">
        <v>4184850</v>
      </c>
      <c r="R325" s="15">
        <v>6749850</v>
      </c>
      <c r="S325" s="15">
        <f>Table1[[#This Row],[Retail Price]]-Table1[[#This Row],[Cost Price]]</f>
        <v>2565000</v>
      </c>
      <c r="T325" s="10">
        <v>5</v>
      </c>
      <c r="U325" s="15">
        <f>Table1[[#This Row],[Profit Margin]]*Table1[[#This Row],[Order Quantity]]</f>
        <v>12825000</v>
      </c>
      <c r="V325" s="11">
        <v>0.01</v>
      </c>
      <c r="W325" s="15">
        <f t="shared" si="5"/>
        <v>128250</v>
      </c>
      <c r="X325" s="15">
        <f>Table1[[#This Row],[Sub Total]]-Table1[[#This Row],[Discount Rp]]</f>
        <v>12696750</v>
      </c>
      <c r="Y325" s="15">
        <f ca="1">OFFSET(Helper!$C$3,MATCH(Data!$N$4:$N$1003,Helper!$C$4:$C$9,0),MATCH(Data!$O$4:$O$1003,Helper!$D$3:$F$3,0))</f>
        <v>500000</v>
      </c>
      <c r="Z325" s="16">
        <f ca="1">Table1[[#This Row],[Order Total]]+Table1[[#This Row],[Shipping Cost]]</f>
        <v>13196750</v>
      </c>
    </row>
    <row r="326" spans="1:26" ht="15.75" customHeight="1" x14ac:dyDescent="0.3">
      <c r="A326" s="9" t="s">
        <v>906</v>
      </c>
      <c r="B326" s="18">
        <v>42998</v>
      </c>
      <c r="C326" s="10">
        <f>YEAR(Table1[[#This Row],[Order Date]])</f>
        <v>2017</v>
      </c>
      <c r="D326" s="10" t="s">
        <v>907</v>
      </c>
      <c r="E326" s="10" t="s">
        <v>340</v>
      </c>
      <c r="F326" s="10" t="s">
        <v>54</v>
      </c>
      <c r="G326" s="10" t="s">
        <v>72</v>
      </c>
      <c r="H326" s="10" t="s">
        <v>65</v>
      </c>
      <c r="I326" s="10" t="str">
        <f>VLOOKUP(Table1[[#This Row],[Account Manager ID]],Table2[[Employee ID]:[Full Name]],4,FALSE)</f>
        <v>Laras Nuraini</v>
      </c>
      <c r="J326" s="10" t="str">
        <f>INDEX(Employee!$D$4:$D$47,MATCH($H$4:$H$1003,Employee!$A$4:$A$47,0))</f>
        <v>Laras Nuraini</v>
      </c>
      <c r="K326" s="10" t="s">
        <v>107</v>
      </c>
      <c r="L326" s="10" t="s">
        <v>446</v>
      </c>
      <c r="M326" s="10" t="s">
        <v>59</v>
      </c>
      <c r="N326" s="10" t="s">
        <v>60</v>
      </c>
      <c r="O326" s="10" t="s">
        <v>76</v>
      </c>
      <c r="P326" s="10">
        <v>43000</v>
      </c>
      <c r="Q326" s="15">
        <v>33900</v>
      </c>
      <c r="R326" s="15">
        <v>53700</v>
      </c>
      <c r="S326" s="15">
        <f>Table1[[#This Row],[Retail Price]]-Table1[[#This Row],[Cost Price]]</f>
        <v>19800</v>
      </c>
      <c r="T326" s="10">
        <v>44</v>
      </c>
      <c r="U326" s="15">
        <f>Table1[[#This Row],[Profit Margin]]*Table1[[#This Row],[Order Quantity]]</f>
        <v>871200</v>
      </c>
      <c r="V326" s="11">
        <v>0.06</v>
      </c>
      <c r="W326" s="15">
        <f t="shared" si="5"/>
        <v>52272</v>
      </c>
      <c r="X326" s="15">
        <f>Table1[[#This Row],[Sub Total]]-Table1[[#This Row],[Discount Rp]]</f>
        <v>818928</v>
      </c>
      <c r="Y326" s="15">
        <f ca="1">OFFSET(Helper!$C$3,MATCH(Data!$N$4:$N$1003,Helper!$C$4:$C$9,0),MATCH(Data!$O$4:$O$1003,Helper!$D$3:$F$3,0))</f>
        <v>30000</v>
      </c>
      <c r="Z326" s="16">
        <f ca="1">Table1[[#This Row],[Order Total]]+Table1[[#This Row],[Shipping Cost]]</f>
        <v>848928</v>
      </c>
    </row>
    <row r="327" spans="1:26" ht="15.75" customHeight="1" x14ac:dyDescent="0.3">
      <c r="A327" s="9" t="s">
        <v>908</v>
      </c>
      <c r="B327" s="18">
        <v>42999</v>
      </c>
      <c r="C327" s="10">
        <f>YEAR(Table1[[#This Row],[Order Date]])</f>
        <v>2017</v>
      </c>
      <c r="D327" s="10" t="s">
        <v>286</v>
      </c>
      <c r="E327" s="10" t="s">
        <v>133</v>
      </c>
      <c r="F327" s="10" t="s">
        <v>261</v>
      </c>
      <c r="G327" s="10" t="s">
        <v>106</v>
      </c>
      <c r="H327" s="10" t="s">
        <v>194</v>
      </c>
      <c r="I327" s="10" t="str">
        <f>VLOOKUP(Table1[[#This Row],[Account Manager ID]],Table2[[Employee ID]:[Full Name]],4,FALSE)</f>
        <v>Nabila Prakasa</v>
      </c>
      <c r="J327" s="10" t="str">
        <f>INDEX(Employee!$D$4:$D$47,MATCH($H$4:$H$1003,Employee!$A$4:$A$47,0))</f>
        <v>Nabila Prakasa</v>
      </c>
      <c r="K327" s="10" t="s">
        <v>57</v>
      </c>
      <c r="L327" s="10" t="s">
        <v>648</v>
      </c>
      <c r="M327" s="10" t="s">
        <v>253</v>
      </c>
      <c r="N327" s="10" t="s">
        <v>136</v>
      </c>
      <c r="O327" s="10" t="s">
        <v>61</v>
      </c>
      <c r="P327" s="10">
        <v>42999</v>
      </c>
      <c r="Q327" s="15">
        <v>170700</v>
      </c>
      <c r="R327" s="15">
        <v>279750</v>
      </c>
      <c r="S327" s="15">
        <f>Table1[[#This Row],[Retail Price]]-Table1[[#This Row],[Cost Price]]</f>
        <v>109050</v>
      </c>
      <c r="T327" s="10">
        <v>18</v>
      </c>
      <c r="U327" s="15">
        <f>Table1[[#This Row],[Profit Margin]]*Table1[[#This Row],[Order Quantity]]</f>
        <v>1962900</v>
      </c>
      <c r="V327" s="11">
        <v>0.1</v>
      </c>
      <c r="W327" s="15">
        <f t="shared" si="5"/>
        <v>196290</v>
      </c>
      <c r="X327" s="15">
        <f>Table1[[#This Row],[Sub Total]]-Table1[[#This Row],[Discount Rp]]</f>
        <v>1766610</v>
      </c>
      <c r="Y327" s="15">
        <f ca="1">OFFSET(Helper!$C$3,MATCH(Data!$N$4:$N$1003,Helper!$C$4:$C$9,0),MATCH(Data!$O$4:$O$1003,Helper!$D$3:$F$3,0))</f>
        <v>10000</v>
      </c>
      <c r="Z327" s="16">
        <f ca="1">Table1[[#This Row],[Order Total]]+Table1[[#This Row],[Shipping Cost]]</f>
        <v>1776610</v>
      </c>
    </row>
    <row r="328" spans="1:26" ht="15.75" customHeight="1" x14ac:dyDescent="0.3">
      <c r="A328" s="9" t="s">
        <v>909</v>
      </c>
      <c r="B328" s="18">
        <v>43003</v>
      </c>
      <c r="C328" s="10">
        <f>YEAR(Table1[[#This Row],[Order Date]])</f>
        <v>2017</v>
      </c>
      <c r="D328" s="10" t="s">
        <v>910</v>
      </c>
      <c r="E328" s="10" t="s">
        <v>393</v>
      </c>
      <c r="F328" s="10" t="s">
        <v>71</v>
      </c>
      <c r="G328" s="10" t="s">
        <v>72</v>
      </c>
      <c r="H328" s="10" t="s">
        <v>122</v>
      </c>
      <c r="I328" s="10" t="str">
        <f>VLOOKUP(Table1[[#This Row],[Account Manager ID]],Table2[[Employee ID]:[Full Name]],4,FALSE)</f>
        <v>Ophelia Mustofa</v>
      </c>
      <c r="J328" s="10" t="str">
        <f>INDEX(Employee!$D$4:$D$47,MATCH($H$4:$H$1003,Employee!$A$4:$A$47,0))</f>
        <v>Ophelia Mustofa</v>
      </c>
      <c r="K328" s="10" t="s">
        <v>92</v>
      </c>
      <c r="L328" s="10" t="s">
        <v>326</v>
      </c>
      <c r="M328" s="10" t="s">
        <v>59</v>
      </c>
      <c r="N328" s="10" t="s">
        <v>60</v>
      </c>
      <c r="O328" s="10" t="s">
        <v>76</v>
      </c>
      <c r="P328" s="10">
        <v>43012</v>
      </c>
      <c r="Q328" s="15">
        <v>297450</v>
      </c>
      <c r="R328" s="15">
        <v>464700</v>
      </c>
      <c r="S328" s="15">
        <f>Table1[[#This Row],[Retail Price]]-Table1[[#This Row],[Cost Price]]</f>
        <v>167250</v>
      </c>
      <c r="T328" s="10">
        <v>46</v>
      </c>
      <c r="U328" s="15">
        <f>Table1[[#This Row],[Profit Margin]]*Table1[[#This Row],[Order Quantity]]</f>
        <v>7693500</v>
      </c>
      <c r="V328" s="11">
        <v>0.04</v>
      </c>
      <c r="W328" s="15">
        <f t="shared" si="5"/>
        <v>307740</v>
      </c>
      <c r="X328" s="15">
        <f>Table1[[#This Row],[Sub Total]]-Table1[[#This Row],[Discount Rp]]</f>
        <v>7385760</v>
      </c>
      <c r="Y328" s="15">
        <f ca="1">OFFSET(Helper!$C$3,MATCH(Data!$N$4:$N$1003,Helper!$C$4:$C$9,0),MATCH(Data!$O$4:$O$1003,Helper!$D$3:$F$3,0))</f>
        <v>30000</v>
      </c>
      <c r="Z328" s="16">
        <f ca="1">Table1[[#This Row],[Order Total]]+Table1[[#This Row],[Shipping Cost]]</f>
        <v>7415760</v>
      </c>
    </row>
    <row r="329" spans="1:26" ht="15.75" customHeight="1" x14ac:dyDescent="0.3">
      <c r="A329" s="9" t="s">
        <v>911</v>
      </c>
      <c r="B329" s="18">
        <v>43006</v>
      </c>
      <c r="C329" s="10">
        <f>YEAR(Table1[[#This Row],[Order Date]])</f>
        <v>2017</v>
      </c>
      <c r="D329" s="10" t="s">
        <v>763</v>
      </c>
      <c r="E329" s="10" t="s">
        <v>237</v>
      </c>
      <c r="F329" s="10" t="s">
        <v>71</v>
      </c>
      <c r="G329" s="10" t="s">
        <v>55</v>
      </c>
      <c r="H329" s="10" t="s">
        <v>112</v>
      </c>
      <c r="I329" s="10" t="str">
        <f>VLOOKUP(Table1[[#This Row],[Account Manager ID]],Table2[[Employee ID]:[Full Name]],4,FALSE)</f>
        <v>Paiman Firgantoro</v>
      </c>
      <c r="J329" s="10" t="str">
        <f>INDEX(Employee!$D$4:$D$47,MATCH($H$4:$H$1003,Employee!$A$4:$A$47,0))</f>
        <v>Paiman Firgantoro</v>
      </c>
      <c r="K329" s="10" t="s">
        <v>92</v>
      </c>
      <c r="L329" s="10" t="s">
        <v>162</v>
      </c>
      <c r="M329" s="10" t="s">
        <v>59</v>
      </c>
      <c r="N329" s="10" t="s">
        <v>60</v>
      </c>
      <c r="O329" s="10" t="s">
        <v>61</v>
      </c>
      <c r="P329" s="10">
        <v>43011</v>
      </c>
      <c r="Q329" s="15">
        <v>52800</v>
      </c>
      <c r="R329" s="15">
        <v>85200</v>
      </c>
      <c r="S329" s="15">
        <f>Table1[[#This Row],[Retail Price]]-Table1[[#This Row],[Cost Price]]</f>
        <v>32400</v>
      </c>
      <c r="T329" s="10">
        <v>32</v>
      </c>
      <c r="U329" s="15">
        <f>Table1[[#This Row],[Profit Margin]]*Table1[[#This Row],[Order Quantity]]</f>
        <v>1036800</v>
      </c>
      <c r="V329" s="11">
        <v>0.1</v>
      </c>
      <c r="W329" s="15">
        <f t="shared" si="5"/>
        <v>103680</v>
      </c>
      <c r="X329" s="15">
        <f>Table1[[#This Row],[Sub Total]]-Table1[[#This Row],[Discount Rp]]</f>
        <v>933120</v>
      </c>
      <c r="Y329" s="15">
        <f ca="1">OFFSET(Helper!$C$3,MATCH(Data!$N$4:$N$1003,Helper!$C$4:$C$9,0),MATCH(Data!$O$4:$O$1003,Helper!$D$3:$F$3,0))</f>
        <v>15000</v>
      </c>
      <c r="Z329" s="16">
        <f ca="1">Table1[[#This Row],[Order Total]]+Table1[[#This Row],[Shipping Cost]]</f>
        <v>948120</v>
      </c>
    </row>
    <row r="330" spans="1:26" ht="15.75" customHeight="1" x14ac:dyDescent="0.3">
      <c r="A330" s="9" t="s">
        <v>912</v>
      </c>
      <c r="B330" s="18">
        <v>43007</v>
      </c>
      <c r="C330" s="10">
        <f>YEAR(Table1[[#This Row],[Order Date]])</f>
        <v>2017</v>
      </c>
      <c r="D330" s="10" t="s">
        <v>158</v>
      </c>
      <c r="E330" s="10" t="s">
        <v>159</v>
      </c>
      <c r="F330" s="10" t="s">
        <v>71</v>
      </c>
      <c r="G330" s="10" t="s">
        <v>55</v>
      </c>
      <c r="H330" s="10" t="s">
        <v>122</v>
      </c>
      <c r="I330" s="10" t="str">
        <f>VLOOKUP(Table1[[#This Row],[Account Manager ID]],Table2[[Employee ID]:[Full Name]],4,FALSE)</f>
        <v>Ophelia Mustofa</v>
      </c>
      <c r="J330" s="10" t="str">
        <f>INDEX(Employee!$D$4:$D$47,MATCH($H$4:$H$1003,Employee!$A$4:$A$47,0))</f>
        <v>Ophelia Mustofa</v>
      </c>
      <c r="K330" s="10" t="s">
        <v>117</v>
      </c>
      <c r="L330" s="10" t="s">
        <v>265</v>
      </c>
      <c r="M330" s="10" t="s">
        <v>59</v>
      </c>
      <c r="N330" s="10" t="s">
        <v>60</v>
      </c>
      <c r="O330" s="10" t="s">
        <v>61</v>
      </c>
      <c r="P330" s="10">
        <v>43008</v>
      </c>
      <c r="Q330" s="15">
        <v>17700</v>
      </c>
      <c r="R330" s="15">
        <v>28200</v>
      </c>
      <c r="S330" s="15">
        <f>Table1[[#This Row],[Retail Price]]-Table1[[#This Row],[Cost Price]]</f>
        <v>10500</v>
      </c>
      <c r="T330" s="10">
        <v>19</v>
      </c>
      <c r="U330" s="15">
        <f>Table1[[#This Row],[Profit Margin]]*Table1[[#This Row],[Order Quantity]]</f>
        <v>199500</v>
      </c>
      <c r="V330" s="11">
        <v>7.0000000000000007E-2</v>
      </c>
      <c r="W330" s="15">
        <f t="shared" si="5"/>
        <v>13965.000000000002</v>
      </c>
      <c r="X330" s="15">
        <f>Table1[[#This Row],[Sub Total]]-Table1[[#This Row],[Discount Rp]]</f>
        <v>185535</v>
      </c>
      <c r="Y330" s="15">
        <f ca="1">OFFSET(Helper!$C$3,MATCH(Data!$N$4:$N$1003,Helper!$C$4:$C$9,0),MATCH(Data!$O$4:$O$1003,Helper!$D$3:$F$3,0))</f>
        <v>15000</v>
      </c>
      <c r="Z330" s="16">
        <f ca="1">Table1[[#This Row],[Order Total]]+Table1[[#This Row],[Shipping Cost]]</f>
        <v>200535</v>
      </c>
    </row>
    <row r="331" spans="1:26" ht="15.75" customHeight="1" x14ac:dyDescent="0.3">
      <c r="A331" s="9" t="s">
        <v>913</v>
      </c>
      <c r="B331" s="18">
        <v>43008</v>
      </c>
      <c r="C331" s="10">
        <f>YEAR(Table1[[#This Row],[Order Date]])</f>
        <v>2017</v>
      </c>
      <c r="D331" s="10" t="s">
        <v>914</v>
      </c>
      <c r="E331" s="10" t="s">
        <v>915</v>
      </c>
      <c r="F331" s="10" t="s">
        <v>261</v>
      </c>
      <c r="G331" s="10" t="s">
        <v>72</v>
      </c>
      <c r="H331" s="10" t="s">
        <v>97</v>
      </c>
      <c r="I331" s="10" t="str">
        <f>VLOOKUP(Table1[[#This Row],[Account Manager ID]],Table2[[Employee ID]:[Full Name]],4,FALSE)</f>
        <v>Violet Mentari</v>
      </c>
      <c r="J331" s="10" t="str">
        <f>INDEX(Employee!$D$4:$D$47,MATCH($H$4:$H$1003,Employee!$A$4:$A$47,0))</f>
        <v>Violet Mentari</v>
      </c>
      <c r="K331" s="10" t="s">
        <v>57</v>
      </c>
      <c r="L331" s="10" t="s">
        <v>75</v>
      </c>
      <c r="M331" s="10" t="s">
        <v>59</v>
      </c>
      <c r="N331" s="10" t="s">
        <v>67</v>
      </c>
      <c r="O331" s="10" t="s">
        <v>61</v>
      </c>
      <c r="P331" s="10">
        <v>43008</v>
      </c>
      <c r="Q331" s="15">
        <v>36150</v>
      </c>
      <c r="R331" s="15">
        <v>55650</v>
      </c>
      <c r="S331" s="15">
        <f>Table1[[#This Row],[Retail Price]]-Table1[[#This Row],[Cost Price]]</f>
        <v>19500</v>
      </c>
      <c r="T331" s="10">
        <v>39</v>
      </c>
      <c r="U331" s="15">
        <f>Table1[[#This Row],[Profit Margin]]*Table1[[#This Row],[Order Quantity]]</f>
        <v>760500</v>
      </c>
      <c r="V331" s="11">
        <v>0.06</v>
      </c>
      <c r="W331" s="15">
        <f t="shared" si="5"/>
        <v>45630</v>
      </c>
      <c r="X331" s="15">
        <f>Table1[[#This Row],[Sub Total]]-Table1[[#This Row],[Discount Rp]]</f>
        <v>714870</v>
      </c>
      <c r="Y331" s="15">
        <f ca="1">OFFSET(Helper!$C$3,MATCH(Data!$N$4:$N$1003,Helper!$C$4:$C$9,0),MATCH(Data!$O$4:$O$1003,Helper!$D$3:$F$3,0))</f>
        <v>5000</v>
      </c>
      <c r="Z331" s="16">
        <f ca="1">Table1[[#This Row],[Order Total]]+Table1[[#This Row],[Shipping Cost]]</f>
        <v>719870</v>
      </c>
    </row>
    <row r="332" spans="1:26" ht="15.75" customHeight="1" x14ac:dyDescent="0.3">
      <c r="A332" s="9" t="s">
        <v>916</v>
      </c>
      <c r="B332" s="18">
        <v>43008</v>
      </c>
      <c r="C332" s="10">
        <f>YEAR(Table1[[#This Row],[Order Date]])</f>
        <v>2017</v>
      </c>
      <c r="D332" s="10" t="s">
        <v>104</v>
      </c>
      <c r="E332" s="10" t="s">
        <v>105</v>
      </c>
      <c r="F332" s="10" t="s">
        <v>71</v>
      </c>
      <c r="G332" s="10" t="s">
        <v>106</v>
      </c>
      <c r="H332" s="10" t="s">
        <v>73</v>
      </c>
      <c r="I332" s="10" t="str">
        <f>VLOOKUP(Table1[[#This Row],[Account Manager ID]],Table2[[Employee ID]:[Full Name]],4,FALSE)</f>
        <v>Cinthia Gunawan</v>
      </c>
      <c r="J332" s="10" t="str">
        <f>INDEX(Employee!$D$4:$D$47,MATCH($H$4:$H$1003,Employee!$A$4:$A$47,0))</f>
        <v>Cinthia Gunawan</v>
      </c>
      <c r="K332" s="10" t="s">
        <v>74</v>
      </c>
      <c r="L332" s="10" t="s">
        <v>917</v>
      </c>
      <c r="M332" s="10" t="s">
        <v>59</v>
      </c>
      <c r="N332" s="10" t="s">
        <v>67</v>
      </c>
      <c r="O332" s="10" t="s">
        <v>61</v>
      </c>
      <c r="P332" s="10">
        <v>43008</v>
      </c>
      <c r="Q332" s="15">
        <v>28200</v>
      </c>
      <c r="R332" s="15">
        <v>47100</v>
      </c>
      <c r="S332" s="15">
        <f>Table1[[#This Row],[Retail Price]]-Table1[[#This Row],[Cost Price]]</f>
        <v>18900</v>
      </c>
      <c r="T332" s="10">
        <v>32</v>
      </c>
      <c r="U332" s="15">
        <f>Table1[[#This Row],[Profit Margin]]*Table1[[#This Row],[Order Quantity]]</f>
        <v>604800</v>
      </c>
      <c r="V332" s="11">
        <v>0.03</v>
      </c>
      <c r="W332" s="15">
        <f t="shared" si="5"/>
        <v>18144</v>
      </c>
      <c r="X332" s="15">
        <f>Table1[[#This Row],[Sub Total]]-Table1[[#This Row],[Discount Rp]]</f>
        <v>586656</v>
      </c>
      <c r="Y332" s="15">
        <f ca="1">OFFSET(Helper!$C$3,MATCH(Data!$N$4:$N$1003,Helper!$C$4:$C$9,0),MATCH(Data!$O$4:$O$1003,Helper!$D$3:$F$3,0))</f>
        <v>5000</v>
      </c>
      <c r="Z332" s="16">
        <f ca="1">Table1[[#This Row],[Order Total]]+Table1[[#This Row],[Shipping Cost]]</f>
        <v>591656</v>
      </c>
    </row>
    <row r="333" spans="1:26" ht="15.75" customHeight="1" x14ac:dyDescent="0.3">
      <c r="A333" s="9" t="s">
        <v>918</v>
      </c>
      <c r="B333" s="18">
        <v>43009</v>
      </c>
      <c r="C333" s="10">
        <f>YEAR(Table1[[#This Row],[Order Date]])</f>
        <v>2017</v>
      </c>
      <c r="D333" s="10" t="s">
        <v>919</v>
      </c>
      <c r="E333" s="10" t="s">
        <v>184</v>
      </c>
      <c r="F333" s="10" t="s">
        <v>54</v>
      </c>
      <c r="G333" s="10" t="s">
        <v>87</v>
      </c>
      <c r="H333" s="10" t="s">
        <v>65</v>
      </c>
      <c r="I333" s="10" t="str">
        <f>VLOOKUP(Table1[[#This Row],[Account Manager ID]],Table2[[Employee ID]:[Full Name]],4,FALSE)</f>
        <v>Laras Nuraini</v>
      </c>
      <c r="J333" s="10" t="str">
        <f>INDEX(Employee!$D$4:$D$47,MATCH($H$4:$H$1003,Employee!$A$4:$A$47,0))</f>
        <v>Laras Nuraini</v>
      </c>
      <c r="K333" s="10" t="s">
        <v>117</v>
      </c>
      <c r="L333" s="10" t="s">
        <v>238</v>
      </c>
      <c r="M333" s="10" t="s">
        <v>59</v>
      </c>
      <c r="N333" s="10" t="s">
        <v>67</v>
      </c>
      <c r="O333" s="10" t="s">
        <v>61</v>
      </c>
      <c r="P333" s="10">
        <v>43011</v>
      </c>
      <c r="Q333" s="15">
        <v>323400</v>
      </c>
      <c r="R333" s="15">
        <v>548250</v>
      </c>
      <c r="S333" s="15">
        <f>Table1[[#This Row],[Retail Price]]-Table1[[#This Row],[Cost Price]]</f>
        <v>224850</v>
      </c>
      <c r="T333" s="10">
        <v>48</v>
      </c>
      <c r="U333" s="15">
        <f>Table1[[#This Row],[Profit Margin]]*Table1[[#This Row],[Order Quantity]]</f>
        <v>10792800</v>
      </c>
      <c r="V333" s="11">
        <v>7.0000000000000007E-2</v>
      </c>
      <c r="W333" s="15">
        <f t="shared" si="5"/>
        <v>755496.00000000012</v>
      </c>
      <c r="X333" s="15">
        <f>Table1[[#This Row],[Sub Total]]-Table1[[#This Row],[Discount Rp]]</f>
        <v>10037304</v>
      </c>
      <c r="Y333" s="15">
        <f ca="1">OFFSET(Helper!$C$3,MATCH(Data!$N$4:$N$1003,Helper!$C$4:$C$9,0),MATCH(Data!$O$4:$O$1003,Helper!$D$3:$F$3,0))</f>
        <v>5000</v>
      </c>
      <c r="Z333" s="16">
        <f ca="1">Table1[[#This Row],[Order Total]]+Table1[[#This Row],[Shipping Cost]]</f>
        <v>10042304</v>
      </c>
    </row>
    <row r="334" spans="1:26" ht="15.75" customHeight="1" x14ac:dyDescent="0.3">
      <c r="A334" s="9" t="s">
        <v>920</v>
      </c>
      <c r="B334" s="18">
        <v>43009</v>
      </c>
      <c r="C334" s="10">
        <f>YEAR(Table1[[#This Row],[Order Date]])</f>
        <v>2017</v>
      </c>
      <c r="D334" s="10" t="s">
        <v>921</v>
      </c>
      <c r="E334" s="10" t="s">
        <v>193</v>
      </c>
      <c r="F334" s="10" t="s">
        <v>71</v>
      </c>
      <c r="G334" s="10" t="s">
        <v>87</v>
      </c>
      <c r="H334" s="10" t="s">
        <v>194</v>
      </c>
      <c r="I334" s="10" t="str">
        <f>VLOOKUP(Table1[[#This Row],[Account Manager ID]],Table2[[Employee ID]:[Full Name]],4,FALSE)</f>
        <v>Nabila Prakasa</v>
      </c>
      <c r="J334" s="10" t="str">
        <f>INDEX(Employee!$D$4:$D$47,MATCH($H$4:$H$1003,Employee!$A$4:$A$47,0))</f>
        <v>Nabila Prakasa</v>
      </c>
      <c r="K334" s="10" t="s">
        <v>107</v>
      </c>
      <c r="L334" s="10" t="s">
        <v>300</v>
      </c>
      <c r="M334" s="10" t="s">
        <v>81</v>
      </c>
      <c r="N334" s="10" t="s">
        <v>136</v>
      </c>
      <c r="O334" s="10" t="s">
        <v>61</v>
      </c>
      <c r="P334" s="10">
        <v>43011</v>
      </c>
      <c r="Q334" s="15">
        <v>302700</v>
      </c>
      <c r="R334" s="15">
        <v>531150</v>
      </c>
      <c r="S334" s="15">
        <f>Table1[[#This Row],[Retail Price]]-Table1[[#This Row],[Cost Price]]</f>
        <v>228450</v>
      </c>
      <c r="T334" s="10">
        <v>21</v>
      </c>
      <c r="U334" s="15">
        <f>Table1[[#This Row],[Profit Margin]]*Table1[[#This Row],[Order Quantity]]</f>
        <v>4797450</v>
      </c>
      <c r="V334" s="11">
        <v>0.01</v>
      </c>
      <c r="W334" s="15">
        <f t="shared" si="5"/>
        <v>47974.5</v>
      </c>
      <c r="X334" s="15">
        <f>Table1[[#This Row],[Sub Total]]-Table1[[#This Row],[Discount Rp]]</f>
        <v>4749475.5</v>
      </c>
      <c r="Y334" s="15">
        <f ca="1">OFFSET(Helper!$C$3,MATCH(Data!$N$4:$N$1003,Helper!$C$4:$C$9,0),MATCH(Data!$O$4:$O$1003,Helper!$D$3:$F$3,0))</f>
        <v>10000</v>
      </c>
      <c r="Z334" s="16">
        <f ca="1">Table1[[#This Row],[Order Total]]+Table1[[#This Row],[Shipping Cost]]</f>
        <v>4759475.5</v>
      </c>
    </row>
    <row r="335" spans="1:26" ht="15.75" customHeight="1" x14ac:dyDescent="0.3">
      <c r="A335" s="9" t="s">
        <v>922</v>
      </c>
      <c r="B335" s="18">
        <v>43009</v>
      </c>
      <c r="C335" s="10">
        <f>YEAR(Table1[[#This Row],[Order Date]])</f>
        <v>2017</v>
      </c>
      <c r="D335" s="10" t="s">
        <v>490</v>
      </c>
      <c r="E335" s="10" t="s">
        <v>159</v>
      </c>
      <c r="F335" s="10" t="s">
        <v>71</v>
      </c>
      <c r="G335" s="10" t="s">
        <v>55</v>
      </c>
      <c r="H335" s="10" t="s">
        <v>122</v>
      </c>
      <c r="I335" s="10" t="str">
        <f>VLOOKUP(Table1[[#This Row],[Account Manager ID]],Table2[[Employee ID]:[Full Name]],4,FALSE)</f>
        <v>Ophelia Mustofa</v>
      </c>
      <c r="J335" s="10" t="str">
        <f>INDEX(Employee!$D$4:$D$47,MATCH($H$4:$H$1003,Employee!$A$4:$A$47,0))</f>
        <v>Ophelia Mustofa</v>
      </c>
      <c r="K335" s="10" t="s">
        <v>57</v>
      </c>
      <c r="L335" s="10" t="s">
        <v>98</v>
      </c>
      <c r="M335" s="10" t="s">
        <v>59</v>
      </c>
      <c r="N335" s="10" t="s">
        <v>60</v>
      </c>
      <c r="O335" s="10" t="s">
        <v>61</v>
      </c>
      <c r="P335" s="10">
        <v>43011</v>
      </c>
      <c r="Q335" s="15">
        <v>1490850</v>
      </c>
      <c r="R335" s="15">
        <v>2443950</v>
      </c>
      <c r="S335" s="15">
        <f>Table1[[#This Row],[Retail Price]]-Table1[[#This Row],[Cost Price]]</f>
        <v>953100</v>
      </c>
      <c r="T335" s="10">
        <v>16</v>
      </c>
      <c r="U335" s="15">
        <f>Table1[[#This Row],[Profit Margin]]*Table1[[#This Row],[Order Quantity]]</f>
        <v>15249600</v>
      </c>
      <c r="V335" s="11">
        <v>0.1</v>
      </c>
      <c r="W335" s="15">
        <f t="shared" si="5"/>
        <v>1524960</v>
      </c>
      <c r="X335" s="15">
        <f>Table1[[#This Row],[Sub Total]]-Table1[[#This Row],[Discount Rp]]</f>
        <v>13724640</v>
      </c>
      <c r="Y335" s="15">
        <f ca="1">OFFSET(Helper!$C$3,MATCH(Data!$N$4:$N$1003,Helper!$C$4:$C$9,0),MATCH(Data!$O$4:$O$1003,Helper!$D$3:$F$3,0))</f>
        <v>15000</v>
      </c>
      <c r="Z335" s="16">
        <f ca="1">Table1[[#This Row],[Order Total]]+Table1[[#This Row],[Shipping Cost]]</f>
        <v>13739640</v>
      </c>
    </row>
    <row r="336" spans="1:26" ht="15.75" customHeight="1" x14ac:dyDescent="0.3">
      <c r="A336" s="9" t="s">
        <v>923</v>
      </c>
      <c r="B336" s="18">
        <v>43012</v>
      </c>
      <c r="C336" s="10">
        <f>YEAR(Table1[[#This Row],[Order Date]])</f>
        <v>2017</v>
      </c>
      <c r="D336" s="10" t="s">
        <v>924</v>
      </c>
      <c r="E336" s="10" t="s">
        <v>853</v>
      </c>
      <c r="F336" s="10" t="s">
        <v>71</v>
      </c>
      <c r="G336" s="10" t="s">
        <v>72</v>
      </c>
      <c r="H336" s="10" t="s">
        <v>185</v>
      </c>
      <c r="I336" s="10" t="str">
        <f>VLOOKUP(Table1[[#This Row],[Account Manager ID]],Table2[[Employee ID]:[Full Name]],4,FALSE)</f>
        <v>Clara Prasetyo</v>
      </c>
      <c r="J336" s="10" t="str">
        <f>INDEX(Employee!$D$4:$D$47,MATCH($H$4:$H$1003,Employee!$A$4:$A$47,0))</f>
        <v>Clara Prasetyo</v>
      </c>
      <c r="K336" s="10" t="s">
        <v>107</v>
      </c>
      <c r="L336" s="10" t="s">
        <v>480</v>
      </c>
      <c r="M336" s="10" t="s">
        <v>253</v>
      </c>
      <c r="N336" s="10" t="s">
        <v>459</v>
      </c>
      <c r="O336" s="10" t="s">
        <v>76</v>
      </c>
      <c r="P336" s="10">
        <v>43014</v>
      </c>
      <c r="Q336" s="15">
        <v>842400</v>
      </c>
      <c r="R336" s="15">
        <v>2054699.9999999998</v>
      </c>
      <c r="S336" s="15">
        <f>Table1[[#This Row],[Retail Price]]-Table1[[#This Row],[Cost Price]]</f>
        <v>1212299.9999999998</v>
      </c>
      <c r="T336" s="10">
        <v>17</v>
      </c>
      <c r="U336" s="15">
        <f>Table1[[#This Row],[Profit Margin]]*Table1[[#This Row],[Order Quantity]]</f>
        <v>20609099.999999996</v>
      </c>
      <c r="V336" s="11">
        <v>0</v>
      </c>
      <c r="W336" s="15">
        <f t="shared" si="5"/>
        <v>0</v>
      </c>
      <c r="X336" s="15">
        <f>Table1[[#This Row],[Sub Total]]-Table1[[#This Row],[Discount Rp]]</f>
        <v>20609099.999999996</v>
      </c>
      <c r="Y336" s="15">
        <f ca="1">OFFSET(Helper!$C$3,MATCH(Data!$N$4:$N$1003,Helper!$C$4:$C$9,0),MATCH(Data!$O$4:$O$1003,Helper!$D$3:$F$3,0))</f>
        <v>100000</v>
      </c>
      <c r="Z336" s="16">
        <f ca="1">Table1[[#This Row],[Order Total]]+Table1[[#This Row],[Shipping Cost]]</f>
        <v>20709099.999999996</v>
      </c>
    </row>
    <row r="337" spans="1:26" ht="15.75" customHeight="1" x14ac:dyDescent="0.3">
      <c r="A337" s="9" t="s">
        <v>925</v>
      </c>
      <c r="B337" s="18">
        <v>43012</v>
      </c>
      <c r="C337" s="10">
        <f>YEAR(Table1[[#This Row],[Order Date]])</f>
        <v>2017</v>
      </c>
      <c r="D337" s="10" t="s">
        <v>926</v>
      </c>
      <c r="E337" s="10" t="s">
        <v>927</v>
      </c>
      <c r="F337" s="10" t="s">
        <v>54</v>
      </c>
      <c r="G337" s="10" t="s">
        <v>87</v>
      </c>
      <c r="H337" s="10" t="s">
        <v>65</v>
      </c>
      <c r="I337" s="10" t="str">
        <f>VLOOKUP(Table1[[#This Row],[Account Manager ID]],Table2[[Employee ID]:[Full Name]],4,FALSE)</f>
        <v>Laras Nuraini</v>
      </c>
      <c r="J337" s="10" t="str">
        <f>INDEX(Employee!$D$4:$D$47,MATCH($H$4:$H$1003,Employee!$A$4:$A$47,0))</f>
        <v>Laras Nuraini</v>
      </c>
      <c r="K337" s="10" t="s">
        <v>117</v>
      </c>
      <c r="L337" s="10" t="s">
        <v>684</v>
      </c>
      <c r="M337" s="10" t="s">
        <v>59</v>
      </c>
      <c r="N337" s="10" t="s">
        <v>60</v>
      </c>
      <c r="O337" s="10" t="s">
        <v>76</v>
      </c>
      <c r="P337" s="10">
        <v>43014</v>
      </c>
      <c r="Q337" s="15">
        <v>47100</v>
      </c>
      <c r="R337" s="15">
        <v>73650</v>
      </c>
      <c r="S337" s="15">
        <f>Table1[[#This Row],[Retail Price]]-Table1[[#This Row],[Cost Price]]</f>
        <v>26550</v>
      </c>
      <c r="T337" s="10">
        <v>24</v>
      </c>
      <c r="U337" s="15">
        <f>Table1[[#This Row],[Profit Margin]]*Table1[[#This Row],[Order Quantity]]</f>
        <v>637200</v>
      </c>
      <c r="V337" s="11">
        <v>0.01</v>
      </c>
      <c r="W337" s="15">
        <f t="shared" si="5"/>
        <v>6372</v>
      </c>
      <c r="X337" s="15">
        <f>Table1[[#This Row],[Sub Total]]-Table1[[#This Row],[Discount Rp]]</f>
        <v>630828</v>
      </c>
      <c r="Y337" s="15">
        <f ca="1">OFFSET(Helper!$C$3,MATCH(Data!$N$4:$N$1003,Helper!$C$4:$C$9,0),MATCH(Data!$O$4:$O$1003,Helper!$D$3:$F$3,0))</f>
        <v>30000</v>
      </c>
      <c r="Z337" s="16">
        <f ca="1">Table1[[#This Row],[Order Total]]+Table1[[#This Row],[Shipping Cost]]</f>
        <v>660828</v>
      </c>
    </row>
    <row r="338" spans="1:26" ht="15.75" customHeight="1" x14ac:dyDescent="0.3">
      <c r="A338" s="9" t="s">
        <v>928</v>
      </c>
      <c r="B338" s="18">
        <v>43013</v>
      </c>
      <c r="C338" s="10">
        <f>YEAR(Table1[[#This Row],[Order Date]])</f>
        <v>2017</v>
      </c>
      <c r="D338" s="10" t="s">
        <v>929</v>
      </c>
      <c r="E338" s="10" t="s">
        <v>930</v>
      </c>
      <c r="F338" s="10" t="s">
        <v>71</v>
      </c>
      <c r="G338" s="10" t="s">
        <v>55</v>
      </c>
      <c r="H338" s="10" t="s">
        <v>97</v>
      </c>
      <c r="I338" s="10" t="str">
        <f>VLOOKUP(Table1[[#This Row],[Account Manager ID]],Table2[[Employee ID]:[Full Name]],4,FALSE)</f>
        <v>Violet Mentari</v>
      </c>
      <c r="J338" s="10" t="str">
        <f>INDEX(Employee!$D$4:$D$47,MATCH($H$4:$H$1003,Employee!$A$4:$A$47,0))</f>
        <v>Violet Mentari</v>
      </c>
      <c r="K338" s="10" t="s">
        <v>117</v>
      </c>
      <c r="L338" s="10" t="s">
        <v>931</v>
      </c>
      <c r="M338" s="10" t="s">
        <v>59</v>
      </c>
      <c r="N338" s="10" t="s">
        <v>60</v>
      </c>
      <c r="O338" s="10" t="s">
        <v>61</v>
      </c>
      <c r="P338" s="10">
        <v>43013</v>
      </c>
      <c r="Q338" s="15">
        <v>27600</v>
      </c>
      <c r="R338" s="15">
        <v>43200</v>
      </c>
      <c r="S338" s="15">
        <f>Table1[[#This Row],[Retail Price]]-Table1[[#This Row],[Cost Price]]</f>
        <v>15600</v>
      </c>
      <c r="T338" s="10">
        <v>8</v>
      </c>
      <c r="U338" s="15">
        <f>Table1[[#This Row],[Profit Margin]]*Table1[[#This Row],[Order Quantity]]</f>
        <v>124800</v>
      </c>
      <c r="V338" s="11">
        <v>7.0000000000000007E-2</v>
      </c>
      <c r="W338" s="15">
        <f t="shared" si="5"/>
        <v>8736</v>
      </c>
      <c r="X338" s="15">
        <f>Table1[[#This Row],[Sub Total]]-Table1[[#This Row],[Discount Rp]]</f>
        <v>116064</v>
      </c>
      <c r="Y338" s="15">
        <f ca="1">OFFSET(Helper!$C$3,MATCH(Data!$N$4:$N$1003,Helper!$C$4:$C$9,0),MATCH(Data!$O$4:$O$1003,Helper!$D$3:$F$3,0))</f>
        <v>15000</v>
      </c>
      <c r="Z338" s="16">
        <f ca="1">Table1[[#This Row],[Order Total]]+Table1[[#This Row],[Shipping Cost]]</f>
        <v>131064</v>
      </c>
    </row>
    <row r="339" spans="1:26" ht="15.75" customHeight="1" x14ac:dyDescent="0.3">
      <c r="A339" s="9" t="s">
        <v>932</v>
      </c>
      <c r="B339" s="18">
        <v>43015</v>
      </c>
      <c r="C339" s="10">
        <f>YEAR(Table1[[#This Row],[Order Date]])</f>
        <v>2017</v>
      </c>
      <c r="D339" s="10" t="s">
        <v>322</v>
      </c>
      <c r="E339" s="10" t="s">
        <v>323</v>
      </c>
      <c r="F339" s="10" t="s">
        <v>71</v>
      </c>
      <c r="G339" s="10" t="s">
        <v>106</v>
      </c>
      <c r="H339" s="10" t="s">
        <v>194</v>
      </c>
      <c r="I339" s="10" t="str">
        <f>VLOOKUP(Table1[[#This Row],[Account Manager ID]],Table2[[Employee ID]:[Full Name]],4,FALSE)</f>
        <v>Nabila Prakasa</v>
      </c>
      <c r="J339" s="10" t="str">
        <f>INDEX(Employee!$D$4:$D$47,MATCH($H$4:$H$1003,Employee!$A$4:$A$47,0))</f>
        <v>Nabila Prakasa</v>
      </c>
      <c r="K339" s="10" t="s">
        <v>107</v>
      </c>
      <c r="L339" s="10" t="s">
        <v>598</v>
      </c>
      <c r="M339" s="10" t="s">
        <v>59</v>
      </c>
      <c r="N339" s="10" t="s">
        <v>136</v>
      </c>
      <c r="O339" s="10" t="s">
        <v>61</v>
      </c>
      <c r="P339" s="10">
        <v>43015</v>
      </c>
      <c r="Q339" s="15">
        <v>252000</v>
      </c>
      <c r="R339" s="15">
        <v>614550</v>
      </c>
      <c r="S339" s="15">
        <f>Table1[[#This Row],[Retail Price]]-Table1[[#This Row],[Cost Price]]</f>
        <v>362550</v>
      </c>
      <c r="T339" s="10">
        <v>47</v>
      </c>
      <c r="U339" s="15">
        <f>Table1[[#This Row],[Profit Margin]]*Table1[[#This Row],[Order Quantity]]</f>
        <v>17039850</v>
      </c>
      <c r="V339" s="11">
        <v>0.06</v>
      </c>
      <c r="W339" s="15">
        <f t="shared" si="5"/>
        <v>1022391</v>
      </c>
      <c r="X339" s="15">
        <f>Table1[[#This Row],[Sub Total]]-Table1[[#This Row],[Discount Rp]]</f>
        <v>16017459</v>
      </c>
      <c r="Y339" s="15">
        <f ca="1">OFFSET(Helper!$C$3,MATCH(Data!$N$4:$N$1003,Helper!$C$4:$C$9,0),MATCH(Data!$O$4:$O$1003,Helper!$D$3:$F$3,0))</f>
        <v>10000</v>
      </c>
      <c r="Z339" s="16">
        <f ca="1">Table1[[#This Row],[Order Total]]+Table1[[#This Row],[Shipping Cost]]</f>
        <v>16027459</v>
      </c>
    </row>
    <row r="340" spans="1:26" ht="15.75" customHeight="1" x14ac:dyDescent="0.3">
      <c r="A340" s="9" t="s">
        <v>933</v>
      </c>
      <c r="B340" s="18">
        <v>43017</v>
      </c>
      <c r="C340" s="10">
        <f>YEAR(Table1[[#This Row],[Order Date]])</f>
        <v>2017</v>
      </c>
      <c r="D340" s="10" t="s">
        <v>934</v>
      </c>
      <c r="E340" s="10" t="s">
        <v>233</v>
      </c>
      <c r="F340" s="10" t="s">
        <v>54</v>
      </c>
      <c r="G340" s="10" t="s">
        <v>106</v>
      </c>
      <c r="H340" s="10" t="s">
        <v>65</v>
      </c>
      <c r="I340" s="10" t="str">
        <f>VLOOKUP(Table1[[#This Row],[Account Manager ID]],Table2[[Employee ID]:[Full Name]],4,FALSE)</f>
        <v>Laras Nuraini</v>
      </c>
      <c r="J340" s="10" t="str">
        <f>INDEX(Employee!$D$4:$D$47,MATCH($H$4:$H$1003,Employee!$A$4:$A$47,0))</f>
        <v>Laras Nuraini</v>
      </c>
      <c r="K340" s="10" t="s">
        <v>57</v>
      </c>
      <c r="L340" s="10" t="s">
        <v>450</v>
      </c>
      <c r="M340" s="10" t="s">
        <v>59</v>
      </c>
      <c r="N340" s="10" t="s">
        <v>136</v>
      </c>
      <c r="O340" s="10" t="s">
        <v>61</v>
      </c>
      <c r="P340" s="10">
        <v>43018</v>
      </c>
      <c r="Q340" s="15">
        <v>21900</v>
      </c>
      <c r="R340" s="15">
        <v>53550</v>
      </c>
      <c r="S340" s="15">
        <f>Table1[[#This Row],[Retail Price]]-Table1[[#This Row],[Cost Price]]</f>
        <v>31650</v>
      </c>
      <c r="T340" s="10">
        <v>46</v>
      </c>
      <c r="U340" s="15">
        <f>Table1[[#This Row],[Profit Margin]]*Table1[[#This Row],[Order Quantity]]</f>
        <v>1455900</v>
      </c>
      <c r="V340" s="11">
        <v>0.01</v>
      </c>
      <c r="W340" s="15">
        <f t="shared" si="5"/>
        <v>14559</v>
      </c>
      <c r="X340" s="15">
        <f>Table1[[#This Row],[Sub Total]]-Table1[[#This Row],[Discount Rp]]</f>
        <v>1441341</v>
      </c>
      <c r="Y340" s="15">
        <f ca="1">OFFSET(Helper!$C$3,MATCH(Data!$N$4:$N$1003,Helper!$C$4:$C$9,0),MATCH(Data!$O$4:$O$1003,Helper!$D$3:$F$3,0))</f>
        <v>10000</v>
      </c>
      <c r="Z340" s="16">
        <f ca="1">Table1[[#This Row],[Order Total]]+Table1[[#This Row],[Shipping Cost]]</f>
        <v>1451341</v>
      </c>
    </row>
    <row r="341" spans="1:26" ht="15.75" customHeight="1" x14ac:dyDescent="0.3">
      <c r="A341" s="9" t="s">
        <v>935</v>
      </c>
      <c r="B341" s="18">
        <v>43019</v>
      </c>
      <c r="C341" s="10">
        <f>YEAR(Table1[[#This Row],[Order Date]])</f>
        <v>2017</v>
      </c>
      <c r="D341" s="10" t="s">
        <v>936</v>
      </c>
      <c r="E341" s="10" t="s">
        <v>601</v>
      </c>
      <c r="F341" s="10" t="s">
        <v>71</v>
      </c>
      <c r="G341" s="10" t="s">
        <v>55</v>
      </c>
      <c r="H341" s="10" t="s">
        <v>122</v>
      </c>
      <c r="I341" s="10" t="str">
        <f>VLOOKUP(Table1[[#This Row],[Account Manager ID]],Table2[[Employee ID]:[Full Name]],4,FALSE)</f>
        <v>Ophelia Mustofa</v>
      </c>
      <c r="J341" s="10" t="str">
        <f>INDEX(Employee!$D$4:$D$47,MATCH($H$4:$H$1003,Employee!$A$4:$A$47,0))</f>
        <v>Ophelia Mustofa</v>
      </c>
      <c r="K341" s="10" t="s">
        <v>107</v>
      </c>
      <c r="L341" s="10" t="s">
        <v>588</v>
      </c>
      <c r="M341" s="10" t="s">
        <v>59</v>
      </c>
      <c r="N341" s="10" t="s">
        <v>60</v>
      </c>
      <c r="O341" s="10" t="s">
        <v>61</v>
      </c>
      <c r="P341" s="10">
        <v>43020</v>
      </c>
      <c r="Q341" s="15">
        <v>67950</v>
      </c>
      <c r="R341" s="15">
        <v>109500</v>
      </c>
      <c r="S341" s="15">
        <f>Table1[[#This Row],[Retail Price]]-Table1[[#This Row],[Cost Price]]</f>
        <v>41550</v>
      </c>
      <c r="T341" s="10">
        <v>50</v>
      </c>
      <c r="U341" s="15">
        <f>Table1[[#This Row],[Profit Margin]]*Table1[[#This Row],[Order Quantity]]</f>
        <v>2077500</v>
      </c>
      <c r="V341" s="11">
        <v>0.02</v>
      </c>
      <c r="W341" s="15">
        <f t="shared" si="5"/>
        <v>41550</v>
      </c>
      <c r="X341" s="15">
        <f>Table1[[#This Row],[Sub Total]]-Table1[[#This Row],[Discount Rp]]</f>
        <v>2035950</v>
      </c>
      <c r="Y341" s="15">
        <f ca="1">OFFSET(Helper!$C$3,MATCH(Data!$N$4:$N$1003,Helper!$C$4:$C$9,0),MATCH(Data!$O$4:$O$1003,Helper!$D$3:$F$3,0))</f>
        <v>15000</v>
      </c>
      <c r="Z341" s="16">
        <f ca="1">Table1[[#This Row],[Order Total]]+Table1[[#This Row],[Shipping Cost]]</f>
        <v>2050950</v>
      </c>
    </row>
    <row r="342" spans="1:26" ht="15.75" customHeight="1" x14ac:dyDescent="0.3">
      <c r="A342" s="9" t="s">
        <v>937</v>
      </c>
      <c r="B342" s="18">
        <v>43019</v>
      </c>
      <c r="C342" s="10">
        <f>YEAR(Table1[[#This Row],[Order Date]])</f>
        <v>2017</v>
      </c>
      <c r="D342" s="10" t="s">
        <v>936</v>
      </c>
      <c r="E342" s="10" t="s">
        <v>601</v>
      </c>
      <c r="F342" s="10" t="s">
        <v>71</v>
      </c>
      <c r="G342" s="10" t="s">
        <v>55</v>
      </c>
      <c r="H342" s="10" t="s">
        <v>122</v>
      </c>
      <c r="I342" s="10" t="str">
        <f>VLOOKUP(Table1[[#This Row],[Account Manager ID]],Table2[[Employee ID]:[Full Name]],4,FALSE)</f>
        <v>Ophelia Mustofa</v>
      </c>
      <c r="J342" s="10" t="str">
        <f>INDEX(Employee!$D$4:$D$47,MATCH($H$4:$H$1003,Employee!$A$4:$A$47,0))</f>
        <v>Ophelia Mustofa</v>
      </c>
      <c r="K342" s="10" t="s">
        <v>107</v>
      </c>
      <c r="L342" s="10" t="s">
        <v>938</v>
      </c>
      <c r="M342" s="10" t="s">
        <v>59</v>
      </c>
      <c r="N342" s="10" t="s">
        <v>67</v>
      </c>
      <c r="O342" s="10" t="s">
        <v>61</v>
      </c>
      <c r="P342" s="10">
        <v>43020</v>
      </c>
      <c r="Q342" s="15">
        <v>22950</v>
      </c>
      <c r="R342" s="15">
        <v>37050</v>
      </c>
      <c r="S342" s="15">
        <f>Table1[[#This Row],[Retail Price]]-Table1[[#This Row],[Cost Price]]</f>
        <v>14100</v>
      </c>
      <c r="T342" s="10">
        <v>43</v>
      </c>
      <c r="U342" s="15">
        <f>Table1[[#This Row],[Profit Margin]]*Table1[[#This Row],[Order Quantity]]</f>
        <v>606300</v>
      </c>
      <c r="V342" s="11">
        <v>0.02</v>
      </c>
      <c r="W342" s="15">
        <f t="shared" si="5"/>
        <v>12126</v>
      </c>
      <c r="X342" s="15">
        <f>Table1[[#This Row],[Sub Total]]-Table1[[#This Row],[Discount Rp]]</f>
        <v>594174</v>
      </c>
      <c r="Y342" s="15">
        <f ca="1">OFFSET(Helper!$C$3,MATCH(Data!$N$4:$N$1003,Helper!$C$4:$C$9,0),MATCH(Data!$O$4:$O$1003,Helper!$D$3:$F$3,0))</f>
        <v>5000</v>
      </c>
      <c r="Z342" s="16">
        <f ca="1">Table1[[#This Row],[Order Total]]+Table1[[#This Row],[Shipping Cost]]</f>
        <v>599174</v>
      </c>
    </row>
    <row r="343" spans="1:26" ht="15.75" customHeight="1" x14ac:dyDescent="0.3">
      <c r="A343" s="9" t="s">
        <v>939</v>
      </c>
      <c r="B343" s="18">
        <v>43019</v>
      </c>
      <c r="C343" s="10">
        <f>YEAR(Table1[[#This Row],[Order Date]])</f>
        <v>2017</v>
      </c>
      <c r="D343" s="10" t="s">
        <v>940</v>
      </c>
      <c r="E343" s="10" t="s">
        <v>101</v>
      </c>
      <c r="F343" s="10" t="s">
        <v>71</v>
      </c>
      <c r="G343" s="10" t="s">
        <v>72</v>
      </c>
      <c r="H343" s="10" t="s">
        <v>97</v>
      </c>
      <c r="I343" s="10" t="str">
        <f>VLOOKUP(Table1[[#This Row],[Account Manager ID]],Table2[[Employee ID]:[Full Name]],4,FALSE)</f>
        <v>Violet Mentari</v>
      </c>
      <c r="J343" s="10" t="str">
        <f>INDEX(Employee!$D$4:$D$47,MATCH($H$4:$H$1003,Employee!$A$4:$A$47,0))</f>
        <v>Violet Mentari</v>
      </c>
      <c r="K343" s="10" t="s">
        <v>117</v>
      </c>
      <c r="L343" s="10" t="s">
        <v>181</v>
      </c>
      <c r="M343" s="10" t="s">
        <v>59</v>
      </c>
      <c r="N343" s="10" t="s">
        <v>60</v>
      </c>
      <c r="O343" s="10" t="s">
        <v>61</v>
      </c>
      <c r="P343" s="10">
        <v>43019</v>
      </c>
      <c r="Q343" s="15">
        <v>23850</v>
      </c>
      <c r="R343" s="15">
        <v>39150</v>
      </c>
      <c r="S343" s="15">
        <f>Table1[[#This Row],[Retail Price]]-Table1[[#This Row],[Cost Price]]</f>
        <v>15300</v>
      </c>
      <c r="T343" s="10">
        <v>44</v>
      </c>
      <c r="U343" s="15">
        <f>Table1[[#This Row],[Profit Margin]]*Table1[[#This Row],[Order Quantity]]</f>
        <v>673200</v>
      </c>
      <c r="V343" s="11">
        <v>0.09</v>
      </c>
      <c r="W343" s="15">
        <f t="shared" si="5"/>
        <v>60588</v>
      </c>
      <c r="X343" s="15">
        <f>Table1[[#This Row],[Sub Total]]-Table1[[#This Row],[Discount Rp]]</f>
        <v>612612</v>
      </c>
      <c r="Y343" s="15">
        <f ca="1">OFFSET(Helper!$C$3,MATCH(Data!$N$4:$N$1003,Helper!$C$4:$C$9,0),MATCH(Data!$O$4:$O$1003,Helper!$D$3:$F$3,0))</f>
        <v>15000</v>
      </c>
      <c r="Z343" s="16">
        <f ca="1">Table1[[#This Row],[Order Total]]+Table1[[#This Row],[Shipping Cost]]</f>
        <v>627612</v>
      </c>
    </row>
    <row r="344" spans="1:26" ht="15.75" customHeight="1" x14ac:dyDescent="0.3">
      <c r="A344" s="9" t="s">
        <v>941</v>
      </c>
      <c r="B344" s="18">
        <v>43019</v>
      </c>
      <c r="C344" s="10">
        <f>YEAR(Table1[[#This Row],[Order Date]])</f>
        <v>2017</v>
      </c>
      <c r="D344" s="10" t="s">
        <v>199</v>
      </c>
      <c r="E344" s="10" t="s">
        <v>79</v>
      </c>
      <c r="F344" s="10" t="s">
        <v>54</v>
      </c>
      <c r="G344" s="10" t="s">
        <v>72</v>
      </c>
      <c r="H344" s="10" t="s">
        <v>56</v>
      </c>
      <c r="I344" s="10" t="str">
        <f>VLOOKUP(Table1[[#This Row],[Account Manager ID]],Table2[[Employee ID]:[Full Name]],4,FALSE)</f>
        <v>Gaduh Pratama</v>
      </c>
      <c r="J344" s="10" t="str">
        <f>INDEX(Employee!$D$4:$D$47,MATCH($H$4:$H$1003,Employee!$A$4:$A$47,0))</f>
        <v>Gaduh Pratama</v>
      </c>
      <c r="K344" s="10" t="s">
        <v>107</v>
      </c>
      <c r="L344" s="10" t="s">
        <v>942</v>
      </c>
      <c r="M344" s="10" t="s">
        <v>81</v>
      </c>
      <c r="N344" s="10" t="s">
        <v>60</v>
      </c>
      <c r="O344" s="10" t="s">
        <v>61</v>
      </c>
      <c r="P344" s="10">
        <v>43020</v>
      </c>
      <c r="Q344" s="15">
        <v>220500</v>
      </c>
      <c r="R344" s="15">
        <v>449850</v>
      </c>
      <c r="S344" s="15">
        <f>Table1[[#This Row],[Retail Price]]-Table1[[#This Row],[Cost Price]]</f>
        <v>229350</v>
      </c>
      <c r="T344" s="10">
        <v>20</v>
      </c>
      <c r="U344" s="15">
        <f>Table1[[#This Row],[Profit Margin]]*Table1[[#This Row],[Order Quantity]]</f>
        <v>4587000</v>
      </c>
      <c r="V344" s="11">
        <v>0</v>
      </c>
      <c r="W344" s="15">
        <f t="shared" si="5"/>
        <v>0</v>
      </c>
      <c r="X344" s="15">
        <f>Table1[[#This Row],[Sub Total]]-Table1[[#This Row],[Discount Rp]]</f>
        <v>4587000</v>
      </c>
      <c r="Y344" s="15">
        <f ca="1">OFFSET(Helper!$C$3,MATCH(Data!$N$4:$N$1003,Helper!$C$4:$C$9,0),MATCH(Data!$O$4:$O$1003,Helper!$D$3:$F$3,0))</f>
        <v>15000</v>
      </c>
      <c r="Z344" s="16">
        <f ca="1">Table1[[#This Row],[Order Total]]+Table1[[#This Row],[Shipping Cost]]</f>
        <v>4602000</v>
      </c>
    </row>
    <row r="345" spans="1:26" ht="15.75" customHeight="1" x14ac:dyDescent="0.3">
      <c r="A345" s="9" t="s">
        <v>943</v>
      </c>
      <c r="B345" s="18">
        <v>43020</v>
      </c>
      <c r="C345" s="10">
        <f>YEAR(Table1[[#This Row],[Order Date]])</f>
        <v>2017</v>
      </c>
      <c r="D345" s="10" t="s">
        <v>944</v>
      </c>
      <c r="E345" s="10" t="s">
        <v>945</v>
      </c>
      <c r="F345" s="10" t="s">
        <v>71</v>
      </c>
      <c r="G345" s="10" t="s">
        <v>72</v>
      </c>
      <c r="H345" s="10" t="s">
        <v>185</v>
      </c>
      <c r="I345" s="10" t="str">
        <f>VLOOKUP(Table1[[#This Row],[Account Manager ID]],Table2[[Employee ID]:[Full Name]],4,FALSE)</f>
        <v>Clara Prasetyo</v>
      </c>
      <c r="J345" s="10" t="str">
        <f>INDEX(Employee!$D$4:$D$47,MATCH($H$4:$H$1003,Employee!$A$4:$A$47,0))</f>
        <v>Clara Prasetyo</v>
      </c>
      <c r="K345" s="10" t="s">
        <v>117</v>
      </c>
      <c r="L345" s="10" t="s">
        <v>291</v>
      </c>
      <c r="M345" s="10" t="s">
        <v>59</v>
      </c>
      <c r="N345" s="10" t="s">
        <v>60</v>
      </c>
      <c r="O345" s="10" t="s">
        <v>61</v>
      </c>
      <c r="P345" s="10">
        <v>43023</v>
      </c>
      <c r="Q345" s="15">
        <v>133800</v>
      </c>
      <c r="R345" s="15">
        <v>446100</v>
      </c>
      <c r="S345" s="15">
        <f>Table1[[#This Row],[Retail Price]]-Table1[[#This Row],[Cost Price]]</f>
        <v>312300</v>
      </c>
      <c r="T345" s="10">
        <v>4</v>
      </c>
      <c r="U345" s="15">
        <f>Table1[[#This Row],[Profit Margin]]*Table1[[#This Row],[Order Quantity]]</f>
        <v>1249200</v>
      </c>
      <c r="V345" s="11">
        <v>0.05</v>
      </c>
      <c r="W345" s="15">
        <f t="shared" si="5"/>
        <v>62460</v>
      </c>
      <c r="X345" s="15">
        <f>Table1[[#This Row],[Sub Total]]-Table1[[#This Row],[Discount Rp]]</f>
        <v>1186740</v>
      </c>
      <c r="Y345" s="15">
        <f ca="1">OFFSET(Helper!$C$3,MATCH(Data!$N$4:$N$1003,Helper!$C$4:$C$9,0),MATCH(Data!$O$4:$O$1003,Helper!$D$3:$F$3,0))</f>
        <v>15000</v>
      </c>
      <c r="Z345" s="16">
        <f ca="1">Table1[[#This Row],[Order Total]]+Table1[[#This Row],[Shipping Cost]]</f>
        <v>1201740</v>
      </c>
    </row>
    <row r="346" spans="1:26" ht="15.75" customHeight="1" x14ac:dyDescent="0.3">
      <c r="A346" s="9" t="s">
        <v>946</v>
      </c>
      <c r="B346" s="18">
        <v>43024</v>
      </c>
      <c r="C346" s="10">
        <f>YEAR(Table1[[#This Row],[Order Date]])</f>
        <v>2017</v>
      </c>
      <c r="D346" s="10" t="s">
        <v>947</v>
      </c>
      <c r="E346" s="10" t="s">
        <v>340</v>
      </c>
      <c r="F346" s="10" t="s">
        <v>54</v>
      </c>
      <c r="G346" s="10" t="s">
        <v>87</v>
      </c>
      <c r="H346" s="10" t="s">
        <v>65</v>
      </c>
      <c r="I346" s="10" t="str">
        <f>VLOOKUP(Table1[[#This Row],[Account Manager ID]],Table2[[Employee ID]:[Full Name]],4,FALSE)</f>
        <v>Laras Nuraini</v>
      </c>
      <c r="J346" s="10" t="str">
        <f>INDEX(Employee!$D$4:$D$47,MATCH($H$4:$H$1003,Employee!$A$4:$A$47,0))</f>
        <v>Laras Nuraini</v>
      </c>
      <c r="K346" s="10" t="s">
        <v>57</v>
      </c>
      <c r="L346" s="10" t="s">
        <v>510</v>
      </c>
      <c r="M346" s="10" t="s">
        <v>59</v>
      </c>
      <c r="N346" s="10" t="s">
        <v>67</v>
      </c>
      <c r="O346" s="10" t="s">
        <v>61</v>
      </c>
      <c r="P346" s="10">
        <v>43026</v>
      </c>
      <c r="Q346" s="15">
        <v>49800</v>
      </c>
      <c r="R346" s="15">
        <v>77700</v>
      </c>
      <c r="S346" s="15">
        <f>Table1[[#This Row],[Retail Price]]-Table1[[#This Row],[Cost Price]]</f>
        <v>27900</v>
      </c>
      <c r="T346" s="10">
        <v>43</v>
      </c>
      <c r="U346" s="15">
        <f>Table1[[#This Row],[Profit Margin]]*Table1[[#This Row],[Order Quantity]]</f>
        <v>1199700</v>
      </c>
      <c r="V346" s="11">
        <v>0.03</v>
      </c>
      <c r="W346" s="15">
        <f t="shared" si="5"/>
        <v>35991</v>
      </c>
      <c r="X346" s="15">
        <f>Table1[[#This Row],[Sub Total]]-Table1[[#This Row],[Discount Rp]]</f>
        <v>1163709</v>
      </c>
      <c r="Y346" s="15">
        <f ca="1">OFFSET(Helper!$C$3,MATCH(Data!$N$4:$N$1003,Helper!$C$4:$C$9,0),MATCH(Data!$O$4:$O$1003,Helper!$D$3:$F$3,0))</f>
        <v>5000</v>
      </c>
      <c r="Z346" s="16">
        <f ca="1">Table1[[#This Row],[Order Total]]+Table1[[#This Row],[Shipping Cost]]</f>
        <v>1168709</v>
      </c>
    </row>
    <row r="347" spans="1:26" ht="15.75" customHeight="1" x14ac:dyDescent="0.3">
      <c r="A347" s="9" t="s">
        <v>948</v>
      </c>
      <c r="B347" s="18">
        <v>43025</v>
      </c>
      <c r="C347" s="10">
        <f>YEAR(Table1[[#This Row],[Order Date]])</f>
        <v>2017</v>
      </c>
      <c r="D347" s="10" t="s">
        <v>949</v>
      </c>
      <c r="E347" s="10" t="s">
        <v>521</v>
      </c>
      <c r="F347" s="10" t="s">
        <v>71</v>
      </c>
      <c r="G347" s="10" t="s">
        <v>87</v>
      </c>
      <c r="H347" s="10" t="s">
        <v>88</v>
      </c>
      <c r="I347" s="10" t="str">
        <f>VLOOKUP(Table1[[#This Row],[Account Manager ID]],Table2[[Employee ID]:[Full Name]],4,FALSE)</f>
        <v>Bagiya Sihombing</v>
      </c>
      <c r="J347" s="10" t="str">
        <f>INDEX(Employee!$D$4:$D$47,MATCH($H$4:$H$1003,Employee!$A$4:$A$47,0))</f>
        <v>Bagiya Sihombing</v>
      </c>
      <c r="K347" s="10" t="s">
        <v>74</v>
      </c>
      <c r="L347" s="10" t="s">
        <v>950</v>
      </c>
      <c r="M347" s="10" t="s">
        <v>59</v>
      </c>
      <c r="N347" s="10" t="s">
        <v>60</v>
      </c>
      <c r="O347" s="10" t="s">
        <v>61</v>
      </c>
      <c r="P347" s="10">
        <v>43028</v>
      </c>
      <c r="Q347" s="15">
        <v>27600</v>
      </c>
      <c r="R347" s="15">
        <v>43200</v>
      </c>
      <c r="S347" s="15">
        <f>Table1[[#This Row],[Retail Price]]-Table1[[#This Row],[Cost Price]]</f>
        <v>15600</v>
      </c>
      <c r="T347" s="10">
        <v>47</v>
      </c>
      <c r="U347" s="15">
        <f>Table1[[#This Row],[Profit Margin]]*Table1[[#This Row],[Order Quantity]]</f>
        <v>733200</v>
      </c>
      <c r="V347" s="11">
        <v>0.03</v>
      </c>
      <c r="W347" s="15">
        <f t="shared" si="5"/>
        <v>21996</v>
      </c>
      <c r="X347" s="15">
        <f>Table1[[#This Row],[Sub Total]]-Table1[[#This Row],[Discount Rp]]</f>
        <v>711204</v>
      </c>
      <c r="Y347" s="15">
        <f ca="1">OFFSET(Helper!$C$3,MATCH(Data!$N$4:$N$1003,Helper!$C$4:$C$9,0),MATCH(Data!$O$4:$O$1003,Helper!$D$3:$F$3,0))</f>
        <v>15000</v>
      </c>
      <c r="Z347" s="16">
        <f ca="1">Table1[[#This Row],[Order Total]]+Table1[[#This Row],[Shipping Cost]]</f>
        <v>726204</v>
      </c>
    </row>
    <row r="348" spans="1:26" ht="15.75" customHeight="1" x14ac:dyDescent="0.3">
      <c r="A348" s="9" t="s">
        <v>951</v>
      </c>
      <c r="B348" s="18">
        <v>43031</v>
      </c>
      <c r="C348" s="10">
        <f>YEAR(Table1[[#This Row],[Order Date]])</f>
        <v>2017</v>
      </c>
      <c r="D348" s="10" t="s">
        <v>777</v>
      </c>
      <c r="E348" s="10" t="s">
        <v>445</v>
      </c>
      <c r="F348" s="10" t="s">
        <v>54</v>
      </c>
      <c r="G348" s="10" t="s">
        <v>87</v>
      </c>
      <c r="H348" s="10" t="s">
        <v>56</v>
      </c>
      <c r="I348" s="10" t="str">
        <f>VLOOKUP(Table1[[#This Row],[Account Manager ID]],Table2[[Employee ID]:[Full Name]],4,FALSE)</f>
        <v>Gaduh Pratama</v>
      </c>
      <c r="J348" s="10" t="str">
        <f>INDEX(Employee!$D$4:$D$47,MATCH($H$4:$H$1003,Employee!$A$4:$A$47,0))</f>
        <v>Gaduh Pratama</v>
      </c>
      <c r="K348" s="10" t="s">
        <v>57</v>
      </c>
      <c r="L348" s="10" t="s">
        <v>197</v>
      </c>
      <c r="M348" s="10" t="s">
        <v>81</v>
      </c>
      <c r="N348" s="10" t="s">
        <v>60</v>
      </c>
      <c r="O348" s="10" t="s">
        <v>61</v>
      </c>
      <c r="P348" s="10">
        <v>43033</v>
      </c>
      <c r="Q348" s="15">
        <v>124650.00000000001</v>
      </c>
      <c r="R348" s="15">
        <v>239700</v>
      </c>
      <c r="S348" s="15">
        <f>Table1[[#This Row],[Retail Price]]-Table1[[#This Row],[Cost Price]]</f>
        <v>115049.99999999999</v>
      </c>
      <c r="T348" s="10">
        <v>40</v>
      </c>
      <c r="U348" s="15">
        <f>Table1[[#This Row],[Profit Margin]]*Table1[[#This Row],[Order Quantity]]</f>
        <v>4601999.9999999991</v>
      </c>
      <c r="V348" s="11">
        <v>0.03</v>
      </c>
      <c r="W348" s="15">
        <f t="shared" si="5"/>
        <v>138059.99999999997</v>
      </c>
      <c r="X348" s="15">
        <f>Table1[[#This Row],[Sub Total]]-Table1[[#This Row],[Discount Rp]]</f>
        <v>4463939.9999999991</v>
      </c>
      <c r="Y348" s="15">
        <f ca="1">OFFSET(Helper!$C$3,MATCH(Data!$N$4:$N$1003,Helper!$C$4:$C$9,0),MATCH(Data!$O$4:$O$1003,Helper!$D$3:$F$3,0))</f>
        <v>15000</v>
      </c>
      <c r="Z348" s="16">
        <f ca="1">Table1[[#This Row],[Order Total]]+Table1[[#This Row],[Shipping Cost]]</f>
        <v>4478939.9999999991</v>
      </c>
    </row>
    <row r="349" spans="1:26" ht="15.75" customHeight="1" x14ac:dyDescent="0.3">
      <c r="A349" s="9" t="s">
        <v>952</v>
      </c>
      <c r="B349" s="18">
        <v>43032</v>
      </c>
      <c r="C349" s="10">
        <f>YEAR(Table1[[#This Row],[Order Date]])</f>
        <v>2017</v>
      </c>
      <c r="D349" s="10" t="s">
        <v>953</v>
      </c>
      <c r="E349" s="10" t="s">
        <v>387</v>
      </c>
      <c r="F349" s="10" t="s">
        <v>71</v>
      </c>
      <c r="G349" s="10" t="s">
        <v>87</v>
      </c>
      <c r="H349" s="10" t="s">
        <v>194</v>
      </c>
      <c r="I349" s="10" t="str">
        <f>VLOOKUP(Table1[[#This Row],[Account Manager ID]],Table2[[Employee ID]:[Full Name]],4,FALSE)</f>
        <v>Nabila Prakasa</v>
      </c>
      <c r="J349" s="10" t="str">
        <f>INDEX(Employee!$D$4:$D$47,MATCH($H$4:$H$1003,Employee!$A$4:$A$47,0))</f>
        <v>Nabila Prakasa</v>
      </c>
      <c r="K349" s="10" t="s">
        <v>117</v>
      </c>
      <c r="L349" s="10" t="s">
        <v>954</v>
      </c>
      <c r="M349" s="10" t="s">
        <v>59</v>
      </c>
      <c r="N349" s="10" t="s">
        <v>60</v>
      </c>
      <c r="O349" s="10" t="s">
        <v>61</v>
      </c>
      <c r="P349" s="10">
        <v>43034</v>
      </c>
      <c r="Q349" s="15">
        <v>27300</v>
      </c>
      <c r="R349" s="15">
        <v>42600</v>
      </c>
      <c r="S349" s="15">
        <f>Table1[[#This Row],[Retail Price]]-Table1[[#This Row],[Cost Price]]</f>
        <v>15300</v>
      </c>
      <c r="T349" s="10">
        <v>19</v>
      </c>
      <c r="U349" s="15">
        <f>Table1[[#This Row],[Profit Margin]]*Table1[[#This Row],[Order Quantity]]</f>
        <v>290700</v>
      </c>
      <c r="V349" s="11">
        <v>0</v>
      </c>
      <c r="W349" s="15">
        <f t="shared" si="5"/>
        <v>0</v>
      </c>
      <c r="X349" s="15">
        <f>Table1[[#This Row],[Sub Total]]-Table1[[#This Row],[Discount Rp]]</f>
        <v>290700</v>
      </c>
      <c r="Y349" s="15">
        <f ca="1">OFFSET(Helper!$C$3,MATCH(Data!$N$4:$N$1003,Helper!$C$4:$C$9,0),MATCH(Data!$O$4:$O$1003,Helper!$D$3:$F$3,0))</f>
        <v>15000</v>
      </c>
      <c r="Z349" s="16">
        <f ca="1">Table1[[#This Row],[Order Total]]+Table1[[#This Row],[Shipping Cost]]</f>
        <v>305700</v>
      </c>
    </row>
    <row r="350" spans="1:26" ht="15.75" customHeight="1" x14ac:dyDescent="0.3">
      <c r="A350" s="9" t="s">
        <v>955</v>
      </c>
      <c r="B350" s="18">
        <v>43035</v>
      </c>
      <c r="C350" s="10">
        <f>YEAR(Table1[[#This Row],[Order Date]])</f>
        <v>2017</v>
      </c>
      <c r="D350" s="10" t="s">
        <v>956</v>
      </c>
      <c r="E350" s="10" t="s">
        <v>668</v>
      </c>
      <c r="F350" s="10" t="s">
        <v>54</v>
      </c>
      <c r="G350" s="10" t="s">
        <v>72</v>
      </c>
      <c r="H350" s="10" t="s">
        <v>65</v>
      </c>
      <c r="I350" s="10" t="str">
        <f>VLOOKUP(Table1[[#This Row],[Account Manager ID]],Table2[[Employee ID]:[Full Name]],4,FALSE)</f>
        <v>Laras Nuraini</v>
      </c>
      <c r="J350" s="10" t="str">
        <f>INDEX(Employee!$D$4:$D$47,MATCH($H$4:$H$1003,Employee!$A$4:$A$47,0))</f>
        <v>Laras Nuraini</v>
      </c>
      <c r="K350" s="10" t="s">
        <v>107</v>
      </c>
      <c r="L350" s="10" t="s">
        <v>216</v>
      </c>
      <c r="M350" s="10" t="s">
        <v>81</v>
      </c>
      <c r="N350" s="10" t="s">
        <v>136</v>
      </c>
      <c r="O350" s="10" t="s">
        <v>61</v>
      </c>
      <c r="P350" s="10">
        <v>43037</v>
      </c>
      <c r="Q350" s="15">
        <v>28050</v>
      </c>
      <c r="R350" s="15">
        <v>121799.99999999999</v>
      </c>
      <c r="S350" s="15">
        <f>Table1[[#This Row],[Retail Price]]-Table1[[#This Row],[Cost Price]]</f>
        <v>93749.999999999985</v>
      </c>
      <c r="T350" s="10">
        <v>4</v>
      </c>
      <c r="U350" s="15">
        <f>Table1[[#This Row],[Profit Margin]]*Table1[[#This Row],[Order Quantity]]</f>
        <v>374999.99999999994</v>
      </c>
      <c r="V350" s="11">
        <v>7.0000000000000007E-2</v>
      </c>
      <c r="W350" s="15">
        <f t="shared" si="5"/>
        <v>26250</v>
      </c>
      <c r="X350" s="15">
        <f>Table1[[#This Row],[Sub Total]]-Table1[[#This Row],[Discount Rp]]</f>
        <v>348749.99999999994</v>
      </c>
      <c r="Y350" s="15">
        <f ca="1">OFFSET(Helper!$C$3,MATCH(Data!$N$4:$N$1003,Helper!$C$4:$C$9,0),MATCH(Data!$O$4:$O$1003,Helper!$D$3:$F$3,0))</f>
        <v>10000</v>
      </c>
      <c r="Z350" s="16">
        <f ca="1">Table1[[#This Row],[Order Total]]+Table1[[#This Row],[Shipping Cost]]</f>
        <v>358749.99999999994</v>
      </c>
    </row>
    <row r="351" spans="1:26" ht="15.75" customHeight="1" x14ac:dyDescent="0.3">
      <c r="A351" s="9" t="s">
        <v>957</v>
      </c>
      <c r="B351" s="18">
        <v>43037</v>
      </c>
      <c r="C351" s="10">
        <f>YEAR(Table1[[#This Row],[Order Date]])</f>
        <v>2017</v>
      </c>
      <c r="D351" s="10" t="s">
        <v>417</v>
      </c>
      <c r="E351" s="10" t="s">
        <v>418</v>
      </c>
      <c r="F351" s="10" t="s">
        <v>261</v>
      </c>
      <c r="G351" s="10" t="s">
        <v>106</v>
      </c>
      <c r="H351" s="10" t="s">
        <v>97</v>
      </c>
      <c r="I351" s="10" t="str">
        <f>VLOOKUP(Table1[[#This Row],[Account Manager ID]],Table2[[Employee ID]:[Full Name]],4,FALSE)</f>
        <v>Violet Mentari</v>
      </c>
      <c r="J351" s="10" t="str">
        <f>INDEX(Employee!$D$4:$D$47,MATCH($H$4:$H$1003,Employee!$A$4:$A$47,0))</f>
        <v>Violet Mentari</v>
      </c>
      <c r="K351" s="10" t="s">
        <v>57</v>
      </c>
      <c r="L351" s="10" t="s">
        <v>873</v>
      </c>
      <c r="M351" s="10" t="s">
        <v>59</v>
      </c>
      <c r="N351" s="10" t="s">
        <v>60</v>
      </c>
      <c r="O351" s="10" t="s">
        <v>61</v>
      </c>
      <c r="P351" s="10">
        <v>43038</v>
      </c>
      <c r="Q351" s="15">
        <v>41400</v>
      </c>
      <c r="R351" s="15">
        <v>65700</v>
      </c>
      <c r="S351" s="15">
        <f>Table1[[#This Row],[Retail Price]]-Table1[[#This Row],[Cost Price]]</f>
        <v>24300</v>
      </c>
      <c r="T351" s="10">
        <v>18</v>
      </c>
      <c r="U351" s="15">
        <f>Table1[[#This Row],[Profit Margin]]*Table1[[#This Row],[Order Quantity]]</f>
        <v>437400</v>
      </c>
      <c r="V351" s="11">
        <v>0.03</v>
      </c>
      <c r="W351" s="15">
        <f t="shared" si="5"/>
        <v>13122</v>
      </c>
      <c r="X351" s="15">
        <f>Table1[[#This Row],[Sub Total]]-Table1[[#This Row],[Discount Rp]]</f>
        <v>424278</v>
      </c>
      <c r="Y351" s="15">
        <f ca="1">OFFSET(Helper!$C$3,MATCH(Data!$N$4:$N$1003,Helper!$C$4:$C$9,0),MATCH(Data!$O$4:$O$1003,Helper!$D$3:$F$3,0))</f>
        <v>15000</v>
      </c>
      <c r="Z351" s="16">
        <f ca="1">Table1[[#This Row],[Order Total]]+Table1[[#This Row],[Shipping Cost]]</f>
        <v>439278</v>
      </c>
    </row>
    <row r="352" spans="1:26" ht="15.75" customHeight="1" x14ac:dyDescent="0.3">
      <c r="A352" s="9" t="s">
        <v>958</v>
      </c>
      <c r="B352" s="18">
        <v>43038</v>
      </c>
      <c r="C352" s="10">
        <f>YEAR(Table1[[#This Row],[Order Date]])</f>
        <v>2017</v>
      </c>
      <c r="D352" s="10" t="s">
        <v>959</v>
      </c>
      <c r="E352" s="10" t="s">
        <v>133</v>
      </c>
      <c r="F352" s="10" t="s">
        <v>71</v>
      </c>
      <c r="G352" s="10" t="s">
        <v>72</v>
      </c>
      <c r="H352" s="10" t="s">
        <v>73</v>
      </c>
      <c r="I352" s="10" t="str">
        <f>VLOOKUP(Table1[[#This Row],[Account Manager ID]],Table2[[Employee ID]:[Full Name]],4,FALSE)</f>
        <v>Cinthia Gunawan</v>
      </c>
      <c r="J352" s="10" t="str">
        <f>INDEX(Employee!$D$4:$D$47,MATCH($H$4:$H$1003,Employee!$A$4:$A$47,0))</f>
        <v>Cinthia Gunawan</v>
      </c>
      <c r="K352" s="10" t="s">
        <v>117</v>
      </c>
      <c r="L352" s="10" t="s">
        <v>931</v>
      </c>
      <c r="M352" s="10" t="s">
        <v>59</v>
      </c>
      <c r="N352" s="10" t="s">
        <v>60</v>
      </c>
      <c r="O352" s="10" t="s">
        <v>61</v>
      </c>
      <c r="P352" s="10">
        <v>43039</v>
      </c>
      <c r="Q352" s="15">
        <v>27600</v>
      </c>
      <c r="R352" s="15">
        <v>43200</v>
      </c>
      <c r="S352" s="15">
        <f>Table1[[#This Row],[Retail Price]]-Table1[[#This Row],[Cost Price]]</f>
        <v>15600</v>
      </c>
      <c r="T352" s="10">
        <v>10</v>
      </c>
      <c r="U352" s="15">
        <f>Table1[[#This Row],[Profit Margin]]*Table1[[#This Row],[Order Quantity]]</f>
        <v>156000</v>
      </c>
      <c r="V352" s="11">
        <v>0.01</v>
      </c>
      <c r="W352" s="15">
        <f t="shared" si="5"/>
        <v>1560</v>
      </c>
      <c r="X352" s="15">
        <f>Table1[[#This Row],[Sub Total]]-Table1[[#This Row],[Discount Rp]]</f>
        <v>154440</v>
      </c>
      <c r="Y352" s="15">
        <f ca="1">OFFSET(Helper!$C$3,MATCH(Data!$N$4:$N$1003,Helper!$C$4:$C$9,0),MATCH(Data!$O$4:$O$1003,Helper!$D$3:$F$3,0))</f>
        <v>15000</v>
      </c>
      <c r="Z352" s="16">
        <f ca="1">Table1[[#This Row],[Order Total]]+Table1[[#This Row],[Shipping Cost]]</f>
        <v>169440</v>
      </c>
    </row>
    <row r="353" spans="1:26" ht="15.75" customHeight="1" x14ac:dyDescent="0.3">
      <c r="A353" s="9" t="s">
        <v>960</v>
      </c>
      <c r="B353" s="18">
        <v>43038</v>
      </c>
      <c r="C353" s="10">
        <f>YEAR(Table1[[#This Row],[Order Date]])</f>
        <v>2017</v>
      </c>
      <c r="D353" s="10" t="s">
        <v>961</v>
      </c>
      <c r="E353" s="10" t="s">
        <v>962</v>
      </c>
      <c r="F353" s="10" t="s">
        <v>261</v>
      </c>
      <c r="G353" s="10" t="s">
        <v>87</v>
      </c>
      <c r="H353" s="10" t="s">
        <v>97</v>
      </c>
      <c r="I353" s="10" t="str">
        <f>VLOOKUP(Table1[[#This Row],[Account Manager ID]],Table2[[Employee ID]:[Full Name]],4,FALSE)</f>
        <v>Violet Mentari</v>
      </c>
      <c r="J353" s="10" t="str">
        <f>INDEX(Employee!$D$4:$D$47,MATCH($H$4:$H$1003,Employee!$A$4:$A$47,0))</f>
        <v>Violet Mentari</v>
      </c>
      <c r="K353" s="10" t="s">
        <v>92</v>
      </c>
      <c r="L353" s="10" t="s">
        <v>963</v>
      </c>
      <c r="M353" s="10" t="s">
        <v>59</v>
      </c>
      <c r="N353" s="10" t="s">
        <v>67</v>
      </c>
      <c r="O353" s="10" t="s">
        <v>61</v>
      </c>
      <c r="P353" s="10">
        <v>43040</v>
      </c>
      <c r="Q353" s="15">
        <v>13800</v>
      </c>
      <c r="R353" s="15">
        <v>27150</v>
      </c>
      <c r="S353" s="15">
        <f>Table1[[#This Row],[Retail Price]]-Table1[[#This Row],[Cost Price]]</f>
        <v>13350</v>
      </c>
      <c r="T353" s="10">
        <v>8</v>
      </c>
      <c r="U353" s="15">
        <f>Table1[[#This Row],[Profit Margin]]*Table1[[#This Row],[Order Quantity]]</f>
        <v>106800</v>
      </c>
      <c r="V353" s="11">
        <v>0.05</v>
      </c>
      <c r="W353" s="15">
        <f t="shared" si="5"/>
        <v>5340</v>
      </c>
      <c r="X353" s="15">
        <f>Table1[[#This Row],[Sub Total]]-Table1[[#This Row],[Discount Rp]]</f>
        <v>101460</v>
      </c>
      <c r="Y353" s="15">
        <f ca="1">OFFSET(Helper!$C$3,MATCH(Data!$N$4:$N$1003,Helper!$C$4:$C$9,0),MATCH(Data!$O$4:$O$1003,Helper!$D$3:$F$3,0))</f>
        <v>5000</v>
      </c>
      <c r="Z353" s="16">
        <f ca="1">Table1[[#This Row],[Order Total]]+Table1[[#This Row],[Shipping Cost]]</f>
        <v>106460</v>
      </c>
    </row>
    <row r="354" spans="1:26" ht="15.75" customHeight="1" x14ac:dyDescent="0.3">
      <c r="A354" s="9" t="s">
        <v>964</v>
      </c>
      <c r="B354" s="18">
        <v>43038</v>
      </c>
      <c r="C354" s="10">
        <f>YEAR(Table1[[#This Row],[Order Date]])</f>
        <v>2017</v>
      </c>
      <c r="D354" s="10" t="s">
        <v>961</v>
      </c>
      <c r="E354" s="10" t="s">
        <v>962</v>
      </c>
      <c r="F354" s="10" t="s">
        <v>261</v>
      </c>
      <c r="G354" s="10" t="s">
        <v>87</v>
      </c>
      <c r="H354" s="10" t="s">
        <v>97</v>
      </c>
      <c r="I354" s="10" t="str">
        <f>VLOOKUP(Table1[[#This Row],[Account Manager ID]],Table2[[Employee ID]:[Full Name]],4,FALSE)</f>
        <v>Violet Mentari</v>
      </c>
      <c r="J354" s="10" t="str">
        <f>INDEX(Employee!$D$4:$D$47,MATCH($H$4:$H$1003,Employee!$A$4:$A$47,0))</f>
        <v>Violet Mentari</v>
      </c>
      <c r="K354" s="10" t="s">
        <v>92</v>
      </c>
      <c r="L354" s="10" t="s">
        <v>965</v>
      </c>
      <c r="M354" s="10" t="s">
        <v>59</v>
      </c>
      <c r="N354" s="10" t="s">
        <v>67</v>
      </c>
      <c r="O354" s="10" t="s">
        <v>61</v>
      </c>
      <c r="P354" s="10">
        <v>43045</v>
      </c>
      <c r="Q354" s="15">
        <v>28500</v>
      </c>
      <c r="R354" s="15">
        <v>49200</v>
      </c>
      <c r="S354" s="15">
        <f>Table1[[#This Row],[Retail Price]]-Table1[[#This Row],[Cost Price]]</f>
        <v>20700</v>
      </c>
      <c r="T354" s="10">
        <v>41</v>
      </c>
      <c r="U354" s="15">
        <f>Table1[[#This Row],[Profit Margin]]*Table1[[#This Row],[Order Quantity]]</f>
        <v>848700</v>
      </c>
      <c r="V354" s="11">
        <v>0.05</v>
      </c>
      <c r="W354" s="15">
        <f t="shared" si="5"/>
        <v>42435</v>
      </c>
      <c r="X354" s="15">
        <f>Table1[[#This Row],[Sub Total]]-Table1[[#This Row],[Discount Rp]]</f>
        <v>806265</v>
      </c>
      <c r="Y354" s="15">
        <f ca="1">OFFSET(Helper!$C$3,MATCH(Data!$N$4:$N$1003,Helper!$C$4:$C$9,0),MATCH(Data!$O$4:$O$1003,Helper!$D$3:$F$3,0))</f>
        <v>5000</v>
      </c>
      <c r="Z354" s="16">
        <f ca="1">Table1[[#This Row],[Order Total]]+Table1[[#This Row],[Shipping Cost]]</f>
        <v>811265</v>
      </c>
    </row>
    <row r="355" spans="1:26" ht="15.75" customHeight="1" x14ac:dyDescent="0.3">
      <c r="A355" s="9" t="s">
        <v>966</v>
      </c>
      <c r="B355" s="18">
        <v>43042</v>
      </c>
      <c r="C355" s="10">
        <f>YEAR(Table1[[#This Row],[Order Date]])</f>
        <v>2017</v>
      </c>
      <c r="D355" s="10" t="s">
        <v>967</v>
      </c>
      <c r="E355" s="10" t="s">
        <v>579</v>
      </c>
      <c r="F355" s="10" t="s">
        <v>71</v>
      </c>
      <c r="G355" s="10" t="s">
        <v>87</v>
      </c>
      <c r="H355" s="10" t="s">
        <v>73</v>
      </c>
      <c r="I355" s="10" t="str">
        <f>VLOOKUP(Table1[[#This Row],[Account Manager ID]],Table2[[Employee ID]:[Full Name]],4,FALSE)</f>
        <v>Cinthia Gunawan</v>
      </c>
      <c r="J355" s="10" t="str">
        <f>INDEX(Employee!$D$4:$D$47,MATCH($H$4:$H$1003,Employee!$A$4:$A$47,0))</f>
        <v>Cinthia Gunawan</v>
      </c>
      <c r="K355" s="10" t="s">
        <v>92</v>
      </c>
      <c r="L355" s="10" t="s">
        <v>355</v>
      </c>
      <c r="M355" s="10" t="s">
        <v>59</v>
      </c>
      <c r="N355" s="10" t="s">
        <v>60</v>
      </c>
      <c r="O355" s="10" t="s">
        <v>61</v>
      </c>
      <c r="P355" s="10">
        <v>43044</v>
      </c>
      <c r="Q355" s="15">
        <v>19950</v>
      </c>
      <c r="R355" s="15">
        <v>31200</v>
      </c>
      <c r="S355" s="15">
        <f>Table1[[#This Row],[Retail Price]]-Table1[[#This Row],[Cost Price]]</f>
        <v>11250</v>
      </c>
      <c r="T355" s="10">
        <v>20</v>
      </c>
      <c r="U355" s="15">
        <f>Table1[[#This Row],[Profit Margin]]*Table1[[#This Row],[Order Quantity]]</f>
        <v>225000</v>
      </c>
      <c r="V355" s="11">
        <v>0.04</v>
      </c>
      <c r="W355" s="15">
        <f t="shared" si="5"/>
        <v>9000</v>
      </c>
      <c r="X355" s="15">
        <f>Table1[[#This Row],[Sub Total]]-Table1[[#This Row],[Discount Rp]]</f>
        <v>216000</v>
      </c>
      <c r="Y355" s="15">
        <f ca="1">OFFSET(Helper!$C$3,MATCH(Data!$N$4:$N$1003,Helper!$C$4:$C$9,0),MATCH(Data!$O$4:$O$1003,Helper!$D$3:$F$3,0))</f>
        <v>15000</v>
      </c>
      <c r="Z355" s="16">
        <f ca="1">Table1[[#This Row],[Order Total]]+Table1[[#This Row],[Shipping Cost]]</f>
        <v>231000</v>
      </c>
    </row>
    <row r="356" spans="1:26" ht="15.75" customHeight="1" x14ac:dyDescent="0.3">
      <c r="A356" s="9" t="s">
        <v>968</v>
      </c>
      <c r="B356" s="18">
        <v>43044</v>
      </c>
      <c r="C356" s="10">
        <f>YEAR(Table1[[#This Row],[Order Date]])</f>
        <v>2017</v>
      </c>
      <c r="D356" s="10" t="s">
        <v>969</v>
      </c>
      <c r="E356" s="10" t="s">
        <v>826</v>
      </c>
      <c r="F356" s="10" t="s">
        <v>71</v>
      </c>
      <c r="G356" s="10" t="s">
        <v>106</v>
      </c>
      <c r="H356" s="10" t="s">
        <v>304</v>
      </c>
      <c r="I356" s="10" t="str">
        <f>VLOOKUP(Table1[[#This Row],[Account Manager ID]],Table2[[Employee ID]:[Full Name]],4,FALSE)</f>
        <v>Sutan Tirtayasa Wasita</v>
      </c>
      <c r="J356" s="10" t="str">
        <f>INDEX(Employee!$D$4:$D$47,MATCH($H$4:$H$1003,Employee!$A$4:$A$47,0))</f>
        <v>Sutan Tirtayasa Wasita</v>
      </c>
      <c r="K356" s="10" t="s">
        <v>74</v>
      </c>
      <c r="L356" s="10" t="s">
        <v>341</v>
      </c>
      <c r="M356" s="10" t="s">
        <v>59</v>
      </c>
      <c r="N356" s="10" t="s">
        <v>67</v>
      </c>
      <c r="O356" s="10" t="s">
        <v>76</v>
      </c>
      <c r="P356" s="10">
        <v>43046</v>
      </c>
      <c r="Q356" s="15">
        <v>24000</v>
      </c>
      <c r="R356" s="15">
        <v>39300</v>
      </c>
      <c r="S356" s="15">
        <f>Table1[[#This Row],[Retail Price]]-Table1[[#This Row],[Cost Price]]</f>
        <v>15300</v>
      </c>
      <c r="T356" s="10">
        <v>25</v>
      </c>
      <c r="U356" s="15">
        <f>Table1[[#This Row],[Profit Margin]]*Table1[[#This Row],[Order Quantity]]</f>
        <v>382500</v>
      </c>
      <c r="V356" s="11">
        <v>0.09</v>
      </c>
      <c r="W356" s="15">
        <f t="shared" si="5"/>
        <v>34425</v>
      </c>
      <c r="X356" s="15">
        <f>Table1[[#This Row],[Sub Total]]-Table1[[#This Row],[Discount Rp]]</f>
        <v>348075</v>
      </c>
      <c r="Y356" s="15">
        <f ca="1">OFFSET(Helper!$C$3,MATCH(Data!$N$4:$N$1003,Helper!$C$4:$C$9,0),MATCH(Data!$O$4:$O$1003,Helper!$D$3:$F$3,0))</f>
        <v>10000</v>
      </c>
      <c r="Z356" s="16">
        <f ca="1">Table1[[#This Row],[Order Total]]+Table1[[#This Row],[Shipping Cost]]</f>
        <v>358075</v>
      </c>
    </row>
    <row r="357" spans="1:26" ht="15.75" customHeight="1" x14ac:dyDescent="0.3">
      <c r="A357" s="9" t="s">
        <v>970</v>
      </c>
      <c r="B357" s="18">
        <v>43045</v>
      </c>
      <c r="C357" s="10">
        <f>YEAR(Table1[[#This Row],[Order Date]])</f>
        <v>2017</v>
      </c>
      <c r="D357" s="10" t="s">
        <v>971</v>
      </c>
      <c r="E357" s="10" t="s">
        <v>189</v>
      </c>
      <c r="F357" s="10" t="s">
        <v>54</v>
      </c>
      <c r="G357" s="10" t="s">
        <v>55</v>
      </c>
      <c r="H357" s="10" t="s">
        <v>56</v>
      </c>
      <c r="I357" s="10" t="str">
        <f>VLOOKUP(Table1[[#This Row],[Account Manager ID]],Table2[[Employee ID]:[Full Name]],4,FALSE)</f>
        <v>Gaduh Pratama</v>
      </c>
      <c r="J357" s="10" t="str">
        <f>INDEX(Employee!$D$4:$D$47,MATCH($H$4:$H$1003,Employee!$A$4:$A$47,0))</f>
        <v>Gaduh Pratama</v>
      </c>
      <c r="K357" s="10" t="s">
        <v>92</v>
      </c>
      <c r="L357" s="10" t="s">
        <v>367</v>
      </c>
      <c r="M357" s="10" t="s">
        <v>59</v>
      </c>
      <c r="N357" s="10" t="s">
        <v>60</v>
      </c>
      <c r="O357" s="10" t="s">
        <v>61</v>
      </c>
      <c r="P357" s="10">
        <v>43047</v>
      </c>
      <c r="Q357" s="15">
        <v>29700</v>
      </c>
      <c r="R357" s="15">
        <v>47250</v>
      </c>
      <c r="S357" s="15">
        <f>Table1[[#This Row],[Retail Price]]-Table1[[#This Row],[Cost Price]]</f>
        <v>17550</v>
      </c>
      <c r="T357" s="10">
        <v>46</v>
      </c>
      <c r="U357" s="15">
        <f>Table1[[#This Row],[Profit Margin]]*Table1[[#This Row],[Order Quantity]]</f>
        <v>807300</v>
      </c>
      <c r="V357" s="11">
        <v>0.1</v>
      </c>
      <c r="W357" s="15">
        <f t="shared" si="5"/>
        <v>80730</v>
      </c>
      <c r="X357" s="15">
        <f>Table1[[#This Row],[Sub Total]]-Table1[[#This Row],[Discount Rp]]</f>
        <v>726570</v>
      </c>
      <c r="Y357" s="15">
        <f ca="1">OFFSET(Helper!$C$3,MATCH(Data!$N$4:$N$1003,Helper!$C$4:$C$9,0),MATCH(Data!$O$4:$O$1003,Helper!$D$3:$F$3,0))</f>
        <v>15000</v>
      </c>
      <c r="Z357" s="16">
        <f ca="1">Table1[[#This Row],[Order Total]]+Table1[[#This Row],[Shipping Cost]]</f>
        <v>741570</v>
      </c>
    </row>
    <row r="358" spans="1:26" ht="15.75" customHeight="1" x14ac:dyDescent="0.3">
      <c r="A358" s="9" t="s">
        <v>972</v>
      </c>
      <c r="B358" s="18">
        <v>43046</v>
      </c>
      <c r="C358" s="10">
        <f>YEAR(Table1[[#This Row],[Order Date]])</f>
        <v>2017</v>
      </c>
      <c r="D358" s="10" t="s">
        <v>973</v>
      </c>
      <c r="E358" s="10" t="s">
        <v>551</v>
      </c>
      <c r="F358" s="10" t="s">
        <v>71</v>
      </c>
      <c r="G358" s="10" t="s">
        <v>55</v>
      </c>
      <c r="H358" s="10" t="s">
        <v>112</v>
      </c>
      <c r="I358" s="10" t="str">
        <f>VLOOKUP(Table1[[#This Row],[Account Manager ID]],Table2[[Employee ID]:[Full Name]],4,FALSE)</f>
        <v>Paiman Firgantoro</v>
      </c>
      <c r="J358" s="10" t="str">
        <f>INDEX(Employee!$D$4:$D$47,MATCH($H$4:$H$1003,Employee!$A$4:$A$47,0))</f>
        <v>Paiman Firgantoro</v>
      </c>
      <c r="K358" s="10" t="s">
        <v>92</v>
      </c>
      <c r="L358" s="10" t="s">
        <v>751</v>
      </c>
      <c r="M358" s="10" t="s">
        <v>81</v>
      </c>
      <c r="N358" s="10" t="s">
        <v>459</v>
      </c>
      <c r="O358" s="10" t="s">
        <v>61</v>
      </c>
      <c r="P358" s="10">
        <v>43055</v>
      </c>
      <c r="Q358" s="15">
        <v>5669850</v>
      </c>
      <c r="R358" s="15">
        <v>8999850</v>
      </c>
      <c r="S358" s="15">
        <f>Table1[[#This Row],[Retail Price]]-Table1[[#This Row],[Cost Price]]</f>
        <v>3330000</v>
      </c>
      <c r="T358" s="10">
        <v>25</v>
      </c>
      <c r="U358" s="15">
        <f>Table1[[#This Row],[Profit Margin]]*Table1[[#This Row],[Order Quantity]]</f>
        <v>83250000</v>
      </c>
      <c r="V358" s="11">
        <v>7.0000000000000007E-2</v>
      </c>
      <c r="W358" s="15">
        <f t="shared" si="5"/>
        <v>5827500.0000000009</v>
      </c>
      <c r="X358" s="15">
        <f>Table1[[#This Row],[Sub Total]]-Table1[[#This Row],[Discount Rp]]</f>
        <v>77422500</v>
      </c>
      <c r="Y358" s="15">
        <f ca="1">OFFSET(Helper!$C$3,MATCH(Data!$N$4:$N$1003,Helper!$C$4:$C$9,0),MATCH(Data!$O$4:$O$1003,Helper!$D$3:$F$3,0))</f>
        <v>50000</v>
      </c>
      <c r="Z358" s="16">
        <f ca="1">Table1[[#This Row],[Order Total]]+Table1[[#This Row],[Shipping Cost]]</f>
        <v>77472500</v>
      </c>
    </row>
    <row r="359" spans="1:26" ht="15.75" customHeight="1" x14ac:dyDescent="0.3">
      <c r="A359" s="9" t="s">
        <v>974</v>
      </c>
      <c r="B359" s="18">
        <v>43046</v>
      </c>
      <c r="C359" s="10">
        <f>YEAR(Table1[[#This Row],[Order Date]])</f>
        <v>2017</v>
      </c>
      <c r="D359" s="10" t="s">
        <v>973</v>
      </c>
      <c r="E359" s="10" t="s">
        <v>551</v>
      </c>
      <c r="F359" s="10" t="s">
        <v>71</v>
      </c>
      <c r="G359" s="10" t="s">
        <v>55</v>
      </c>
      <c r="H359" s="10" t="s">
        <v>112</v>
      </c>
      <c r="I359" s="10" t="str">
        <f>VLOOKUP(Table1[[#This Row],[Account Manager ID]],Table2[[Employee ID]:[Full Name]],4,FALSE)</f>
        <v>Paiman Firgantoro</v>
      </c>
      <c r="J359" s="10" t="str">
        <f>INDEX(Employee!$D$4:$D$47,MATCH($H$4:$H$1003,Employee!$A$4:$A$47,0))</f>
        <v>Paiman Firgantoro</v>
      </c>
      <c r="K359" s="10" t="s">
        <v>92</v>
      </c>
      <c r="L359" s="10" t="s">
        <v>341</v>
      </c>
      <c r="M359" s="10" t="s">
        <v>59</v>
      </c>
      <c r="N359" s="10" t="s">
        <v>67</v>
      </c>
      <c r="O359" s="10" t="s">
        <v>61</v>
      </c>
      <c r="P359" s="10">
        <v>43053</v>
      </c>
      <c r="Q359" s="15">
        <v>24000</v>
      </c>
      <c r="R359" s="15">
        <v>39300</v>
      </c>
      <c r="S359" s="15">
        <f>Table1[[#This Row],[Retail Price]]-Table1[[#This Row],[Cost Price]]</f>
        <v>15300</v>
      </c>
      <c r="T359" s="10">
        <v>10</v>
      </c>
      <c r="U359" s="15">
        <f>Table1[[#This Row],[Profit Margin]]*Table1[[#This Row],[Order Quantity]]</f>
        <v>153000</v>
      </c>
      <c r="V359" s="11">
        <v>0.08</v>
      </c>
      <c r="W359" s="15">
        <f t="shared" si="5"/>
        <v>12240</v>
      </c>
      <c r="X359" s="15">
        <f>Table1[[#This Row],[Sub Total]]-Table1[[#This Row],[Discount Rp]]</f>
        <v>140760</v>
      </c>
      <c r="Y359" s="15">
        <f ca="1">OFFSET(Helper!$C$3,MATCH(Data!$N$4:$N$1003,Helper!$C$4:$C$9,0),MATCH(Data!$O$4:$O$1003,Helper!$D$3:$F$3,0))</f>
        <v>5000</v>
      </c>
      <c r="Z359" s="16">
        <f ca="1">Table1[[#This Row],[Order Total]]+Table1[[#This Row],[Shipping Cost]]</f>
        <v>145760</v>
      </c>
    </row>
    <row r="360" spans="1:26" ht="15.75" customHeight="1" x14ac:dyDescent="0.3">
      <c r="A360" s="9" t="s">
        <v>975</v>
      </c>
      <c r="B360" s="18">
        <v>43048</v>
      </c>
      <c r="C360" s="10">
        <f>YEAR(Table1[[#This Row],[Order Date]])</f>
        <v>2017</v>
      </c>
      <c r="D360" s="10" t="s">
        <v>976</v>
      </c>
      <c r="E360" s="10" t="s">
        <v>977</v>
      </c>
      <c r="F360" s="10" t="s">
        <v>71</v>
      </c>
      <c r="G360" s="10" t="s">
        <v>72</v>
      </c>
      <c r="H360" s="10" t="s">
        <v>194</v>
      </c>
      <c r="I360" s="10" t="str">
        <f>VLOOKUP(Table1[[#This Row],[Account Manager ID]],Table2[[Employee ID]:[Full Name]],4,FALSE)</f>
        <v>Nabila Prakasa</v>
      </c>
      <c r="J360" s="10" t="str">
        <f>INDEX(Employee!$D$4:$D$47,MATCH($H$4:$H$1003,Employee!$A$4:$A$47,0))</f>
        <v>Nabila Prakasa</v>
      </c>
      <c r="K360" s="10" t="s">
        <v>117</v>
      </c>
      <c r="L360" s="10" t="s">
        <v>226</v>
      </c>
      <c r="M360" s="10" t="s">
        <v>81</v>
      </c>
      <c r="N360" s="10" t="s">
        <v>227</v>
      </c>
      <c r="O360" s="10" t="s">
        <v>61</v>
      </c>
      <c r="P360" s="10">
        <v>43050</v>
      </c>
      <c r="Q360" s="15">
        <v>132300</v>
      </c>
      <c r="R360" s="15">
        <v>314850</v>
      </c>
      <c r="S360" s="15">
        <f>Table1[[#This Row],[Retail Price]]-Table1[[#This Row],[Cost Price]]</f>
        <v>182550</v>
      </c>
      <c r="T360" s="10">
        <v>9</v>
      </c>
      <c r="U360" s="15">
        <f>Table1[[#This Row],[Profit Margin]]*Table1[[#This Row],[Order Quantity]]</f>
        <v>1642950</v>
      </c>
      <c r="V360" s="11">
        <v>0.08</v>
      </c>
      <c r="W360" s="15">
        <f t="shared" si="5"/>
        <v>131436</v>
      </c>
      <c r="X360" s="15">
        <f>Table1[[#This Row],[Sub Total]]-Table1[[#This Row],[Discount Rp]]</f>
        <v>1511514</v>
      </c>
      <c r="Y360" s="15">
        <f ca="1">OFFSET(Helper!$C$3,MATCH(Data!$N$4:$N$1003,Helper!$C$4:$C$9,0),MATCH(Data!$O$4:$O$1003,Helper!$D$3:$F$3,0))</f>
        <v>20000</v>
      </c>
      <c r="Z360" s="16">
        <f ca="1">Table1[[#This Row],[Order Total]]+Table1[[#This Row],[Shipping Cost]]</f>
        <v>1531514</v>
      </c>
    </row>
    <row r="361" spans="1:26" ht="15.75" customHeight="1" x14ac:dyDescent="0.3">
      <c r="A361" s="9" t="s">
        <v>978</v>
      </c>
      <c r="B361" s="18">
        <v>43050</v>
      </c>
      <c r="C361" s="10">
        <f>YEAR(Table1[[#This Row],[Order Date]])</f>
        <v>2017</v>
      </c>
      <c r="D361" s="10" t="s">
        <v>979</v>
      </c>
      <c r="E361" s="10" t="s">
        <v>116</v>
      </c>
      <c r="F361" s="10" t="s">
        <v>54</v>
      </c>
      <c r="G361" s="10" t="s">
        <v>106</v>
      </c>
      <c r="H361" s="10" t="s">
        <v>56</v>
      </c>
      <c r="I361" s="10" t="str">
        <f>VLOOKUP(Table1[[#This Row],[Account Manager ID]],Table2[[Employee ID]:[Full Name]],4,FALSE)</f>
        <v>Gaduh Pratama</v>
      </c>
      <c r="J361" s="10" t="str">
        <f>INDEX(Employee!$D$4:$D$47,MATCH($H$4:$H$1003,Employee!$A$4:$A$47,0))</f>
        <v>Gaduh Pratama</v>
      </c>
      <c r="K361" s="10" t="s">
        <v>57</v>
      </c>
      <c r="L361" s="10" t="s">
        <v>950</v>
      </c>
      <c r="M361" s="10" t="s">
        <v>59</v>
      </c>
      <c r="N361" s="10" t="s">
        <v>60</v>
      </c>
      <c r="O361" s="10" t="s">
        <v>61</v>
      </c>
      <c r="P361" s="10">
        <v>43051</v>
      </c>
      <c r="Q361" s="15">
        <v>27600</v>
      </c>
      <c r="R361" s="15">
        <v>43200</v>
      </c>
      <c r="S361" s="15">
        <f>Table1[[#This Row],[Retail Price]]-Table1[[#This Row],[Cost Price]]</f>
        <v>15600</v>
      </c>
      <c r="T361" s="10">
        <v>11</v>
      </c>
      <c r="U361" s="15">
        <f>Table1[[#This Row],[Profit Margin]]*Table1[[#This Row],[Order Quantity]]</f>
        <v>171600</v>
      </c>
      <c r="V361" s="11">
        <v>0.02</v>
      </c>
      <c r="W361" s="15">
        <f t="shared" si="5"/>
        <v>3432</v>
      </c>
      <c r="X361" s="15">
        <f>Table1[[#This Row],[Sub Total]]-Table1[[#This Row],[Discount Rp]]</f>
        <v>168168</v>
      </c>
      <c r="Y361" s="15">
        <f ca="1">OFFSET(Helper!$C$3,MATCH(Data!$N$4:$N$1003,Helper!$C$4:$C$9,0),MATCH(Data!$O$4:$O$1003,Helper!$D$3:$F$3,0))</f>
        <v>15000</v>
      </c>
      <c r="Z361" s="16">
        <f ca="1">Table1[[#This Row],[Order Total]]+Table1[[#This Row],[Shipping Cost]]</f>
        <v>183168</v>
      </c>
    </row>
    <row r="362" spans="1:26" ht="15.75" customHeight="1" x14ac:dyDescent="0.3">
      <c r="A362" s="9" t="s">
        <v>980</v>
      </c>
      <c r="B362" s="18">
        <v>43050</v>
      </c>
      <c r="C362" s="10">
        <f>YEAR(Table1[[#This Row],[Order Date]])</f>
        <v>2017</v>
      </c>
      <c r="D362" s="10" t="s">
        <v>981</v>
      </c>
      <c r="E362" s="10" t="s">
        <v>101</v>
      </c>
      <c r="F362" s="10" t="s">
        <v>71</v>
      </c>
      <c r="G362" s="10" t="s">
        <v>106</v>
      </c>
      <c r="H362" s="10" t="s">
        <v>97</v>
      </c>
      <c r="I362" s="10" t="str">
        <f>VLOOKUP(Table1[[#This Row],[Account Manager ID]],Table2[[Employee ID]:[Full Name]],4,FALSE)</f>
        <v>Violet Mentari</v>
      </c>
      <c r="J362" s="10" t="str">
        <f>INDEX(Employee!$D$4:$D$47,MATCH($H$4:$H$1003,Employee!$A$4:$A$47,0))</f>
        <v>Violet Mentari</v>
      </c>
      <c r="K362" s="10" t="s">
        <v>57</v>
      </c>
      <c r="L362" s="10" t="s">
        <v>234</v>
      </c>
      <c r="M362" s="10" t="s">
        <v>59</v>
      </c>
      <c r="N362" s="10" t="s">
        <v>60</v>
      </c>
      <c r="O362" s="10" t="s">
        <v>61</v>
      </c>
      <c r="P362" s="10">
        <v>43052</v>
      </c>
      <c r="Q362" s="15">
        <v>208200</v>
      </c>
      <c r="R362" s="15">
        <v>335700</v>
      </c>
      <c r="S362" s="15">
        <f>Table1[[#This Row],[Retail Price]]-Table1[[#This Row],[Cost Price]]</f>
        <v>127500</v>
      </c>
      <c r="T362" s="10">
        <v>34</v>
      </c>
      <c r="U362" s="15">
        <f>Table1[[#This Row],[Profit Margin]]*Table1[[#This Row],[Order Quantity]]</f>
        <v>4335000</v>
      </c>
      <c r="V362" s="11">
        <v>0.01</v>
      </c>
      <c r="W362" s="15">
        <f t="shared" si="5"/>
        <v>43350</v>
      </c>
      <c r="X362" s="15">
        <f>Table1[[#This Row],[Sub Total]]-Table1[[#This Row],[Discount Rp]]</f>
        <v>4291650</v>
      </c>
      <c r="Y362" s="15">
        <f ca="1">OFFSET(Helper!$C$3,MATCH(Data!$N$4:$N$1003,Helper!$C$4:$C$9,0),MATCH(Data!$O$4:$O$1003,Helper!$D$3:$F$3,0))</f>
        <v>15000</v>
      </c>
      <c r="Z362" s="16">
        <f ca="1">Table1[[#This Row],[Order Total]]+Table1[[#This Row],[Shipping Cost]]</f>
        <v>4306650</v>
      </c>
    </row>
    <row r="363" spans="1:26" ht="15.75" customHeight="1" x14ac:dyDescent="0.3">
      <c r="A363" s="9" t="s">
        <v>982</v>
      </c>
      <c r="B363" s="18">
        <v>43050</v>
      </c>
      <c r="C363" s="10">
        <f>YEAR(Table1[[#This Row],[Order Date]])</f>
        <v>2017</v>
      </c>
      <c r="D363" s="10" t="s">
        <v>983</v>
      </c>
      <c r="E363" s="10" t="s">
        <v>169</v>
      </c>
      <c r="F363" s="10" t="s">
        <v>54</v>
      </c>
      <c r="G363" s="10" t="s">
        <v>72</v>
      </c>
      <c r="H363" s="10" t="s">
        <v>65</v>
      </c>
      <c r="I363" s="10" t="str">
        <f>VLOOKUP(Table1[[#This Row],[Account Manager ID]],Table2[[Employee ID]:[Full Name]],4,FALSE)</f>
        <v>Laras Nuraini</v>
      </c>
      <c r="J363" s="10" t="str">
        <f>INDEX(Employee!$D$4:$D$47,MATCH($H$4:$H$1003,Employee!$A$4:$A$47,0))</f>
        <v>Laras Nuraini</v>
      </c>
      <c r="K363" s="10" t="s">
        <v>117</v>
      </c>
      <c r="L363" s="10" t="s">
        <v>118</v>
      </c>
      <c r="M363" s="10" t="s">
        <v>59</v>
      </c>
      <c r="N363" s="10" t="s">
        <v>60</v>
      </c>
      <c r="O363" s="10" t="s">
        <v>61</v>
      </c>
      <c r="P363" s="10">
        <v>43052</v>
      </c>
      <c r="Q363" s="15">
        <v>73350</v>
      </c>
      <c r="R363" s="15">
        <v>114600</v>
      </c>
      <c r="S363" s="15">
        <f>Table1[[#This Row],[Retail Price]]-Table1[[#This Row],[Cost Price]]</f>
        <v>41250</v>
      </c>
      <c r="T363" s="10">
        <v>7</v>
      </c>
      <c r="U363" s="15">
        <f>Table1[[#This Row],[Profit Margin]]*Table1[[#This Row],[Order Quantity]]</f>
        <v>288750</v>
      </c>
      <c r="V363" s="11">
        <v>0.06</v>
      </c>
      <c r="W363" s="15">
        <f t="shared" si="5"/>
        <v>17325</v>
      </c>
      <c r="X363" s="15">
        <f>Table1[[#This Row],[Sub Total]]-Table1[[#This Row],[Discount Rp]]</f>
        <v>271425</v>
      </c>
      <c r="Y363" s="15">
        <f ca="1">OFFSET(Helper!$C$3,MATCH(Data!$N$4:$N$1003,Helper!$C$4:$C$9,0),MATCH(Data!$O$4:$O$1003,Helper!$D$3:$F$3,0))</f>
        <v>15000</v>
      </c>
      <c r="Z363" s="16">
        <f ca="1">Table1[[#This Row],[Order Total]]+Table1[[#This Row],[Shipping Cost]]</f>
        <v>286425</v>
      </c>
    </row>
    <row r="364" spans="1:26" ht="15.75" customHeight="1" x14ac:dyDescent="0.3">
      <c r="A364" s="9" t="s">
        <v>984</v>
      </c>
      <c r="B364" s="18">
        <v>43054</v>
      </c>
      <c r="C364" s="10">
        <f>YEAR(Table1[[#This Row],[Order Date]])</f>
        <v>2017</v>
      </c>
      <c r="D364" s="10" t="s">
        <v>985</v>
      </c>
      <c r="E364" s="10" t="s">
        <v>628</v>
      </c>
      <c r="F364" s="10" t="s">
        <v>71</v>
      </c>
      <c r="G364" s="10" t="s">
        <v>72</v>
      </c>
      <c r="H364" s="10" t="s">
        <v>304</v>
      </c>
      <c r="I364" s="10" t="str">
        <f>VLOOKUP(Table1[[#This Row],[Account Manager ID]],Table2[[Employee ID]:[Full Name]],4,FALSE)</f>
        <v>Sutan Tirtayasa Wasita</v>
      </c>
      <c r="J364" s="10" t="str">
        <f>INDEX(Employee!$D$4:$D$47,MATCH($H$4:$H$1003,Employee!$A$4:$A$47,0))</f>
        <v>Sutan Tirtayasa Wasita</v>
      </c>
      <c r="K364" s="10" t="s">
        <v>117</v>
      </c>
      <c r="L364" s="10" t="s">
        <v>465</v>
      </c>
      <c r="M364" s="10" t="s">
        <v>59</v>
      </c>
      <c r="N364" s="10" t="s">
        <v>60</v>
      </c>
      <c r="O364" s="10" t="s">
        <v>61</v>
      </c>
      <c r="P364" s="10">
        <v>43055</v>
      </c>
      <c r="Q364" s="15">
        <v>52500</v>
      </c>
      <c r="R364" s="15">
        <v>86100</v>
      </c>
      <c r="S364" s="15">
        <f>Table1[[#This Row],[Retail Price]]-Table1[[#This Row],[Cost Price]]</f>
        <v>33600</v>
      </c>
      <c r="T364" s="10">
        <v>7</v>
      </c>
      <c r="U364" s="15">
        <f>Table1[[#This Row],[Profit Margin]]*Table1[[#This Row],[Order Quantity]]</f>
        <v>235200</v>
      </c>
      <c r="V364" s="11">
        <v>0.04</v>
      </c>
      <c r="W364" s="15">
        <f t="shared" si="5"/>
        <v>9408</v>
      </c>
      <c r="X364" s="15">
        <f>Table1[[#This Row],[Sub Total]]-Table1[[#This Row],[Discount Rp]]</f>
        <v>225792</v>
      </c>
      <c r="Y364" s="15">
        <f ca="1">OFFSET(Helper!$C$3,MATCH(Data!$N$4:$N$1003,Helper!$C$4:$C$9,0),MATCH(Data!$O$4:$O$1003,Helper!$D$3:$F$3,0))</f>
        <v>15000</v>
      </c>
      <c r="Z364" s="16">
        <f ca="1">Table1[[#This Row],[Order Total]]+Table1[[#This Row],[Shipping Cost]]</f>
        <v>240792</v>
      </c>
    </row>
    <row r="365" spans="1:26" ht="15.75" customHeight="1" x14ac:dyDescent="0.3">
      <c r="A365" s="9" t="s">
        <v>986</v>
      </c>
      <c r="B365" s="18">
        <v>43056</v>
      </c>
      <c r="C365" s="10">
        <f>YEAR(Table1[[#This Row],[Order Date]])</f>
        <v>2017</v>
      </c>
      <c r="D365" s="10" t="s">
        <v>987</v>
      </c>
      <c r="E365" s="10" t="s">
        <v>53</v>
      </c>
      <c r="F365" s="10" t="s">
        <v>54</v>
      </c>
      <c r="G365" s="10" t="s">
        <v>87</v>
      </c>
      <c r="H365" s="10" t="s">
        <v>56</v>
      </c>
      <c r="I365" s="10" t="str">
        <f>VLOOKUP(Table1[[#This Row],[Account Manager ID]],Table2[[Employee ID]:[Full Name]],4,FALSE)</f>
        <v>Gaduh Pratama</v>
      </c>
      <c r="J365" s="10" t="str">
        <f>INDEX(Employee!$D$4:$D$47,MATCH($H$4:$H$1003,Employee!$A$4:$A$47,0))</f>
        <v>Gaduh Pratama</v>
      </c>
      <c r="K365" s="10" t="s">
        <v>57</v>
      </c>
      <c r="L365" s="10" t="s">
        <v>93</v>
      </c>
      <c r="M365" s="10" t="s">
        <v>59</v>
      </c>
      <c r="N365" s="10" t="s">
        <v>67</v>
      </c>
      <c r="O365" s="10" t="s">
        <v>61</v>
      </c>
      <c r="P365" s="10">
        <v>43058</v>
      </c>
      <c r="Q365" s="15">
        <v>16350.000000000002</v>
      </c>
      <c r="R365" s="15">
        <v>39000</v>
      </c>
      <c r="S365" s="15">
        <f>Table1[[#This Row],[Retail Price]]-Table1[[#This Row],[Cost Price]]</f>
        <v>22650</v>
      </c>
      <c r="T365" s="10">
        <v>43</v>
      </c>
      <c r="U365" s="15">
        <f>Table1[[#This Row],[Profit Margin]]*Table1[[#This Row],[Order Quantity]]</f>
        <v>973950</v>
      </c>
      <c r="V365" s="11">
        <v>0.06</v>
      </c>
      <c r="W365" s="15">
        <f t="shared" si="5"/>
        <v>58437</v>
      </c>
      <c r="X365" s="15">
        <f>Table1[[#This Row],[Sub Total]]-Table1[[#This Row],[Discount Rp]]</f>
        <v>915513</v>
      </c>
      <c r="Y365" s="15">
        <f ca="1">OFFSET(Helper!$C$3,MATCH(Data!$N$4:$N$1003,Helper!$C$4:$C$9,0),MATCH(Data!$O$4:$O$1003,Helper!$D$3:$F$3,0))</f>
        <v>5000</v>
      </c>
      <c r="Z365" s="16">
        <f ca="1">Table1[[#This Row],[Order Total]]+Table1[[#This Row],[Shipping Cost]]</f>
        <v>920513</v>
      </c>
    </row>
    <row r="366" spans="1:26" ht="15.75" customHeight="1" x14ac:dyDescent="0.3">
      <c r="A366" s="9" t="s">
        <v>988</v>
      </c>
      <c r="B366" s="18">
        <v>43057</v>
      </c>
      <c r="C366" s="10">
        <f>YEAR(Table1[[#This Row],[Order Date]])</f>
        <v>2017</v>
      </c>
      <c r="D366" s="10" t="s">
        <v>989</v>
      </c>
      <c r="E366" s="10" t="s">
        <v>990</v>
      </c>
      <c r="F366" s="10" t="s">
        <v>71</v>
      </c>
      <c r="G366" s="10" t="s">
        <v>72</v>
      </c>
      <c r="H366" s="10" t="s">
        <v>316</v>
      </c>
      <c r="I366" s="10" t="str">
        <f>VLOOKUP(Table1[[#This Row],[Account Manager ID]],Table2[[Employee ID]:[Full Name]],4,FALSE)</f>
        <v>Sari Winarno</v>
      </c>
      <c r="J366" s="10" t="str">
        <f>INDEX(Employee!$D$4:$D$47,MATCH($H$4:$H$1003,Employee!$A$4:$A$47,0))</f>
        <v>Sari Winarno</v>
      </c>
      <c r="K366" s="10" t="s">
        <v>92</v>
      </c>
      <c r="L366" s="10" t="s">
        <v>415</v>
      </c>
      <c r="M366" s="10" t="s">
        <v>59</v>
      </c>
      <c r="N366" s="10" t="s">
        <v>60</v>
      </c>
      <c r="O366" s="10" t="s">
        <v>61</v>
      </c>
      <c r="P366" s="10">
        <v>43057</v>
      </c>
      <c r="Q366" s="15">
        <v>54750</v>
      </c>
      <c r="R366" s="15">
        <v>89700</v>
      </c>
      <c r="S366" s="15">
        <f>Table1[[#This Row],[Retail Price]]-Table1[[#This Row],[Cost Price]]</f>
        <v>34950</v>
      </c>
      <c r="T366" s="10">
        <v>32</v>
      </c>
      <c r="U366" s="15">
        <f>Table1[[#This Row],[Profit Margin]]*Table1[[#This Row],[Order Quantity]]</f>
        <v>1118400</v>
      </c>
      <c r="V366" s="11">
        <v>0.1</v>
      </c>
      <c r="W366" s="15">
        <f t="shared" si="5"/>
        <v>111840</v>
      </c>
      <c r="X366" s="15">
        <f>Table1[[#This Row],[Sub Total]]-Table1[[#This Row],[Discount Rp]]</f>
        <v>1006560</v>
      </c>
      <c r="Y366" s="15">
        <f ca="1">OFFSET(Helper!$C$3,MATCH(Data!$N$4:$N$1003,Helper!$C$4:$C$9,0),MATCH(Data!$O$4:$O$1003,Helper!$D$3:$F$3,0))</f>
        <v>15000</v>
      </c>
      <c r="Z366" s="16">
        <f ca="1">Table1[[#This Row],[Order Total]]+Table1[[#This Row],[Shipping Cost]]</f>
        <v>1021560</v>
      </c>
    </row>
    <row r="367" spans="1:26" ht="15.75" customHeight="1" x14ac:dyDescent="0.3">
      <c r="A367" s="9" t="s">
        <v>991</v>
      </c>
      <c r="B367" s="18">
        <v>43058</v>
      </c>
      <c r="C367" s="10">
        <f>YEAR(Table1[[#This Row],[Order Date]])</f>
        <v>2017</v>
      </c>
      <c r="D367" s="10" t="s">
        <v>992</v>
      </c>
      <c r="E367" s="10" t="s">
        <v>145</v>
      </c>
      <c r="F367" s="10" t="s">
        <v>71</v>
      </c>
      <c r="G367" s="10" t="s">
        <v>106</v>
      </c>
      <c r="H367" s="10" t="s">
        <v>146</v>
      </c>
      <c r="I367" s="10" t="str">
        <f>VLOOKUP(Table1[[#This Row],[Account Manager ID]],Table2[[Employee ID]:[Full Name]],4,FALSE)</f>
        <v>Kenari Rajasa</v>
      </c>
      <c r="J367" s="10" t="str">
        <f>INDEX(Employee!$D$4:$D$47,MATCH($H$4:$H$1003,Employee!$A$4:$A$47,0))</f>
        <v>Kenari Rajasa</v>
      </c>
      <c r="K367" s="10" t="s">
        <v>74</v>
      </c>
      <c r="L367" s="10" t="s">
        <v>510</v>
      </c>
      <c r="M367" s="10" t="s">
        <v>59</v>
      </c>
      <c r="N367" s="10" t="s">
        <v>67</v>
      </c>
      <c r="O367" s="10" t="s">
        <v>61</v>
      </c>
      <c r="P367" s="10">
        <v>43060</v>
      </c>
      <c r="Q367" s="15">
        <v>49800</v>
      </c>
      <c r="R367" s="15">
        <v>77700</v>
      </c>
      <c r="S367" s="15">
        <f>Table1[[#This Row],[Retail Price]]-Table1[[#This Row],[Cost Price]]</f>
        <v>27900</v>
      </c>
      <c r="T367" s="10">
        <v>17</v>
      </c>
      <c r="U367" s="15">
        <f>Table1[[#This Row],[Profit Margin]]*Table1[[#This Row],[Order Quantity]]</f>
        <v>474300</v>
      </c>
      <c r="V367" s="11">
        <v>0.02</v>
      </c>
      <c r="W367" s="15">
        <f t="shared" si="5"/>
        <v>9486</v>
      </c>
      <c r="X367" s="15">
        <f>Table1[[#This Row],[Sub Total]]-Table1[[#This Row],[Discount Rp]]</f>
        <v>464814</v>
      </c>
      <c r="Y367" s="15">
        <f ca="1">OFFSET(Helper!$C$3,MATCH(Data!$N$4:$N$1003,Helper!$C$4:$C$9,0),MATCH(Data!$O$4:$O$1003,Helper!$D$3:$F$3,0))</f>
        <v>5000</v>
      </c>
      <c r="Z367" s="16">
        <f ca="1">Table1[[#This Row],[Order Total]]+Table1[[#This Row],[Shipping Cost]]</f>
        <v>469814</v>
      </c>
    </row>
    <row r="368" spans="1:26" ht="15.75" customHeight="1" x14ac:dyDescent="0.3">
      <c r="A368" s="9" t="s">
        <v>993</v>
      </c>
      <c r="B368" s="18">
        <v>43062</v>
      </c>
      <c r="C368" s="10">
        <f>YEAR(Table1[[#This Row],[Order Date]])</f>
        <v>2017</v>
      </c>
      <c r="D368" s="10" t="s">
        <v>994</v>
      </c>
      <c r="E368" s="10" t="s">
        <v>401</v>
      </c>
      <c r="F368" s="10" t="s">
        <v>71</v>
      </c>
      <c r="G368" s="10" t="s">
        <v>72</v>
      </c>
      <c r="H368" s="10" t="s">
        <v>155</v>
      </c>
      <c r="I368" s="10" t="str">
        <f>VLOOKUP(Table1[[#This Row],[Account Manager ID]],Table2[[Employee ID]:[Full Name]],4,FALSE)</f>
        <v>Puti Nadine Prakasa</v>
      </c>
      <c r="J368" s="10" t="str">
        <f>INDEX(Employee!$D$4:$D$47,MATCH($H$4:$H$1003,Employee!$A$4:$A$47,0))</f>
        <v>Puti Nadine Prakasa</v>
      </c>
      <c r="K368" s="10" t="s">
        <v>74</v>
      </c>
      <c r="L368" s="10" t="s">
        <v>394</v>
      </c>
      <c r="M368" s="10" t="s">
        <v>59</v>
      </c>
      <c r="N368" s="10" t="s">
        <v>67</v>
      </c>
      <c r="O368" s="10" t="s">
        <v>61</v>
      </c>
      <c r="P368" s="10">
        <v>43063</v>
      </c>
      <c r="Q368" s="15">
        <v>3600</v>
      </c>
      <c r="R368" s="15">
        <v>18900</v>
      </c>
      <c r="S368" s="15">
        <f>Table1[[#This Row],[Retail Price]]-Table1[[#This Row],[Cost Price]]</f>
        <v>15300</v>
      </c>
      <c r="T368" s="10">
        <v>2</v>
      </c>
      <c r="U368" s="15">
        <f>Table1[[#This Row],[Profit Margin]]*Table1[[#This Row],[Order Quantity]]</f>
        <v>30600</v>
      </c>
      <c r="V368" s="11">
        <v>0.06</v>
      </c>
      <c r="W368" s="15">
        <f t="shared" si="5"/>
        <v>1836</v>
      </c>
      <c r="X368" s="15">
        <f>Table1[[#This Row],[Sub Total]]-Table1[[#This Row],[Discount Rp]]</f>
        <v>28764</v>
      </c>
      <c r="Y368" s="15">
        <f ca="1">OFFSET(Helper!$C$3,MATCH(Data!$N$4:$N$1003,Helper!$C$4:$C$9,0),MATCH(Data!$O$4:$O$1003,Helper!$D$3:$F$3,0))</f>
        <v>5000</v>
      </c>
      <c r="Z368" s="16">
        <f ca="1">Table1[[#This Row],[Order Total]]+Table1[[#This Row],[Shipping Cost]]</f>
        <v>33764</v>
      </c>
    </row>
    <row r="369" spans="1:26" ht="15.75" customHeight="1" x14ac:dyDescent="0.3">
      <c r="A369" s="9" t="s">
        <v>995</v>
      </c>
      <c r="B369" s="18">
        <v>43062</v>
      </c>
      <c r="C369" s="10">
        <f>YEAR(Table1[[#This Row],[Order Date]])</f>
        <v>2017</v>
      </c>
      <c r="D369" s="10" t="s">
        <v>373</v>
      </c>
      <c r="E369" s="10" t="s">
        <v>340</v>
      </c>
      <c r="F369" s="10" t="s">
        <v>54</v>
      </c>
      <c r="G369" s="10" t="s">
        <v>106</v>
      </c>
      <c r="H369" s="10" t="s">
        <v>65</v>
      </c>
      <c r="I369" s="10" t="str">
        <f>VLOOKUP(Table1[[#This Row],[Account Manager ID]],Table2[[Employee ID]:[Full Name]],4,FALSE)</f>
        <v>Laras Nuraini</v>
      </c>
      <c r="J369" s="10" t="str">
        <f>INDEX(Employee!$D$4:$D$47,MATCH($H$4:$H$1003,Employee!$A$4:$A$47,0))</f>
        <v>Laras Nuraini</v>
      </c>
      <c r="K369" s="10" t="s">
        <v>74</v>
      </c>
      <c r="L369" s="10" t="s">
        <v>238</v>
      </c>
      <c r="M369" s="10" t="s">
        <v>59</v>
      </c>
      <c r="N369" s="10" t="s">
        <v>67</v>
      </c>
      <c r="O369" s="10" t="s">
        <v>61</v>
      </c>
      <c r="P369" s="10">
        <v>43065</v>
      </c>
      <c r="Q369" s="15">
        <v>323400</v>
      </c>
      <c r="R369" s="15">
        <v>548250</v>
      </c>
      <c r="S369" s="15">
        <f>Table1[[#This Row],[Retail Price]]-Table1[[#This Row],[Cost Price]]</f>
        <v>224850</v>
      </c>
      <c r="T369" s="10">
        <v>24</v>
      </c>
      <c r="U369" s="15">
        <f>Table1[[#This Row],[Profit Margin]]*Table1[[#This Row],[Order Quantity]]</f>
        <v>5396400</v>
      </c>
      <c r="V369" s="11">
        <v>7.0000000000000007E-2</v>
      </c>
      <c r="W369" s="15">
        <f t="shared" si="5"/>
        <v>377748.00000000006</v>
      </c>
      <c r="X369" s="15">
        <f>Table1[[#This Row],[Sub Total]]-Table1[[#This Row],[Discount Rp]]</f>
        <v>5018652</v>
      </c>
      <c r="Y369" s="15">
        <f ca="1">OFFSET(Helper!$C$3,MATCH(Data!$N$4:$N$1003,Helper!$C$4:$C$9,0),MATCH(Data!$O$4:$O$1003,Helper!$D$3:$F$3,0))</f>
        <v>5000</v>
      </c>
      <c r="Z369" s="16">
        <f ca="1">Table1[[#This Row],[Order Total]]+Table1[[#This Row],[Shipping Cost]]</f>
        <v>5023652</v>
      </c>
    </row>
    <row r="370" spans="1:26" ht="15.75" customHeight="1" x14ac:dyDescent="0.3">
      <c r="A370" s="9" t="s">
        <v>996</v>
      </c>
      <c r="B370" s="18">
        <v>43062</v>
      </c>
      <c r="C370" s="10">
        <f>YEAR(Table1[[#This Row],[Order Date]])</f>
        <v>2017</v>
      </c>
      <c r="D370" s="10" t="s">
        <v>997</v>
      </c>
      <c r="E370" s="10" t="s">
        <v>340</v>
      </c>
      <c r="F370" s="10" t="s">
        <v>54</v>
      </c>
      <c r="G370" s="10" t="s">
        <v>72</v>
      </c>
      <c r="H370" s="10" t="s">
        <v>65</v>
      </c>
      <c r="I370" s="10" t="str">
        <f>VLOOKUP(Table1[[#This Row],[Account Manager ID]],Table2[[Employee ID]:[Full Name]],4,FALSE)</f>
        <v>Laras Nuraini</v>
      </c>
      <c r="J370" s="10" t="str">
        <f>INDEX(Employee!$D$4:$D$47,MATCH($H$4:$H$1003,Employee!$A$4:$A$47,0))</f>
        <v>Laras Nuraini</v>
      </c>
      <c r="K370" s="10" t="s">
        <v>117</v>
      </c>
      <c r="L370" s="10" t="s">
        <v>248</v>
      </c>
      <c r="M370" s="10" t="s">
        <v>59</v>
      </c>
      <c r="N370" s="10" t="s">
        <v>67</v>
      </c>
      <c r="O370" s="10" t="s">
        <v>61</v>
      </c>
      <c r="P370" s="10">
        <v>43064</v>
      </c>
      <c r="Q370" s="15">
        <v>56250</v>
      </c>
      <c r="R370" s="15">
        <v>106200</v>
      </c>
      <c r="S370" s="15">
        <f>Table1[[#This Row],[Retail Price]]-Table1[[#This Row],[Cost Price]]</f>
        <v>49950</v>
      </c>
      <c r="T370" s="10">
        <v>47</v>
      </c>
      <c r="U370" s="15">
        <f>Table1[[#This Row],[Profit Margin]]*Table1[[#This Row],[Order Quantity]]</f>
        <v>2347650</v>
      </c>
      <c r="V370" s="11">
        <v>0.1</v>
      </c>
      <c r="W370" s="15">
        <f t="shared" si="5"/>
        <v>234765</v>
      </c>
      <c r="X370" s="15">
        <f>Table1[[#This Row],[Sub Total]]-Table1[[#This Row],[Discount Rp]]</f>
        <v>2112885</v>
      </c>
      <c r="Y370" s="15">
        <f ca="1">OFFSET(Helper!$C$3,MATCH(Data!$N$4:$N$1003,Helper!$C$4:$C$9,0),MATCH(Data!$O$4:$O$1003,Helper!$D$3:$F$3,0))</f>
        <v>5000</v>
      </c>
      <c r="Z370" s="16">
        <f ca="1">Table1[[#This Row],[Order Total]]+Table1[[#This Row],[Shipping Cost]]</f>
        <v>2117885</v>
      </c>
    </row>
    <row r="371" spans="1:26" ht="15.75" customHeight="1" x14ac:dyDescent="0.3">
      <c r="A371" s="9" t="s">
        <v>998</v>
      </c>
      <c r="B371" s="18">
        <v>43062</v>
      </c>
      <c r="C371" s="10">
        <f>YEAR(Table1[[#This Row],[Order Date]])</f>
        <v>2017</v>
      </c>
      <c r="D371" s="10" t="s">
        <v>999</v>
      </c>
      <c r="E371" s="10" t="s">
        <v>53</v>
      </c>
      <c r="F371" s="10" t="s">
        <v>54</v>
      </c>
      <c r="G371" s="10" t="s">
        <v>87</v>
      </c>
      <c r="H371" s="10" t="s">
        <v>56</v>
      </c>
      <c r="I371" s="10" t="str">
        <f>VLOOKUP(Table1[[#This Row],[Account Manager ID]],Table2[[Employee ID]:[Full Name]],4,FALSE)</f>
        <v>Gaduh Pratama</v>
      </c>
      <c r="J371" s="10" t="str">
        <f>INDEX(Employee!$D$4:$D$47,MATCH($H$4:$H$1003,Employee!$A$4:$A$47,0))</f>
        <v>Gaduh Pratama</v>
      </c>
      <c r="K371" s="10" t="s">
        <v>57</v>
      </c>
      <c r="L371" s="10" t="s">
        <v>331</v>
      </c>
      <c r="M371" s="10" t="s">
        <v>59</v>
      </c>
      <c r="N371" s="10" t="s">
        <v>67</v>
      </c>
      <c r="O371" s="10" t="s">
        <v>76</v>
      </c>
      <c r="P371" s="10">
        <v>43064</v>
      </c>
      <c r="Q371" s="15">
        <v>43500</v>
      </c>
      <c r="R371" s="15">
        <v>71400</v>
      </c>
      <c r="S371" s="15">
        <f>Table1[[#This Row],[Retail Price]]-Table1[[#This Row],[Cost Price]]</f>
        <v>27900</v>
      </c>
      <c r="T371" s="10">
        <v>11</v>
      </c>
      <c r="U371" s="15">
        <f>Table1[[#This Row],[Profit Margin]]*Table1[[#This Row],[Order Quantity]]</f>
        <v>306900</v>
      </c>
      <c r="V371" s="11">
        <v>0.08</v>
      </c>
      <c r="W371" s="15">
        <f t="shared" si="5"/>
        <v>24552</v>
      </c>
      <c r="X371" s="15">
        <f>Table1[[#This Row],[Sub Total]]-Table1[[#This Row],[Discount Rp]]</f>
        <v>282348</v>
      </c>
      <c r="Y371" s="15">
        <f ca="1">OFFSET(Helper!$C$3,MATCH(Data!$N$4:$N$1003,Helper!$C$4:$C$9,0),MATCH(Data!$O$4:$O$1003,Helper!$D$3:$F$3,0))</f>
        <v>10000</v>
      </c>
      <c r="Z371" s="16">
        <f ca="1">Table1[[#This Row],[Order Total]]+Table1[[#This Row],[Shipping Cost]]</f>
        <v>292348</v>
      </c>
    </row>
    <row r="372" spans="1:26" ht="15.75" customHeight="1" x14ac:dyDescent="0.3">
      <c r="A372" s="9" t="s">
        <v>1000</v>
      </c>
      <c r="B372" s="18">
        <v>43063</v>
      </c>
      <c r="C372" s="10">
        <f>YEAR(Table1[[#This Row],[Order Date]])</f>
        <v>2017</v>
      </c>
      <c r="D372" s="10" t="s">
        <v>244</v>
      </c>
      <c r="E372" s="10" t="s">
        <v>245</v>
      </c>
      <c r="F372" s="10" t="s">
        <v>71</v>
      </c>
      <c r="G372" s="10" t="s">
        <v>55</v>
      </c>
      <c r="H372" s="10" t="s">
        <v>146</v>
      </c>
      <c r="I372" s="10" t="str">
        <f>VLOOKUP(Table1[[#This Row],[Account Manager ID]],Table2[[Employee ID]:[Full Name]],4,FALSE)</f>
        <v>Kenari Rajasa</v>
      </c>
      <c r="J372" s="10" t="str">
        <f>INDEX(Employee!$D$4:$D$47,MATCH($H$4:$H$1003,Employee!$A$4:$A$47,0))</f>
        <v>Kenari Rajasa</v>
      </c>
      <c r="K372" s="10" t="s">
        <v>92</v>
      </c>
      <c r="L372" s="10" t="s">
        <v>186</v>
      </c>
      <c r="M372" s="10" t="s">
        <v>81</v>
      </c>
      <c r="N372" s="10" t="s">
        <v>60</v>
      </c>
      <c r="O372" s="10" t="s">
        <v>61</v>
      </c>
      <c r="P372" s="10">
        <v>43070</v>
      </c>
      <c r="Q372" s="15">
        <v>95850</v>
      </c>
      <c r="R372" s="15">
        <v>299700</v>
      </c>
      <c r="S372" s="15">
        <f>Table1[[#This Row],[Retail Price]]-Table1[[#This Row],[Cost Price]]</f>
        <v>203850</v>
      </c>
      <c r="T372" s="10">
        <v>5</v>
      </c>
      <c r="U372" s="15">
        <f>Table1[[#This Row],[Profit Margin]]*Table1[[#This Row],[Order Quantity]]</f>
        <v>1019250</v>
      </c>
      <c r="V372" s="11">
        <v>0.09</v>
      </c>
      <c r="W372" s="15">
        <f t="shared" si="5"/>
        <v>91732.5</v>
      </c>
      <c r="X372" s="15">
        <f>Table1[[#This Row],[Sub Total]]-Table1[[#This Row],[Discount Rp]]</f>
        <v>927517.5</v>
      </c>
      <c r="Y372" s="15">
        <f ca="1">OFFSET(Helper!$C$3,MATCH(Data!$N$4:$N$1003,Helper!$C$4:$C$9,0),MATCH(Data!$O$4:$O$1003,Helper!$D$3:$F$3,0))</f>
        <v>15000</v>
      </c>
      <c r="Z372" s="16">
        <f ca="1">Table1[[#This Row],[Order Total]]+Table1[[#This Row],[Shipping Cost]]</f>
        <v>942517.5</v>
      </c>
    </row>
    <row r="373" spans="1:26" ht="15.75" customHeight="1" x14ac:dyDescent="0.3">
      <c r="A373" s="9" t="s">
        <v>1001</v>
      </c>
      <c r="B373" s="18">
        <v>43073</v>
      </c>
      <c r="C373" s="10">
        <f>YEAR(Table1[[#This Row],[Order Date]])</f>
        <v>2017</v>
      </c>
      <c r="D373" s="10" t="s">
        <v>1002</v>
      </c>
      <c r="E373" s="10" t="s">
        <v>364</v>
      </c>
      <c r="F373" s="10" t="s">
        <v>71</v>
      </c>
      <c r="G373" s="10" t="s">
        <v>55</v>
      </c>
      <c r="H373" s="10" t="s">
        <v>97</v>
      </c>
      <c r="I373" s="10" t="str">
        <f>VLOOKUP(Table1[[#This Row],[Account Manager ID]],Table2[[Employee ID]:[Full Name]],4,FALSE)</f>
        <v>Violet Mentari</v>
      </c>
      <c r="J373" s="10" t="str">
        <f>INDEX(Employee!$D$4:$D$47,MATCH($H$4:$H$1003,Employee!$A$4:$A$47,0))</f>
        <v>Violet Mentari</v>
      </c>
      <c r="K373" s="10" t="s">
        <v>107</v>
      </c>
      <c r="L373" s="10" t="s">
        <v>1003</v>
      </c>
      <c r="M373" s="10" t="s">
        <v>59</v>
      </c>
      <c r="N373" s="10" t="s">
        <v>60</v>
      </c>
      <c r="O373" s="10" t="s">
        <v>61</v>
      </c>
      <c r="P373" s="10">
        <v>43074</v>
      </c>
      <c r="Q373" s="15">
        <v>60450.000000000007</v>
      </c>
      <c r="R373" s="15">
        <v>140700</v>
      </c>
      <c r="S373" s="15">
        <f>Table1[[#This Row],[Retail Price]]-Table1[[#This Row],[Cost Price]]</f>
        <v>80250</v>
      </c>
      <c r="T373" s="10">
        <v>17</v>
      </c>
      <c r="U373" s="15">
        <f>Table1[[#This Row],[Profit Margin]]*Table1[[#This Row],[Order Quantity]]</f>
        <v>1364250</v>
      </c>
      <c r="V373" s="11">
        <v>0.09</v>
      </c>
      <c r="W373" s="15">
        <f t="shared" si="5"/>
        <v>122782.5</v>
      </c>
      <c r="X373" s="15">
        <f>Table1[[#This Row],[Sub Total]]-Table1[[#This Row],[Discount Rp]]</f>
        <v>1241467.5</v>
      </c>
      <c r="Y373" s="15">
        <f ca="1">OFFSET(Helper!$C$3,MATCH(Data!$N$4:$N$1003,Helper!$C$4:$C$9,0),MATCH(Data!$O$4:$O$1003,Helper!$D$3:$F$3,0))</f>
        <v>15000</v>
      </c>
      <c r="Z373" s="16">
        <f ca="1">Table1[[#This Row],[Order Total]]+Table1[[#This Row],[Shipping Cost]]</f>
        <v>1256467.5</v>
      </c>
    </row>
    <row r="374" spans="1:26" ht="15.75" customHeight="1" x14ac:dyDescent="0.3">
      <c r="A374" s="9" t="s">
        <v>1004</v>
      </c>
      <c r="B374" s="18">
        <v>43076</v>
      </c>
      <c r="C374" s="10">
        <f>YEAR(Table1[[#This Row],[Order Date]])</f>
        <v>2017</v>
      </c>
      <c r="D374" s="10" t="s">
        <v>907</v>
      </c>
      <c r="E374" s="10" t="s">
        <v>340</v>
      </c>
      <c r="F374" s="10" t="s">
        <v>54</v>
      </c>
      <c r="G374" s="10" t="s">
        <v>72</v>
      </c>
      <c r="H374" s="10" t="s">
        <v>65</v>
      </c>
      <c r="I374" s="10" t="str">
        <f>VLOOKUP(Table1[[#This Row],[Account Manager ID]],Table2[[Employee ID]:[Full Name]],4,FALSE)</f>
        <v>Laras Nuraini</v>
      </c>
      <c r="J374" s="10" t="str">
        <f>INDEX(Employee!$D$4:$D$47,MATCH($H$4:$H$1003,Employee!$A$4:$A$47,0))</f>
        <v>Laras Nuraini</v>
      </c>
      <c r="K374" s="10" t="s">
        <v>57</v>
      </c>
      <c r="L374" s="10" t="s">
        <v>252</v>
      </c>
      <c r="M374" s="10" t="s">
        <v>253</v>
      </c>
      <c r="N374" s="10" t="s">
        <v>136</v>
      </c>
      <c r="O374" s="10" t="s">
        <v>61</v>
      </c>
      <c r="P374" s="10">
        <v>43078</v>
      </c>
      <c r="Q374" s="15">
        <v>82500</v>
      </c>
      <c r="R374" s="15">
        <v>183300</v>
      </c>
      <c r="S374" s="15">
        <f>Table1[[#This Row],[Retail Price]]-Table1[[#This Row],[Cost Price]]</f>
        <v>100800</v>
      </c>
      <c r="T374" s="10">
        <v>37</v>
      </c>
      <c r="U374" s="15">
        <f>Table1[[#This Row],[Profit Margin]]*Table1[[#This Row],[Order Quantity]]</f>
        <v>3729600</v>
      </c>
      <c r="V374" s="11">
        <v>0.09</v>
      </c>
      <c r="W374" s="15">
        <f t="shared" si="5"/>
        <v>335664</v>
      </c>
      <c r="X374" s="15">
        <f>Table1[[#This Row],[Sub Total]]-Table1[[#This Row],[Discount Rp]]</f>
        <v>3393936</v>
      </c>
      <c r="Y374" s="15">
        <f ca="1">OFFSET(Helper!$C$3,MATCH(Data!$N$4:$N$1003,Helper!$C$4:$C$9,0),MATCH(Data!$O$4:$O$1003,Helper!$D$3:$F$3,0))</f>
        <v>10000</v>
      </c>
      <c r="Z374" s="16">
        <f ca="1">Table1[[#This Row],[Order Total]]+Table1[[#This Row],[Shipping Cost]]</f>
        <v>3403936</v>
      </c>
    </row>
    <row r="375" spans="1:26" ht="15.75" customHeight="1" x14ac:dyDescent="0.3">
      <c r="A375" s="9" t="s">
        <v>1005</v>
      </c>
      <c r="B375" s="18">
        <v>43076</v>
      </c>
      <c r="C375" s="10">
        <f>YEAR(Table1[[#This Row],[Order Date]])</f>
        <v>2017</v>
      </c>
      <c r="D375" s="10" t="s">
        <v>1006</v>
      </c>
      <c r="E375" s="10" t="s">
        <v>756</v>
      </c>
      <c r="F375" s="10" t="s">
        <v>71</v>
      </c>
      <c r="G375" s="10" t="s">
        <v>55</v>
      </c>
      <c r="H375" s="10" t="s">
        <v>146</v>
      </c>
      <c r="I375" s="10" t="str">
        <f>VLOOKUP(Table1[[#This Row],[Account Manager ID]],Table2[[Employee ID]:[Full Name]],4,FALSE)</f>
        <v>Kenari Rajasa</v>
      </c>
      <c r="J375" s="10" t="str">
        <f>INDEX(Employee!$D$4:$D$47,MATCH($H$4:$H$1003,Employee!$A$4:$A$47,0))</f>
        <v>Kenari Rajasa</v>
      </c>
      <c r="K375" s="10" t="s">
        <v>57</v>
      </c>
      <c r="L375" s="10" t="s">
        <v>349</v>
      </c>
      <c r="M375" s="10" t="s">
        <v>59</v>
      </c>
      <c r="N375" s="10" t="s">
        <v>67</v>
      </c>
      <c r="O375" s="10" t="s">
        <v>61</v>
      </c>
      <c r="P375" s="10">
        <v>43078</v>
      </c>
      <c r="Q375" s="15">
        <v>166650</v>
      </c>
      <c r="R375" s="15">
        <v>297600</v>
      </c>
      <c r="S375" s="15">
        <f>Table1[[#This Row],[Retail Price]]-Table1[[#This Row],[Cost Price]]</f>
        <v>130950</v>
      </c>
      <c r="T375" s="10">
        <v>28</v>
      </c>
      <c r="U375" s="15">
        <f>Table1[[#This Row],[Profit Margin]]*Table1[[#This Row],[Order Quantity]]</f>
        <v>3666600</v>
      </c>
      <c r="V375" s="11">
        <v>0.06</v>
      </c>
      <c r="W375" s="15">
        <f t="shared" si="5"/>
        <v>219996</v>
      </c>
      <c r="X375" s="15">
        <f>Table1[[#This Row],[Sub Total]]-Table1[[#This Row],[Discount Rp]]</f>
        <v>3446604</v>
      </c>
      <c r="Y375" s="15">
        <f ca="1">OFFSET(Helper!$C$3,MATCH(Data!$N$4:$N$1003,Helper!$C$4:$C$9,0),MATCH(Data!$O$4:$O$1003,Helper!$D$3:$F$3,0))</f>
        <v>5000</v>
      </c>
      <c r="Z375" s="16">
        <f ca="1">Table1[[#This Row],[Order Total]]+Table1[[#This Row],[Shipping Cost]]</f>
        <v>3451604</v>
      </c>
    </row>
    <row r="376" spans="1:26" ht="15.75" customHeight="1" x14ac:dyDescent="0.3">
      <c r="A376" s="9" t="s">
        <v>1007</v>
      </c>
      <c r="B376" s="18">
        <v>43077</v>
      </c>
      <c r="C376" s="10">
        <f>YEAR(Table1[[#This Row],[Order Date]])</f>
        <v>2017</v>
      </c>
      <c r="D376" s="10" t="s">
        <v>476</v>
      </c>
      <c r="E376" s="10" t="s">
        <v>477</v>
      </c>
      <c r="F376" s="10" t="s">
        <v>261</v>
      </c>
      <c r="G376" s="10" t="s">
        <v>72</v>
      </c>
      <c r="H376" s="10" t="s">
        <v>146</v>
      </c>
      <c r="I376" s="10" t="str">
        <f>VLOOKUP(Table1[[#This Row],[Account Manager ID]],Table2[[Employee ID]:[Full Name]],4,FALSE)</f>
        <v>Kenari Rajasa</v>
      </c>
      <c r="J376" s="10" t="str">
        <f>INDEX(Employee!$D$4:$D$47,MATCH($H$4:$H$1003,Employee!$A$4:$A$47,0))</f>
        <v>Kenari Rajasa</v>
      </c>
      <c r="K376" s="10" t="s">
        <v>117</v>
      </c>
      <c r="L376" s="10" t="s">
        <v>197</v>
      </c>
      <c r="M376" s="10" t="s">
        <v>81</v>
      </c>
      <c r="N376" s="10" t="s">
        <v>60</v>
      </c>
      <c r="O376" s="10" t="s">
        <v>61</v>
      </c>
      <c r="P376" s="10">
        <v>43077</v>
      </c>
      <c r="Q376" s="15">
        <v>151050</v>
      </c>
      <c r="R376" s="15">
        <v>239700</v>
      </c>
      <c r="S376" s="15">
        <f>Table1[[#This Row],[Retail Price]]-Table1[[#This Row],[Cost Price]]</f>
        <v>88650</v>
      </c>
      <c r="T376" s="10">
        <v>46</v>
      </c>
      <c r="U376" s="15">
        <f>Table1[[#This Row],[Profit Margin]]*Table1[[#This Row],[Order Quantity]]</f>
        <v>4077900</v>
      </c>
      <c r="V376" s="11">
        <v>0.02</v>
      </c>
      <c r="W376" s="15">
        <f t="shared" si="5"/>
        <v>81558</v>
      </c>
      <c r="X376" s="15">
        <f>Table1[[#This Row],[Sub Total]]-Table1[[#This Row],[Discount Rp]]</f>
        <v>3996342</v>
      </c>
      <c r="Y376" s="15">
        <f ca="1">OFFSET(Helper!$C$3,MATCH(Data!$N$4:$N$1003,Helper!$C$4:$C$9,0),MATCH(Data!$O$4:$O$1003,Helper!$D$3:$F$3,0))</f>
        <v>15000</v>
      </c>
      <c r="Z376" s="16">
        <f ca="1">Table1[[#This Row],[Order Total]]+Table1[[#This Row],[Shipping Cost]]</f>
        <v>4011342</v>
      </c>
    </row>
    <row r="377" spans="1:26" ht="15.75" customHeight="1" x14ac:dyDescent="0.3">
      <c r="A377" s="9" t="s">
        <v>1008</v>
      </c>
      <c r="B377" s="18">
        <v>43078</v>
      </c>
      <c r="C377" s="10">
        <f>YEAR(Table1[[#This Row],[Order Date]])</f>
        <v>2017</v>
      </c>
      <c r="D377" s="10" t="s">
        <v>1009</v>
      </c>
      <c r="E377" s="10" t="s">
        <v>172</v>
      </c>
      <c r="F377" s="10" t="s">
        <v>54</v>
      </c>
      <c r="G377" s="10" t="s">
        <v>55</v>
      </c>
      <c r="H377" s="10" t="s">
        <v>65</v>
      </c>
      <c r="I377" s="10" t="str">
        <f>VLOOKUP(Table1[[#This Row],[Account Manager ID]],Table2[[Employee ID]:[Full Name]],4,FALSE)</f>
        <v>Laras Nuraini</v>
      </c>
      <c r="J377" s="10" t="str">
        <f>INDEX(Employee!$D$4:$D$47,MATCH($H$4:$H$1003,Employee!$A$4:$A$47,0))</f>
        <v>Laras Nuraini</v>
      </c>
      <c r="K377" s="10" t="s">
        <v>107</v>
      </c>
      <c r="L377" s="10" t="s">
        <v>341</v>
      </c>
      <c r="M377" s="10" t="s">
        <v>59</v>
      </c>
      <c r="N377" s="10" t="s">
        <v>67</v>
      </c>
      <c r="O377" s="10" t="s">
        <v>76</v>
      </c>
      <c r="P377" s="10">
        <v>43079</v>
      </c>
      <c r="Q377" s="15">
        <v>24000</v>
      </c>
      <c r="R377" s="15">
        <v>39300</v>
      </c>
      <c r="S377" s="15">
        <f>Table1[[#This Row],[Retail Price]]-Table1[[#This Row],[Cost Price]]</f>
        <v>15300</v>
      </c>
      <c r="T377" s="10">
        <v>45</v>
      </c>
      <c r="U377" s="15">
        <f>Table1[[#This Row],[Profit Margin]]*Table1[[#This Row],[Order Quantity]]</f>
        <v>688500</v>
      </c>
      <c r="V377" s="11">
        <v>0.01</v>
      </c>
      <c r="W377" s="15">
        <f t="shared" si="5"/>
        <v>6885</v>
      </c>
      <c r="X377" s="15">
        <f>Table1[[#This Row],[Sub Total]]-Table1[[#This Row],[Discount Rp]]</f>
        <v>681615</v>
      </c>
      <c r="Y377" s="15">
        <f ca="1">OFFSET(Helper!$C$3,MATCH(Data!$N$4:$N$1003,Helper!$C$4:$C$9,0),MATCH(Data!$O$4:$O$1003,Helper!$D$3:$F$3,0))</f>
        <v>10000</v>
      </c>
      <c r="Z377" s="16">
        <f ca="1">Table1[[#This Row],[Order Total]]+Table1[[#This Row],[Shipping Cost]]</f>
        <v>691615</v>
      </c>
    </row>
    <row r="378" spans="1:26" ht="15.75" customHeight="1" x14ac:dyDescent="0.3">
      <c r="A378" s="9" t="s">
        <v>1010</v>
      </c>
      <c r="B378" s="18">
        <v>43079</v>
      </c>
      <c r="C378" s="10">
        <f>YEAR(Table1[[#This Row],[Order Date]])</f>
        <v>2017</v>
      </c>
      <c r="D378" s="10" t="s">
        <v>1011</v>
      </c>
      <c r="E378" s="10" t="s">
        <v>449</v>
      </c>
      <c r="F378" s="10" t="s">
        <v>54</v>
      </c>
      <c r="G378" s="10" t="s">
        <v>72</v>
      </c>
      <c r="H378" s="10" t="s">
        <v>56</v>
      </c>
      <c r="I378" s="10" t="str">
        <f>VLOOKUP(Table1[[#This Row],[Account Manager ID]],Table2[[Employee ID]:[Full Name]],4,FALSE)</f>
        <v>Gaduh Pratama</v>
      </c>
      <c r="J378" s="10" t="str">
        <f>INDEX(Employee!$D$4:$D$47,MATCH($H$4:$H$1003,Employee!$A$4:$A$47,0))</f>
        <v>Gaduh Pratama</v>
      </c>
      <c r="K378" s="10" t="s">
        <v>57</v>
      </c>
      <c r="L378" s="10" t="s">
        <v>406</v>
      </c>
      <c r="M378" s="10" t="s">
        <v>81</v>
      </c>
      <c r="N378" s="10" t="s">
        <v>82</v>
      </c>
      <c r="O378" s="10" t="s">
        <v>83</v>
      </c>
      <c r="P378" s="10">
        <v>43079</v>
      </c>
      <c r="Q378" s="15">
        <v>4184850</v>
      </c>
      <c r="R378" s="15">
        <v>6749850</v>
      </c>
      <c r="S378" s="15">
        <f>Table1[[#This Row],[Retail Price]]-Table1[[#This Row],[Cost Price]]</f>
        <v>2565000</v>
      </c>
      <c r="T378" s="10">
        <v>15</v>
      </c>
      <c r="U378" s="15">
        <f>Table1[[#This Row],[Profit Margin]]*Table1[[#This Row],[Order Quantity]]</f>
        <v>38475000</v>
      </c>
      <c r="V378" s="11">
        <v>0.04</v>
      </c>
      <c r="W378" s="15">
        <f t="shared" si="5"/>
        <v>1539000</v>
      </c>
      <c r="X378" s="15">
        <f>Table1[[#This Row],[Sub Total]]-Table1[[#This Row],[Discount Rp]]</f>
        <v>36936000</v>
      </c>
      <c r="Y378" s="15">
        <f ca="1">OFFSET(Helper!$C$3,MATCH(Data!$N$4:$N$1003,Helper!$C$4:$C$9,0),MATCH(Data!$O$4:$O$1003,Helper!$D$3:$F$3,0))</f>
        <v>500000</v>
      </c>
      <c r="Z378" s="16">
        <f ca="1">Table1[[#This Row],[Order Total]]+Table1[[#This Row],[Shipping Cost]]</f>
        <v>37436000</v>
      </c>
    </row>
    <row r="379" spans="1:26" ht="15.75" customHeight="1" x14ac:dyDescent="0.3">
      <c r="A379" s="9" t="s">
        <v>1012</v>
      </c>
      <c r="B379" s="18">
        <v>43079</v>
      </c>
      <c r="C379" s="10">
        <f>YEAR(Table1[[#This Row],[Order Date]])</f>
        <v>2017</v>
      </c>
      <c r="D379" s="10" t="s">
        <v>1011</v>
      </c>
      <c r="E379" s="10" t="s">
        <v>449</v>
      </c>
      <c r="F379" s="10" t="s">
        <v>54</v>
      </c>
      <c r="G379" s="10" t="s">
        <v>72</v>
      </c>
      <c r="H379" s="10" t="s">
        <v>56</v>
      </c>
      <c r="I379" s="10" t="str">
        <f>VLOOKUP(Table1[[#This Row],[Account Manager ID]],Table2[[Employee ID]:[Full Name]],4,FALSE)</f>
        <v>Gaduh Pratama</v>
      </c>
      <c r="J379" s="10" t="str">
        <f>INDEX(Employee!$D$4:$D$47,MATCH($H$4:$H$1003,Employee!$A$4:$A$47,0))</f>
        <v>Gaduh Pratama</v>
      </c>
      <c r="K379" s="10" t="s">
        <v>57</v>
      </c>
      <c r="L379" s="10" t="s">
        <v>173</v>
      </c>
      <c r="M379" s="10" t="s">
        <v>59</v>
      </c>
      <c r="N379" s="10" t="s">
        <v>67</v>
      </c>
      <c r="O379" s="10" t="s">
        <v>61</v>
      </c>
      <c r="P379" s="10">
        <v>43080</v>
      </c>
      <c r="Q379" s="15">
        <v>37800</v>
      </c>
      <c r="R379" s="15">
        <v>60000</v>
      </c>
      <c r="S379" s="15">
        <f>Table1[[#This Row],[Retail Price]]-Table1[[#This Row],[Cost Price]]</f>
        <v>22200</v>
      </c>
      <c r="T379" s="10">
        <v>14</v>
      </c>
      <c r="U379" s="15">
        <f>Table1[[#This Row],[Profit Margin]]*Table1[[#This Row],[Order Quantity]]</f>
        <v>310800</v>
      </c>
      <c r="V379" s="11">
        <v>0.06</v>
      </c>
      <c r="W379" s="15">
        <f t="shared" si="5"/>
        <v>18648</v>
      </c>
      <c r="X379" s="15">
        <f>Table1[[#This Row],[Sub Total]]-Table1[[#This Row],[Discount Rp]]</f>
        <v>292152</v>
      </c>
      <c r="Y379" s="15">
        <f ca="1">OFFSET(Helper!$C$3,MATCH(Data!$N$4:$N$1003,Helper!$C$4:$C$9,0),MATCH(Data!$O$4:$O$1003,Helper!$D$3:$F$3,0))</f>
        <v>5000</v>
      </c>
      <c r="Z379" s="16">
        <f ca="1">Table1[[#This Row],[Order Total]]+Table1[[#This Row],[Shipping Cost]]</f>
        <v>297152</v>
      </c>
    </row>
    <row r="380" spans="1:26" ht="15.75" customHeight="1" x14ac:dyDescent="0.3">
      <c r="A380" s="9" t="s">
        <v>1013</v>
      </c>
      <c r="B380" s="18">
        <v>43079</v>
      </c>
      <c r="C380" s="10">
        <f>YEAR(Table1[[#This Row],[Order Date]])</f>
        <v>2017</v>
      </c>
      <c r="D380" s="10" t="s">
        <v>325</v>
      </c>
      <c r="E380" s="10" t="s">
        <v>323</v>
      </c>
      <c r="F380" s="10" t="s">
        <v>71</v>
      </c>
      <c r="G380" s="10" t="s">
        <v>87</v>
      </c>
      <c r="H380" s="10" t="s">
        <v>194</v>
      </c>
      <c r="I380" s="10" t="str">
        <f>VLOOKUP(Table1[[#This Row],[Account Manager ID]],Table2[[Employee ID]:[Full Name]],4,FALSE)</f>
        <v>Nabila Prakasa</v>
      </c>
      <c r="J380" s="10" t="str">
        <f>INDEX(Employee!$D$4:$D$47,MATCH($H$4:$H$1003,Employee!$A$4:$A$47,0))</f>
        <v>Nabila Prakasa</v>
      </c>
      <c r="K380" s="10" t="s">
        <v>92</v>
      </c>
      <c r="L380" s="10" t="s">
        <v>410</v>
      </c>
      <c r="M380" s="10" t="s">
        <v>81</v>
      </c>
      <c r="N380" s="10" t="s">
        <v>60</v>
      </c>
      <c r="O380" s="10" t="s">
        <v>61</v>
      </c>
      <c r="P380" s="10">
        <v>43083</v>
      </c>
      <c r="Q380" s="15">
        <v>97650</v>
      </c>
      <c r="R380" s="15">
        <v>464700</v>
      </c>
      <c r="S380" s="15">
        <f>Table1[[#This Row],[Retail Price]]-Table1[[#This Row],[Cost Price]]</f>
        <v>367050</v>
      </c>
      <c r="T380" s="10">
        <v>37</v>
      </c>
      <c r="U380" s="15">
        <f>Table1[[#This Row],[Profit Margin]]*Table1[[#This Row],[Order Quantity]]</f>
        <v>13580850</v>
      </c>
      <c r="V380" s="11">
        <v>0.03</v>
      </c>
      <c r="W380" s="15">
        <f t="shared" si="5"/>
        <v>407425.5</v>
      </c>
      <c r="X380" s="15">
        <f>Table1[[#This Row],[Sub Total]]-Table1[[#This Row],[Discount Rp]]</f>
        <v>13173424.5</v>
      </c>
      <c r="Y380" s="15">
        <f ca="1">OFFSET(Helper!$C$3,MATCH(Data!$N$4:$N$1003,Helper!$C$4:$C$9,0),MATCH(Data!$O$4:$O$1003,Helper!$D$3:$F$3,0))</f>
        <v>15000</v>
      </c>
      <c r="Z380" s="16">
        <f ca="1">Table1[[#This Row],[Order Total]]+Table1[[#This Row],[Shipping Cost]]</f>
        <v>13188424.5</v>
      </c>
    </row>
    <row r="381" spans="1:26" ht="15.75" customHeight="1" x14ac:dyDescent="0.3">
      <c r="A381" s="9" t="s">
        <v>1014</v>
      </c>
      <c r="B381" s="18">
        <v>43084</v>
      </c>
      <c r="C381" s="10">
        <f>YEAR(Table1[[#This Row],[Order Date]])</f>
        <v>2017</v>
      </c>
      <c r="D381" s="10" t="s">
        <v>858</v>
      </c>
      <c r="E381" s="10" t="s">
        <v>245</v>
      </c>
      <c r="F381" s="10" t="s">
        <v>71</v>
      </c>
      <c r="G381" s="10" t="s">
        <v>55</v>
      </c>
      <c r="H381" s="10" t="s">
        <v>146</v>
      </c>
      <c r="I381" s="10" t="str">
        <f>VLOOKUP(Table1[[#This Row],[Account Manager ID]],Table2[[Employee ID]:[Full Name]],4,FALSE)</f>
        <v>Kenari Rajasa</v>
      </c>
      <c r="J381" s="10" t="str">
        <f>INDEX(Employee!$D$4:$D$47,MATCH($H$4:$H$1003,Employee!$A$4:$A$47,0))</f>
        <v>Kenari Rajasa</v>
      </c>
      <c r="K381" s="10" t="s">
        <v>92</v>
      </c>
      <c r="L381" s="10" t="s">
        <v>197</v>
      </c>
      <c r="M381" s="10" t="s">
        <v>81</v>
      </c>
      <c r="N381" s="10" t="s">
        <v>60</v>
      </c>
      <c r="O381" s="10" t="s">
        <v>61</v>
      </c>
      <c r="P381" s="10">
        <v>43086</v>
      </c>
      <c r="Q381" s="15">
        <v>151050</v>
      </c>
      <c r="R381" s="15">
        <v>239700</v>
      </c>
      <c r="S381" s="15">
        <f>Table1[[#This Row],[Retail Price]]-Table1[[#This Row],[Cost Price]]</f>
        <v>88650</v>
      </c>
      <c r="T381" s="10">
        <v>29</v>
      </c>
      <c r="U381" s="15">
        <f>Table1[[#This Row],[Profit Margin]]*Table1[[#This Row],[Order Quantity]]</f>
        <v>2570850</v>
      </c>
      <c r="V381" s="11">
        <v>0.04</v>
      </c>
      <c r="W381" s="15">
        <f t="shared" si="5"/>
        <v>102834</v>
      </c>
      <c r="X381" s="15">
        <f>Table1[[#This Row],[Sub Total]]-Table1[[#This Row],[Discount Rp]]</f>
        <v>2468016</v>
      </c>
      <c r="Y381" s="15">
        <f ca="1">OFFSET(Helper!$C$3,MATCH(Data!$N$4:$N$1003,Helper!$C$4:$C$9,0),MATCH(Data!$O$4:$O$1003,Helper!$D$3:$F$3,0))</f>
        <v>15000</v>
      </c>
      <c r="Z381" s="16">
        <f ca="1">Table1[[#This Row],[Order Total]]+Table1[[#This Row],[Shipping Cost]]</f>
        <v>2483016</v>
      </c>
    </row>
    <row r="382" spans="1:26" ht="15.75" customHeight="1" x14ac:dyDescent="0.3">
      <c r="A382" s="9" t="s">
        <v>1015</v>
      </c>
      <c r="B382" s="18">
        <v>43085</v>
      </c>
      <c r="C382" s="10">
        <f>YEAR(Table1[[#This Row],[Order Date]])</f>
        <v>2017</v>
      </c>
      <c r="D382" s="10" t="s">
        <v>1016</v>
      </c>
      <c r="E382" s="10" t="s">
        <v>154</v>
      </c>
      <c r="F382" s="10" t="s">
        <v>71</v>
      </c>
      <c r="G382" s="10" t="s">
        <v>106</v>
      </c>
      <c r="H382" s="10" t="s">
        <v>155</v>
      </c>
      <c r="I382" s="10" t="str">
        <f>VLOOKUP(Table1[[#This Row],[Account Manager ID]],Table2[[Employee ID]:[Full Name]],4,FALSE)</f>
        <v>Puti Nadine Prakasa</v>
      </c>
      <c r="J382" s="10" t="str">
        <f>INDEX(Employee!$D$4:$D$47,MATCH($H$4:$H$1003,Employee!$A$4:$A$47,0))</f>
        <v>Puti Nadine Prakasa</v>
      </c>
      <c r="K382" s="10" t="s">
        <v>117</v>
      </c>
      <c r="L382" s="10" t="s">
        <v>674</v>
      </c>
      <c r="M382" s="10" t="s">
        <v>59</v>
      </c>
      <c r="N382" s="10" t="s">
        <v>67</v>
      </c>
      <c r="O382" s="10" t="s">
        <v>61</v>
      </c>
      <c r="P382" s="10">
        <v>43087</v>
      </c>
      <c r="Q382" s="15">
        <v>28800</v>
      </c>
      <c r="R382" s="15">
        <v>48900</v>
      </c>
      <c r="S382" s="15">
        <f>Table1[[#This Row],[Retail Price]]-Table1[[#This Row],[Cost Price]]</f>
        <v>20100</v>
      </c>
      <c r="T382" s="10">
        <v>31</v>
      </c>
      <c r="U382" s="15">
        <f>Table1[[#This Row],[Profit Margin]]*Table1[[#This Row],[Order Quantity]]</f>
        <v>623100</v>
      </c>
      <c r="V382" s="11">
        <v>0</v>
      </c>
      <c r="W382" s="15">
        <f t="shared" si="5"/>
        <v>0</v>
      </c>
      <c r="X382" s="15">
        <f>Table1[[#This Row],[Sub Total]]-Table1[[#This Row],[Discount Rp]]</f>
        <v>623100</v>
      </c>
      <c r="Y382" s="15">
        <f ca="1">OFFSET(Helper!$C$3,MATCH(Data!$N$4:$N$1003,Helper!$C$4:$C$9,0),MATCH(Data!$O$4:$O$1003,Helper!$D$3:$F$3,0))</f>
        <v>5000</v>
      </c>
      <c r="Z382" s="16">
        <f ca="1">Table1[[#This Row],[Order Total]]+Table1[[#This Row],[Shipping Cost]]</f>
        <v>628100</v>
      </c>
    </row>
    <row r="383" spans="1:26" ht="15.75" customHeight="1" x14ac:dyDescent="0.3">
      <c r="A383" s="9" t="s">
        <v>1017</v>
      </c>
      <c r="B383" s="18">
        <v>43085</v>
      </c>
      <c r="C383" s="10">
        <f>YEAR(Table1[[#This Row],[Order Date]])</f>
        <v>2017</v>
      </c>
      <c r="D383" s="10" t="s">
        <v>1018</v>
      </c>
      <c r="E383" s="10" t="s">
        <v>1019</v>
      </c>
      <c r="F383" s="10" t="s">
        <v>261</v>
      </c>
      <c r="G383" s="10" t="s">
        <v>72</v>
      </c>
      <c r="H383" s="10" t="s">
        <v>112</v>
      </c>
      <c r="I383" s="10" t="str">
        <f>VLOOKUP(Table1[[#This Row],[Account Manager ID]],Table2[[Employee ID]:[Full Name]],4,FALSE)</f>
        <v>Paiman Firgantoro</v>
      </c>
      <c r="J383" s="10" t="str">
        <f>INDEX(Employee!$D$4:$D$47,MATCH($H$4:$H$1003,Employee!$A$4:$A$47,0))</f>
        <v>Paiman Firgantoro</v>
      </c>
      <c r="K383" s="10" t="s">
        <v>92</v>
      </c>
      <c r="L383" s="10" t="s">
        <v>412</v>
      </c>
      <c r="M383" s="10" t="s">
        <v>59</v>
      </c>
      <c r="N383" s="10" t="s">
        <v>67</v>
      </c>
      <c r="O383" s="10" t="s">
        <v>61</v>
      </c>
      <c r="P383" s="10">
        <v>43092</v>
      </c>
      <c r="Q383" s="15">
        <v>44700</v>
      </c>
      <c r="R383" s="15">
        <v>87600</v>
      </c>
      <c r="S383" s="15">
        <f>Table1[[#This Row],[Retail Price]]-Table1[[#This Row],[Cost Price]]</f>
        <v>42900</v>
      </c>
      <c r="T383" s="10">
        <v>22</v>
      </c>
      <c r="U383" s="15">
        <f>Table1[[#This Row],[Profit Margin]]*Table1[[#This Row],[Order Quantity]]</f>
        <v>943800</v>
      </c>
      <c r="V383" s="11">
        <v>0.1</v>
      </c>
      <c r="W383" s="15">
        <f t="shared" si="5"/>
        <v>94380</v>
      </c>
      <c r="X383" s="15">
        <f>Table1[[#This Row],[Sub Total]]-Table1[[#This Row],[Discount Rp]]</f>
        <v>849420</v>
      </c>
      <c r="Y383" s="15">
        <f ca="1">OFFSET(Helper!$C$3,MATCH(Data!$N$4:$N$1003,Helper!$C$4:$C$9,0),MATCH(Data!$O$4:$O$1003,Helper!$D$3:$F$3,0))</f>
        <v>5000</v>
      </c>
      <c r="Z383" s="16">
        <f ca="1">Table1[[#This Row],[Order Total]]+Table1[[#This Row],[Shipping Cost]]</f>
        <v>854420</v>
      </c>
    </row>
    <row r="384" spans="1:26" ht="15.75" customHeight="1" x14ac:dyDescent="0.3">
      <c r="A384" s="9" t="s">
        <v>1020</v>
      </c>
      <c r="B384" s="18">
        <v>43086</v>
      </c>
      <c r="C384" s="10">
        <f>YEAR(Table1[[#This Row],[Order Date]])</f>
        <v>2017</v>
      </c>
      <c r="D384" s="10" t="s">
        <v>461</v>
      </c>
      <c r="E384" s="10" t="s">
        <v>462</v>
      </c>
      <c r="F384" s="10" t="s">
        <v>71</v>
      </c>
      <c r="G384" s="10" t="s">
        <v>72</v>
      </c>
      <c r="H384" s="10" t="s">
        <v>112</v>
      </c>
      <c r="I384" s="10" t="str">
        <f>VLOOKUP(Table1[[#This Row],[Account Manager ID]],Table2[[Employee ID]:[Full Name]],4,FALSE)</f>
        <v>Paiman Firgantoro</v>
      </c>
      <c r="J384" s="10" t="str">
        <f>INDEX(Employee!$D$4:$D$47,MATCH($H$4:$H$1003,Employee!$A$4:$A$47,0))</f>
        <v>Paiman Firgantoro</v>
      </c>
      <c r="K384" s="10" t="s">
        <v>107</v>
      </c>
      <c r="L384" s="10" t="s">
        <v>530</v>
      </c>
      <c r="M384" s="10" t="s">
        <v>59</v>
      </c>
      <c r="N384" s="10" t="s">
        <v>136</v>
      </c>
      <c r="O384" s="10" t="s">
        <v>61</v>
      </c>
      <c r="P384" s="10">
        <v>43087</v>
      </c>
      <c r="Q384" s="15">
        <v>37500</v>
      </c>
      <c r="R384" s="15">
        <v>85200</v>
      </c>
      <c r="S384" s="15">
        <f>Table1[[#This Row],[Retail Price]]-Table1[[#This Row],[Cost Price]]</f>
        <v>47700</v>
      </c>
      <c r="T384" s="10">
        <v>23</v>
      </c>
      <c r="U384" s="15">
        <f>Table1[[#This Row],[Profit Margin]]*Table1[[#This Row],[Order Quantity]]</f>
        <v>1097100</v>
      </c>
      <c r="V384" s="11">
        <v>0.01</v>
      </c>
      <c r="W384" s="15">
        <f t="shared" si="5"/>
        <v>10971</v>
      </c>
      <c r="X384" s="15">
        <f>Table1[[#This Row],[Sub Total]]-Table1[[#This Row],[Discount Rp]]</f>
        <v>1086129</v>
      </c>
      <c r="Y384" s="15">
        <f ca="1">OFFSET(Helper!$C$3,MATCH(Data!$N$4:$N$1003,Helper!$C$4:$C$9,0),MATCH(Data!$O$4:$O$1003,Helper!$D$3:$F$3,0))</f>
        <v>10000</v>
      </c>
      <c r="Z384" s="16">
        <f ca="1">Table1[[#This Row],[Order Total]]+Table1[[#This Row],[Shipping Cost]]</f>
        <v>1096129</v>
      </c>
    </row>
    <row r="385" spans="1:26" ht="15.75" customHeight="1" x14ac:dyDescent="0.3">
      <c r="A385" s="9" t="s">
        <v>1021</v>
      </c>
      <c r="B385" s="18">
        <v>43089</v>
      </c>
      <c r="C385" s="10">
        <f>YEAR(Table1[[#This Row],[Order Date]])</f>
        <v>2017</v>
      </c>
      <c r="D385" s="10" t="s">
        <v>282</v>
      </c>
      <c r="E385" s="10" t="s">
        <v>283</v>
      </c>
      <c r="F385" s="10" t="s">
        <v>261</v>
      </c>
      <c r="G385" s="10" t="s">
        <v>55</v>
      </c>
      <c r="H385" s="10" t="s">
        <v>194</v>
      </c>
      <c r="I385" s="10" t="str">
        <f>VLOOKUP(Table1[[#This Row],[Account Manager ID]],Table2[[Employee ID]:[Full Name]],4,FALSE)</f>
        <v>Nabila Prakasa</v>
      </c>
      <c r="J385" s="10" t="str">
        <f>INDEX(Employee!$D$4:$D$47,MATCH($H$4:$H$1003,Employee!$A$4:$A$47,0))</f>
        <v>Nabila Prakasa</v>
      </c>
      <c r="K385" s="10" t="s">
        <v>107</v>
      </c>
      <c r="L385" s="10" t="s">
        <v>265</v>
      </c>
      <c r="M385" s="10" t="s">
        <v>59</v>
      </c>
      <c r="N385" s="10" t="s">
        <v>60</v>
      </c>
      <c r="O385" s="10" t="s">
        <v>61</v>
      </c>
      <c r="P385" s="10">
        <v>43089</v>
      </c>
      <c r="Q385" s="15">
        <v>17700</v>
      </c>
      <c r="R385" s="15">
        <v>28200</v>
      </c>
      <c r="S385" s="15">
        <f>Table1[[#This Row],[Retail Price]]-Table1[[#This Row],[Cost Price]]</f>
        <v>10500</v>
      </c>
      <c r="T385" s="10">
        <v>47</v>
      </c>
      <c r="U385" s="15">
        <f>Table1[[#This Row],[Profit Margin]]*Table1[[#This Row],[Order Quantity]]</f>
        <v>493500</v>
      </c>
      <c r="V385" s="11">
        <v>0.06</v>
      </c>
      <c r="W385" s="15">
        <f t="shared" si="5"/>
        <v>29610</v>
      </c>
      <c r="X385" s="15">
        <f>Table1[[#This Row],[Sub Total]]-Table1[[#This Row],[Discount Rp]]</f>
        <v>463890</v>
      </c>
      <c r="Y385" s="15">
        <f ca="1">OFFSET(Helper!$C$3,MATCH(Data!$N$4:$N$1003,Helper!$C$4:$C$9,0),MATCH(Data!$O$4:$O$1003,Helper!$D$3:$F$3,0))</f>
        <v>15000</v>
      </c>
      <c r="Z385" s="16">
        <f ca="1">Table1[[#This Row],[Order Total]]+Table1[[#This Row],[Shipping Cost]]</f>
        <v>478890</v>
      </c>
    </row>
    <row r="386" spans="1:26" ht="15.75" customHeight="1" x14ac:dyDescent="0.3">
      <c r="A386" s="9" t="s">
        <v>1022</v>
      </c>
      <c r="B386" s="18">
        <v>43089</v>
      </c>
      <c r="C386" s="10">
        <f>YEAR(Table1[[#This Row],[Order Date]])</f>
        <v>2017</v>
      </c>
      <c r="D386" s="10" t="s">
        <v>282</v>
      </c>
      <c r="E386" s="10" t="s">
        <v>283</v>
      </c>
      <c r="F386" s="10" t="s">
        <v>261</v>
      </c>
      <c r="G386" s="10" t="s">
        <v>55</v>
      </c>
      <c r="H386" s="10" t="s">
        <v>194</v>
      </c>
      <c r="I386" s="10" t="str">
        <f>VLOOKUP(Table1[[#This Row],[Account Manager ID]],Table2[[Employee ID]:[Full Name]],4,FALSE)</f>
        <v>Nabila Prakasa</v>
      </c>
      <c r="J386" s="10" t="str">
        <f>INDEX(Employee!$D$4:$D$47,MATCH($H$4:$H$1003,Employee!$A$4:$A$47,0))</f>
        <v>Nabila Prakasa</v>
      </c>
      <c r="K386" s="10" t="s">
        <v>107</v>
      </c>
      <c r="L386" s="10" t="s">
        <v>390</v>
      </c>
      <c r="M386" s="10" t="s">
        <v>59</v>
      </c>
      <c r="N386" s="10" t="s">
        <v>67</v>
      </c>
      <c r="O386" s="10" t="s">
        <v>61</v>
      </c>
      <c r="P386" s="10">
        <v>43091</v>
      </c>
      <c r="Q386" s="15">
        <v>19650</v>
      </c>
      <c r="R386" s="15">
        <v>42600</v>
      </c>
      <c r="S386" s="15">
        <f>Table1[[#This Row],[Retail Price]]-Table1[[#This Row],[Cost Price]]</f>
        <v>22950</v>
      </c>
      <c r="T386" s="10">
        <v>39</v>
      </c>
      <c r="U386" s="15">
        <f>Table1[[#This Row],[Profit Margin]]*Table1[[#This Row],[Order Quantity]]</f>
        <v>895050</v>
      </c>
      <c r="V386" s="11">
        <v>0.08</v>
      </c>
      <c r="W386" s="15">
        <f t="shared" si="5"/>
        <v>71604</v>
      </c>
      <c r="X386" s="15">
        <f>Table1[[#This Row],[Sub Total]]-Table1[[#This Row],[Discount Rp]]</f>
        <v>823446</v>
      </c>
      <c r="Y386" s="15">
        <f ca="1">OFFSET(Helper!$C$3,MATCH(Data!$N$4:$N$1003,Helper!$C$4:$C$9,0),MATCH(Data!$O$4:$O$1003,Helper!$D$3:$F$3,0))</f>
        <v>5000</v>
      </c>
      <c r="Z386" s="16">
        <f ca="1">Table1[[#This Row],[Order Total]]+Table1[[#This Row],[Shipping Cost]]</f>
        <v>828446</v>
      </c>
    </row>
    <row r="387" spans="1:26" ht="15.75" customHeight="1" x14ac:dyDescent="0.3">
      <c r="A387" s="9" t="s">
        <v>1023</v>
      </c>
      <c r="B387" s="18">
        <v>43092</v>
      </c>
      <c r="C387" s="10">
        <f>YEAR(Table1[[#This Row],[Order Date]])</f>
        <v>2017</v>
      </c>
      <c r="D387" s="10" t="s">
        <v>609</v>
      </c>
      <c r="E387" s="10" t="s">
        <v>610</v>
      </c>
      <c r="F387" s="10" t="s">
        <v>261</v>
      </c>
      <c r="G387" s="10" t="s">
        <v>72</v>
      </c>
      <c r="H387" s="10" t="s">
        <v>112</v>
      </c>
      <c r="I387" s="10" t="str">
        <f>VLOOKUP(Table1[[#This Row],[Account Manager ID]],Table2[[Employee ID]:[Full Name]],4,FALSE)</f>
        <v>Paiman Firgantoro</v>
      </c>
      <c r="J387" s="10" t="str">
        <f>INDEX(Employee!$D$4:$D$47,MATCH($H$4:$H$1003,Employee!$A$4:$A$47,0))</f>
        <v>Paiman Firgantoro</v>
      </c>
      <c r="K387" s="10" t="s">
        <v>107</v>
      </c>
      <c r="L387" s="10" t="s">
        <v>648</v>
      </c>
      <c r="M387" s="10" t="s">
        <v>253</v>
      </c>
      <c r="N387" s="10" t="s">
        <v>136</v>
      </c>
      <c r="O387" s="10" t="s">
        <v>61</v>
      </c>
      <c r="P387" s="10">
        <v>43094</v>
      </c>
      <c r="Q387" s="15">
        <v>170700</v>
      </c>
      <c r="R387" s="15">
        <v>279750</v>
      </c>
      <c r="S387" s="15">
        <f>Table1[[#This Row],[Retail Price]]-Table1[[#This Row],[Cost Price]]</f>
        <v>109050</v>
      </c>
      <c r="T387" s="10">
        <v>7</v>
      </c>
      <c r="U387" s="15">
        <f>Table1[[#This Row],[Profit Margin]]*Table1[[#This Row],[Order Quantity]]</f>
        <v>763350</v>
      </c>
      <c r="V387" s="11">
        <v>0.01</v>
      </c>
      <c r="W387" s="15">
        <f t="shared" si="5"/>
        <v>7633.5</v>
      </c>
      <c r="X387" s="15">
        <f>Table1[[#This Row],[Sub Total]]-Table1[[#This Row],[Discount Rp]]</f>
        <v>755716.5</v>
      </c>
      <c r="Y387" s="15">
        <f ca="1">OFFSET(Helper!$C$3,MATCH(Data!$N$4:$N$1003,Helper!$C$4:$C$9,0),MATCH(Data!$O$4:$O$1003,Helper!$D$3:$F$3,0))</f>
        <v>10000</v>
      </c>
      <c r="Z387" s="16">
        <f ca="1">Table1[[#This Row],[Order Total]]+Table1[[#This Row],[Shipping Cost]]</f>
        <v>765716.5</v>
      </c>
    </row>
    <row r="388" spans="1:26" ht="15.75" customHeight="1" x14ac:dyDescent="0.3">
      <c r="A388" s="9" t="s">
        <v>1024</v>
      </c>
      <c r="B388" s="18">
        <v>43093</v>
      </c>
      <c r="C388" s="10">
        <f>YEAR(Table1[[#This Row],[Order Date]])</f>
        <v>2017</v>
      </c>
      <c r="D388" s="10" t="s">
        <v>971</v>
      </c>
      <c r="E388" s="10" t="s">
        <v>189</v>
      </c>
      <c r="F388" s="10" t="s">
        <v>54</v>
      </c>
      <c r="G388" s="10" t="s">
        <v>55</v>
      </c>
      <c r="H388" s="10" t="s">
        <v>56</v>
      </c>
      <c r="I388" s="10" t="str">
        <f>VLOOKUP(Table1[[#This Row],[Account Manager ID]],Table2[[Employee ID]:[Full Name]],4,FALSE)</f>
        <v>Gaduh Pratama</v>
      </c>
      <c r="J388" s="10" t="str">
        <f>INDEX(Employee!$D$4:$D$47,MATCH($H$4:$H$1003,Employee!$A$4:$A$47,0))</f>
        <v>Gaduh Pratama</v>
      </c>
      <c r="K388" s="10" t="s">
        <v>74</v>
      </c>
      <c r="L388" s="10" t="s">
        <v>468</v>
      </c>
      <c r="M388" s="10" t="s">
        <v>59</v>
      </c>
      <c r="N388" s="10" t="s">
        <v>67</v>
      </c>
      <c r="O388" s="10" t="s">
        <v>61</v>
      </c>
      <c r="P388" s="10">
        <v>43095</v>
      </c>
      <c r="Q388" s="15">
        <v>13950</v>
      </c>
      <c r="R388" s="15">
        <v>22200</v>
      </c>
      <c r="S388" s="15">
        <f>Table1[[#This Row],[Retail Price]]-Table1[[#This Row],[Cost Price]]</f>
        <v>8250</v>
      </c>
      <c r="T388" s="10">
        <v>15</v>
      </c>
      <c r="U388" s="15">
        <f>Table1[[#This Row],[Profit Margin]]*Table1[[#This Row],[Order Quantity]]</f>
        <v>123750</v>
      </c>
      <c r="V388" s="11">
        <v>0.03</v>
      </c>
      <c r="W388" s="15">
        <f t="shared" ref="W388:W451" si="6">V388*U388</f>
        <v>3712.5</v>
      </c>
      <c r="X388" s="15">
        <f>Table1[[#This Row],[Sub Total]]-Table1[[#This Row],[Discount Rp]]</f>
        <v>120037.5</v>
      </c>
      <c r="Y388" s="15">
        <f ca="1">OFFSET(Helper!$C$3,MATCH(Data!$N$4:$N$1003,Helper!$C$4:$C$9,0),MATCH(Data!$O$4:$O$1003,Helper!$D$3:$F$3,0))</f>
        <v>5000</v>
      </c>
      <c r="Z388" s="16">
        <f ca="1">Table1[[#This Row],[Order Total]]+Table1[[#This Row],[Shipping Cost]]</f>
        <v>125037.5</v>
      </c>
    </row>
    <row r="389" spans="1:26" ht="15.75" customHeight="1" x14ac:dyDescent="0.3">
      <c r="A389" s="9" t="s">
        <v>1025</v>
      </c>
      <c r="B389" s="18">
        <v>43094</v>
      </c>
      <c r="C389" s="10">
        <f>YEAR(Table1[[#This Row],[Order Date]])</f>
        <v>2017</v>
      </c>
      <c r="D389" s="10" t="s">
        <v>1026</v>
      </c>
      <c r="E389" s="10" t="s">
        <v>740</v>
      </c>
      <c r="F389" s="10" t="s">
        <v>71</v>
      </c>
      <c r="G389" s="10" t="s">
        <v>72</v>
      </c>
      <c r="H389" s="10" t="s">
        <v>97</v>
      </c>
      <c r="I389" s="10" t="str">
        <f>VLOOKUP(Table1[[#This Row],[Account Manager ID]],Table2[[Employee ID]:[Full Name]],4,FALSE)</f>
        <v>Violet Mentari</v>
      </c>
      <c r="J389" s="10" t="str">
        <f>INDEX(Employee!$D$4:$D$47,MATCH($H$4:$H$1003,Employee!$A$4:$A$47,0))</f>
        <v>Violet Mentari</v>
      </c>
      <c r="K389" s="10" t="s">
        <v>74</v>
      </c>
      <c r="L389" s="10" t="s">
        <v>894</v>
      </c>
      <c r="M389" s="10" t="s">
        <v>59</v>
      </c>
      <c r="N389" s="10" t="s">
        <v>67</v>
      </c>
      <c r="O389" s="10" t="s">
        <v>61</v>
      </c>
      <c r="P389" s="10">
        <v>43095</v>
      </c>
      <c r="Q389" s="15">
        <v>16350.000000000002</v>
      </c>
      <c r="R389" s="15">
        <v>27300</v>
      </c>
      <c r="S389" s="15">
        <f>Table1[[#This Row],[Retail Price]]-Table1[[#This Row],[Cost Price]]</f>
        <v>10949.999999999998</v>
      </c>
      <c r="T389" s="10">
        <v>36</v>
      </c>
      <c r="U389" s="15">
        <f>Table1[[#This Row],[Profit Margin]]*Table1[[#This Row],[Order Quantity]]</f>
        <v>394199.99999999994</v>
      </c>
      <c r="V389" s="11">
        <v>0.09</v>
      </c>
      <c r="W389" s="15">
        <f t="shared" si="6"/>
        <v>35477.999999999993</v>
      </c>
      <c r="X389" s="15">
        <f>Table1[[#This Row],[Sub Total]]-Table1[[#This Row],[Discount Rp]]</f>
        <v>358721.99999999994</v>
      </c>
      <c r="Y389" s="15">
        <f ca="1">OFFSET(Helper!$C$3,MATCH(Data!$N$4:$N$1003,Helper!$C$4:$C$9,0),MATCH(Data!$O$4:$O$1003,Helper!$D$3:$F$3,0))</f>
        <v>5000</v>
      </c>
      <c r="Z389" s="16">
        <f ca="1">Table1[[#This Row],[Order Total]]+Table1[[#This Row],[Shipping Cost]]</f>
        <v>363721.99999999994</v>
      </c>
    </row>
    <row r="390" spans="1:26" ht="15.75" customHeight="1" x14ac:dyDescent="0.3">
      <c r="A390" s="9" t="s">
        <v>1027</v>
      </c>
      <c r="B390" s="18">
        <v>43094</v>
      </c>
      <c r="C390" s="10">
        <f>YEAR(Table1[[#This Row],[Order Date]])</f>
        <v>2017</v>
      </c>
      <c r="D390" s="10" t="s">
        <v>1028</v>
      </c>
      <c r="E390" s="10" t="s">
        <v>105</v>
      </c>
      <c r="F390" s="10" t="s">
        <v>71</v>
      </c>
      <c r="G390" s="10" t="s">
        <v>87</v>
      </c>
      <c r="H390" s="10" t="s">
        <v>73</v>
      </c>
      <c r="I390" s="10" t="str">
        <f>VLOOKUP(Table1[[#This Row],[Account Manager ID]],Table2[[Employee ID]:[Full Name]],4,FALSE)</f>
        <v>Cinthia Gunawan</v>
      </c>
      <c r="J390" s="10" t="str">
        <f>INDEX(Employee!$D$4:$D$47,MATCH($H$4:$H$1003,Employee!$A$4:$A$47,0))</f>
        <v>Cinthia Gunawan</v>
      </c>
      <c r="K390" s="10" t="s">
        <v>92</v>
      </c>
      <c r="L390" s="10" t="s">
        <v>546</v>
      </c>
      <c r="M390" s="10" t="s">
        <v>59</v>
      </c>
      <c r="N390" s="10" t="s">
        <v>60</v>
      </c>
      <c r="O390" s="10" t="s">
        <v>61</v>
      </c>
      <c r="P390" s="10">
        <v>43101</v>
      </c>
      <c r="Q390" s="15">
        <v>224250</v>
      </c>
      <c r="R390" s="15">
        <v>521399.99999999994</v>
      </c>
      <c r="S390" s="15">
        <f>Table1[[#This Row],[Retail Price]]-Table1[[#This Row],[Cost Price]]</f>
        <v>297149.99999999994</v>
      </c>
      <c r="T390" s="10">
        <v>34</v>
      </c>
      <c r="U390" s="15">
        <f>Table1[[#This Row],[Profit Margin]]*Table1[[#This Row],[Order Quantity]]</f>
        <v>10103099.999999998</v>
      </c>
      <c r="V390" s="11">
        <v>0.03</v>
      </c>
      <c r="W390" s="15">
        <f t="shared" si="6"/>
        <v>303092.99999999994</v>
      </c>
      <c r="X390" s="15">
        <f>Table1[[#This Row],[Sub Total]]-Table1[[#This Row],[Discount Rp]]</f>
        <v>9800006.9999999981</v>
      </c>
      <c r="Y390" s="15">
        <f ca="1">OFFSET(Helper!$C$3,MATCH(Data!$N$4:$N$1003,Helper!$C$4:$C$9,0),MATCH(Data!$O$4:$O$1003,Helper!$D$3:$F$3,0))</f>
        <v>15000</v>
      </c>
      <c r="Z390" s="16">
        <f ca="1">Table1[[#This Row],[Order Total]]+Table1[[#This Row],[Shipping Cost]]</f>
        <v>9815006.9999999981</v>
      </c>
    </row>
    <row r="391" spans="1:26" ht="15.75" customHeight="1" x14ac:dyDescent="0.3">
      <c r="A391" s="9" t="s">
        <v>1029</v>
      </c>
      <c r="B391" s="18">
        <v>43095</v>
      </c>
      <c r="C391" s="10">
        <f>YEAR(Table1[[#This Row],[Order Date]])</f>
        <v>2017</v>
      </c>
      <c r="D391" s="10" t="s">
        <v>144</v>
      </c>
      <c r="E391" s="10" t="s">
        <v>145</v>
      </c>
      <c r="F391" s="10" t="s">
        <v>71</v>
      </c>
      <c r="G391" s="10" t="s">
        <v>106</v>
      </c>
      <c r="H391" s="10" t="s">
        <v>146</v>
      </c>
      <c r="I391" s="10" t="str">
        <f>VLOOKUP(Table1[[#This Row],[Account Manager ID]],Table2[[Employee ID]:[Full Name]],4,FALSE)</f>
        <v>Kenari Rajasa</v>
      </c>
      <c r="J391" s="10" t="str">
        <f>INDEX(Employee!$D$4:$D$47,MATCH($H$4:$H$1003,Employee!$A$4:$A$47,0))</f>
        <v>Kenari Rajasa</v>
      </c>
      <c r="K391" s="10" t="s">
        <v>92</v>
      </c>
      <c r="L391" s="10" t="s">
        <v>588</v>
      </c>
      <c r="M391" s="10" t="s">
        <v>59</v>
      </c>
      <c r="N391" s="10" t="s">
        <v>60</v>
      </c>
      <c r="O391" s="10" t="s">
        <v>61</v>
      </c>
      <c r="P391" s="10">
        <v>43099</v>
      </c>
      <c r="Q391" s="15">
        <v>67950</v>
      </c>
      <c r="R391" s="15">
        <v>109500</v>
      </c>
      <c r="S391" s="15">
        <f>Table1[[#This Row],[Retail Price]]-Table1[[#This Row],[Cost Price]]</f>
        <v>41550</v>
      </c>
      <c r="T391" s="10">
        <v>26</v>
      </c>
      <c r="U391" s="15">
        <f>Table1[[#This Row],[Profit Margin]]*Table1[[#This Row],[Order Quantity]]</f>
        <v>1080300</v>
      </c>
      <c r="V391" s="11">
        <v>0.03</v>
      </c>
      <c r="W391" s="15">
        <f t="shared" si="6"/>
        <v>32409</v>
      </c>
      <c r="X391" s="15">
        <f>Table1[[#This Row],[Sub Total]]-Table1[[#This Row],[Discount Rp]]</f>
        <v>1047891</v>
      </c>
      <c r="Y391" s="15">
        <f ca="1">OFFSET(Helper!$C$3,MATCH(Data!$N$4:$N$1003,Helper!$C$4:$C$9,0),MATCH(Data!$O$4:$O$1003,Helper!$D$3:$F$3,0))</f>
        <v>15000</v>
      </c>
      <c r="Z391" s="16">
        <f ca="1">Table1[[#This Row],[Order Total]]+Table1[[#This Row],[Shipping Cost]]</f>
        <v>1062891</v>
      </c>
    </row>
    <row r="392" spans="1:26" ht="15.75" customHeight="1" x14ac:dyDescent="0.3">
      <c r="A392" s="9" t="s">
        <v>1030</v>
      </c>
      <c r="B392" s="18">
        <v>43099</v>
      </c>
      <c r="C392" s="10">
        <f>YEAR(Table1[[#This Row],[Order Date]])</f>
        <v>2017</v>
      </c>
      <c r="D392" s="10" t="s">
        <v>1031</v>
      </c>
      <c r="E392" s="10" t="s">
        <v>1032</v>
      </c>
      <c r="F392" s="10" t="s">
        <v>71</v>
      </c>
      <c r="G392" s="10" t="s">
        <v>72</v>
      </c>
      <c r="H392" s="10" t="s">
        <v>88</v>
      </c>
      <c r="I392" s="10" t="str">
        <f>VLOOKUP(Table1[[#This Row],[Account Manager ID]],Table2[[Employee ID]:[Full Name]],4,FALSE)</f>
        <v>Bagiya Sihombing</v>
      </c>
      <c r="J392" s="10" t="str">
        <f>INDEX(Employee!$D$4:$D$47,MATCH($H$4:$H$1003,Employee!$A$4:$A$47,0))</f>
        <v>Bagiya Sihombing</v>
      </c>
      <c r="K392" s="10" t="s">
        <v>74</v>
      </c>
      <c r="L392" s="10" t="s">
        <v>446</v>
      </c>
      <c r="M392" s="10" t="s">
        <v>59</v>
      </c>
      <c r="N392" s="10" t="s">
        <v>60</v>
      </c>
      <c r="O392" s="10" t="s">
        <v>61</v>
      </c>
      <c r="P392" s="10">
        <v>43100</v>
      </c>
      <c r="Q392" s="15">
        <v>33900</v>
      </c>
      <c r="R392" s="15">
        <v>53700</v>
      </c>
      <c r="S392" s="15">
        <f>Table1[[#This Row],[Retail Price]]-Table1[[#This Row],[Cost Price]]</f>
        <v>19800</v>
      </c>
      <c r="T392" s="10">
        <v>19</v>
      </c>
      <c r="U392" s="15">
        <f>Table1[[#This Row],[Profit Margin]]*Table1[[#This Row],[Order Quantity]]</f>
        <v>376200</v>
      </c>
      <c r="V392" s="11">
        <v>0</v>
      </c>
      <c r="W392" s="15">
        <f t="shared" si="6"/>
        <v>0</v>
      </c>
      <c r="X392" s="15">
        <f>Table1[[#This Row],[Sub Total]]-Table1[[#This Row],[Discount Rp]]</f>
        <v>376200</v>
      </c>
      <c r="Y392" s="15">
        <f ca="1">OFFSET(Helper!$C$3,MATCH(Data!$N$4:$N$1003,Helper!$C$4:$C$9,0),MATCH(Data!$O$4:$O$1003,Helper!$D$3:$F$3,0))</f>
        <v>15000</v>
      </c>
      <c r="Z392" s="16">
        <f ca="1">Table1[[#This Row],[Order Total]]+Table1[[#This Row],[Shipping Cost]]</f>
        <v>391200</v>
      </c>
    </row>
    <row r="393" spans="1:26" ht="15.75" customHeight="1" x14ac:dyDescent="0.3">
      <c r="A393" s="9" t="s">
        <v>1033</v>
      </c>
      <c r="B393" s="18">
        <v>43103</v>
      </c>
      <c r="C393" s="10">
        <f>YEAR(Table1[[#This Row],[Order Date]])</f>
        <v>2018</v>
      </c>
      <c r="D393" s="10" t="s">
        <v>1034</v>
      </c>
      <c r="E393" s="10" t="s">
        <v>813</v>
      </c>
      <c r="F393" s="10" t="s">
        <v>54</v>
      </c>
      <c r="G393" s="10" t="s">
        <v>87</v>
      </c>
      <c r="H393" s="10" t="s">
        <v>65</v>
      </c>
      <c r="I393" s="10" t="str">
        <f>VLOOKUP(Table1[[#This Row],[Account Manager ID]],Table2[[Employee ID]:[Full Name]],4,FALSE)</f>
        <v>Laras Nuraini</v>
      </c>
      <c r="J393" s="10" t="str">
        <f>INDEX(Employee!$D$4:$D$47,MATCH($H$4:$H$1003,Employee!$A$4:$A$47,0))</f>
        <v>Laras Nuraini</v>
      </c>
      <c r="K393" s="10" t="s">
        <v>117</v>
      </c>
      <c r="L393" s="10" t="s">
        <v>242</v>
      </c>
      <c r="M393" s="10" t="s">
        <v>81</v>
      </c>
      <c r="N393" s="10" t="s">
        <v>60</v>
      </c>
      <c r="O393" s="10" t="s">
        <v>61</v>
      </c>
      <c r="P393" s="10">
        <v>43105</v>
      </c>
      <c r="Q393" s="15">
        <v>296700</v>
      </c>
      <c r="R393" s="15">
        <v>689850</v>
      </c>
      <c r="S393" s="15">
        <f>Table1[[#This Row],[Retail Price]]-Table1[[#This Row],[Cost Price]]</f>
        <v>393150</v>
      </c>
      <c r="T393" s="10">
        <v>23</v>
      </c>
      <c r="U393" s="15">
        <f>Table1[[#This Row],[Profit Margin]]*Table1[[#This Row],[Order Quantity]]</f>
        <v>9042450</v>
      </c>
      <c r="V393" s="11">
        <v>0.1</v>
      </c>
      <c r="W393" s="15">
        <f t="shared" si="6"/>
        <v>904245</v>
      </c>
      <c r="X393" s="15">
        <f>Table1[[#This Row],[Sub Total]]-Table1[[#This Row],[Discount Rp]]</f>
        <v>8138205</v>
      </c>
      <c r="Y393" s="15">
        <f ca="1">OFFSET(Helper!$C$3,MATCH(Data!$N$4:$N$1003,Helper!$C$4:$C$9,0),MATCH(Data!$O$4:$O$1003,Helper!$D$3:$F$3,0))</f>
        <v>15000</v>
      </c>
      <c r="Z393" s="16">
        <f ca="1">Table1[[#This Row],[Order Total]]+Table1[[#This Row],[Shipping Cost]]</f>
        <v>8153205</v>
      </c>
    </row>
    <row r="394" spans="1:26" ht="15.75" customHeight="1" x14ac:dyDescent="0.3">
      <c r="A394" s="9" t="s">
        <v>1035</v>
      </c>
      <c r="B394" s="18">
        <v>43103</v>
      </c>
      <c r="C394" s="10">
        <f>YEAR(Table1[[#This Row],[Order Date]])</f>
        <v>2018</v>
      </c>
      <c r="D394" s="10" t="s">
        <v>1034</v>
      </c>
      <c r="E394" s="10" t="s">
        <v>813</v>
      </c>
      <c r="F394" s="10" t="s">
        <v>54</v>
      </c>
      <c r="G394" s="10" t="s">
        <v>87</v>
      </c>
      <c r="H394" s="10" t="s">
        <v>65</v>
      </c>
      <c r="I394" s="10" t="str">
        <f>VLOOKUP(Table1[[#This Row],[Account Manager ID]],Table2[[Employee ID]:[Full Name]],4,FALSE)</f>
        <v>Laras Nuraini</v>
      </c>
      <c r="J394" s="10" t="str">
        <f>INDEX(Employee!$D$4:$D$47,MATCH($H$4:$H$1003,Employee!$A$4:$A$47,0))</f>
        <v>Laras Nuraini</v>
      </c>
      <c r="K394" s="10" t="s">
        <v>117</v>
      </c>
      <c r="L394" s="10" t="s">
        <v>468</v>
      </c>
      <c r="M394" s="10" t="s">
        <v>59</v>
      </c>
      <c r="N394" s="10" t="s">
        <v>67</v>
      </c>
      <c r="O394" s="10" t="s">
        <v>61</v>
      </c>
      <c r="P394" s="10">
        <v>43104</v>
      </c>
      <c r="Q394" s="15">
        <v>13950</v>
      </c>
      <c r="R394" s="15">
        <v>22200</v>
      </c>
      <c r="S394" s="15">
        <f>Table1[[#This Row],[Retail Price]]-Table1[[#This Row],[Cost Price]]</f>
        <v>8250</v>
      </c>
      <c r="T394" s="10">
        <v>33</v>
      </c>
      <c r="U394" s="15">
        <f>Table1[[#This Row],[Profit Margin]]*Table1[[#This Row],[Order Quantity]]</f>
        <v>272250</v>
      </c>
      <c r="V394" s="11">
        <v>0.06</v>
      </c>
      <c r="W394" s="15">
        <f t="shared" si="6"/>
        <v>16335</v>
      </c>
      <c r="X394" s="15">
        <f>Table1[[#This Row],[Sub Total]]-Table1[[#This Row],[Discount Rp]]</f>
        <v>255915</v>
      </c>
      <c r="Y394" s="15">
        <f ca="1">OFFSET(Helper!$C$3,MATCH(Data!$N$4:$N$1003,Helper!$C$4:$C$9,0),MATCH(Data!$O$4:$O$1003,Helper!$D$3:$F$3,0))</f>
        <v>5000</v>
      </c>
      <c r="Z394" s="16">
        <f ca="1">Table1[[#This Row],[Order Total]]+Table1[[#This Row],[Shipping Cost]]</f>
        <v>260915</v>
      </c>
    </row>
    <row r="395" spans="1:26" ht="15.75" customHeight="1" x14ac:dyDescent="0.3">
      <c r="A395" s="9" t="s">
        <v>1036</v>
      </c>
      <c r="B395" s="18">
        <v>43105</v>
      </c>
      <c r="C395" s="10">
        <f>YEAR(Table1[[#This Row],[Order Date]])</f>
        <v>2018</v>
      </c>
      <c r="D395" s="10" t="s">
        <v>1037</v>
      </c>
      <c r="E395" s="10" t="s">
        <v>233</v>
      </c>
      <c r="F395" s="10" t="s">
        <v>54</v>
      </c>
      <c r="G395" s="10" t="s">
        <v>72</v>
      </c>
      <c r="H395" s="10" t="s">
        <v>65</v>
      </c>
      <c r="I395" s="10" t="str">
        <f>VLOOKUP(Table1[[#This Row],[Account Manager ID]],Table2[[Employee ID]:[Full Name]],4,FALSE)</f>
        <v>Laras Nuraini</v>
      </c>
      <c r="J395" s="10" t="str">
        <f>INDEX(Employee!$D$4:$D$47,MATCH($H$4:$H$1003,Employee!$A$4:$A$47,0))</f>
        <v>Laras Nuraini</v>
      </c>
      <c r="K395" s="10" t="s">
        <v>57</v>
      </c>
      <c r="L395" s="10" t="s">
        <v>384</v>
      </c>
      <c r="M395" s="10" t="s">
        <v>59</v>
      </c>
      <c r="N395" s="10" t="s">
        <v>67</v>
      </c>
      <c r="O395" s="10" t="s">
        <v>76</v>
      </c>
      <c r="P395" s="10">
        <v>43107</v>
      </c>
      <c r="Q395" s="15">
        <v>65550</v>
      </c>
      <c r="R395" s="15">
        <v>136650</v>
      </c>
      <c r="S395" s="15">
        <f>Table1[[#This Row],[Retail Price]]-Table1[[#This Row],[Cost Price]]</f>
        <v>71100</v>
      </c>
      <c r="T395" s="10">
        <v>48</v>
      </c>
      <c r="U395" s="15">
        <f>Table1[[#This Row],[Profit Margin]]*Table1[[#This Row],[Order Quantity]]</f>
        <v>3412800</v>
      </c>
      <c r="V395" s="11">
        <v>0.06</v>
      </c>
      <c r="W395" s="15">
        <f t="shared" si="6"/>
        <v>204768</v>
      </c>
      <c r="X395" s="15">
        <f>Table1[[#This Row],[Sub Total]]-Table1[[#This Row],[Discount Rp]]</f>
        <v>3208032</v>
      </c>
      <c r="Y395" s="15">
        <f ca="1">OFFSET(Helper!$C$3,MATCH(Data!$N$4:$N$1003,Helper!$C$4:$C$9,0),MATCH(Data!$O$4:$O$1003,Helper!$D$3:$F$3,0))</f>
        <v>10000</v>
      </c>
      <c r="Z395" s="16">
        <f ca="1">Table1[[#This Row],[Order Total]]+Table1[[#This Row],[Shipping Cost]]</f>
        <v>3218032</v>
      </c>
    </row>
    <row r="396" spans="1:26" ht="15.75" customHeight="1" x14ac:dyDescent="0.3">
      <c r="A396" s="9" t="s">
        <v>1038</v>
      </c>
      <c r="B396" s="18">
        <v>43109</v>
      </c>
      <c r="C396" s="10">
        <f>YEAR(Table1[[#This Row],[Order Date]])</f>
        <v>2018</v>
      </c>
      <c r="D396" s="10" t="s">
        <v>1039</v>
      </c>
      <c r="E396" s="10" t="s">
        <v>572</v>
      </c>
      <c r="F396" s="10" t="s">
        <v>261</v>
      </c>
      <c r="G396" s="10" t="s">
        <v>72</v>
      </c>
      <c r="H396" s="10" t="s">
        <v>146</v>
      </c>
      <c r="I396" s="10" t="str">
        <f>VLOOKUP(Table1[[#This Row],[Account Manager ID]],Table2[[Employee ID]:[Full Name]],4,FALSE)</f>
        <v>Kenari Rajasa</v>
      </c>
      <c r="J396" s="10" t="str">
        <f>INDEX(Employee!$D$4:$D$47,MATCH($H$4:$H$1003,Employee!$A$4:$A$47,0))</f>
        <v>Kenari Rajasa</v>
      </c>
      <c r="K396" s="10" t="s">
        <v>92</v>
      </c>
      <c r="L396" s="10" t="s">
        <v>166</v>
      </c>
      <c r="M396" s="10" t="s">
        <v>59</v>
      </c>
      <c r="N396" s="10" t="s">
        <v>136</v>
      </c>
      <c r="O396" s="10" t="s">
        <v>61</v>
      </c>
      <c r="P396" s="10">
        <v>43114</v>
      </c>
      <c r="Q396" s="15">
        <v>14100</v>
      </c>
      <c r="R396" s="15">
        <v>31200</v>
      </c>
      <c r="S396" s="15">
        <f>Table1[[#This Row],[Retail Price]]-Table1[[#This Row],[Cost Price]]</f>
        <v>17100</v>
      </c>
      <c r="T396" s="10">
        <v>36</v>
      </c>
      <c r="U396" s="15">
        <f>Table1[[#This Row],[Profit Margin]]*Table1[[#This Row],[Order Quantity]]</f>
        <v>615600</v>
      </c>
      <c r="V396" s="11">
        <v>0.01</v>
      </c>
      <c r="W396" s="15">
        <f t="shared" si="6"/>
        <v>6156</v>
      </c>
      <c r="X396" s="15">
        <f>Table1[[#This Row],[Sub Total]]-Table1[[#This Row],[Discount Rp]]</f>
        <v>609444</v>
      </c>
      <c r="Y396" s="15">
        <f ca="1">OFFSET(Helper!$C$3,MATCH(Data!$N$4:$N$1003,Helper!$C$4:$C$9,0),MATCH(Data!$O$4:$O$1003,Helper!$D$3:$F$3,0))</f>
        <v>10000</v>
      </c>
      <c r="Z396" s="16">
        <f ca="1">Table1[[#This Row],[Order Total]]+Table1[[#This Row],[Shipping Cost]]</f>
        <v>619444</v>
      </c>
    </row>
    <row r="397" spans="1:26" ht="15.75" customHeight="1" x14ac:dyDescent="0.3">
      <c r="A397" s="9" t="s">
        <v>1040</v>
      </c>
      <c r="B397" s="18">
        <v>43110</v>
      </c>
      <c r="C397" s="10">
        <f>YEAR(Table1[[#This Row],[Order Date]])</f>
        <v>2018</v>
      </c>
      <c r="D397" s="10" t="s">
        <v>1041</v>
      </c>
      <c r="E397" s="10" t="s">
        <v>393</v>
      </c>
      <c r="F397" s="10" t="s">
        <v>71</v>
      </c>
      <c r="G397" s="10" t="s">
        <v>72</v>
      </c>
      <c r="H397" s="10" t="s">
        <v>122</v>
      </c>
      <c r="I397" s="10" t="str">
        <f>VLOOKUP(Table1[[#This Row],[Account Manager ID]],Table2[[Employee ID]:[Full Name]],4,FALSE)</f>
        <v>Ophelia Mustofa</v>
      </c>
      <c r="J397" s="10" t="str">
        <f>INDEX(Employee!$D$4:$D$47,MATCH($H$4:$H$1003,Employee!$A$4:$A$47,0))</f>
        <v>Ophelia Mustofa</v>
      </c>
      <c r="K397" s="10" t="s">
        <v>57</v>
      </c>
      <c r="L397" s="10" t="s">
        <v>938</v>
      </c>
      <c r="M397" s="10" t="s">
        <v>59</v>
      </c>
      <c r="N397" s="10" t="s">
        <v>67</v>
      </c>
      <c r="O397" s="10" t="s">
        <v>61</v>
      </c>
      <c r="P397" s="10">
        <v>43111</v>
      </c>
      <c r="Q397" s="15">
        <v>22950</v>
      </c>
      <c r="R397" s="15">
        <v>37050</v>
      </c>
      <c r="S397" s="15">
        <f>Table1[[#This Row],[Retail Price]]-Table1[[#This Row],[Cost Price]]</f>
        <v>14100</v>
      </c>
      <c r="T397" s="10">
        <v>49</v>
      </c>
      <c r="U397" s="15">
        <f>Table1[[#This Row],[Profit Margin]]*Table1[[#This Row],[Order Quantity]]</f>
        <v>690900</v>
      </c>
      <c r="V397" s="11">
        <v>0.03</v>
      </c>
      <c r="W397" s="15">
        <f t="shared" si="6"/>
        <v>20727</v>
      </c>
      <c r="X397" s="15">
        <f>Table1[[#This Row],[Sub Total]]-Table1[[#This Row],[Discount Rp]]</f>
        <v>670173</v>
      </c>
      <c r="Y397" s="15">
        <f ca="1">OFFSET(Helper!$C$3,MATCH(Data!$N$4:$N$1003,Helper!$C$4:$C$9,0),MATCH(Data!$O$4:$O$1003,Helper!$D$3:$F$3,0))</f>
        <v>5000</v>
      </c>
      <c r="Z397" s="16">
        <f ca="1">Table1[[#This Row],[Order Total]]+Table1[[#This Row],[Shipping Cost]]</f>
        <v>675173</v>
      </c>
    </row>
    <row r="398" spans="1:26" ht="15.75" customHeight="1" x14ac:dyDescent="0.3">
      <c r="A398" s="9" t="s">
        <v>1042</v>
      </c>
      <c r="B398" s="18">
        <v>43110</v>
      </c>
      <c r="C398" s="10">
        <f>YEAR(Table1[[#This Row],[Order Date]])</f>
        <v>2018</v>
      </c>
      <c r="D398" s="10" t="s">
        <v>1043</v>
      </c>
      <c r="E398" s="10" t="s">
        <v>370</v>
      </c>
      <c r="F398" s="10" t="s">
        <v>71</v>
      </c>
      <c r="G398" s="10" t="s">
        <v>55</v>
      </c>
      <c r="H398" s="10" t="s">
        <v>146</v>
      </c>
      <c r="I398" s="10" t="str">
        <f>VLOOKUP(Table1[[#This Row],[Account Manager ID]],Table2[[Employee ID]:[Full Name]],4,FALSE)</f>
        <v>Kenari Rajasa</v>
      </c>
      <c r="J398" s="10" t="str">
        <f>INDEX(Employee!$D$4:$D$47,MATCH($H$4:$H$1003,Employee!$A$4:$A$47,0))</f>
        <v>Kenari Rajasa</v>
      </c>
      <c r="K398" s="10" t="s">
        <v>57</v>
      </c>
      <c r="L398" s="10" t="s">
        <v>212</v>
      </c>
      <c r="M398" s="10" t="s">
        <v>59</v>
      </c>
      <c r="N398" s="10" t="s">
        <v>67</v>
      </c>
      <c r="O398" s="10" t="s">
        <v>61</v>
      </c>
      <c r="P398" s="10">
        <v>43111</v>
      </c>
      <c r="Q398" s="15">
        <v>52050</v>
      </c>
      <c r="R398" s="15">
        <v>100200</v>
      </c>
      <c r="S398" s="15">
        <f>Table1[[#This Row],[Retail Price]]-Table1[[#This Row],[Cost Price]]</f>
        <v>48150</v>
      </c>
      <c r="T398" s="10">
        <v>16</v>
      </c>
      <c r="U398" s="15">
        <f>Table1[[#This Row],[Profit Margin]]*Table1[[#This Row],[Order Quantity]]</f>
        <v>770400</v>
      </c>
      <c r="V398" s="11">
        <v>0.1</v>
      </c>
      <c r="W398" s="15">
        <f t="shared" si="6"/>
        <v>77040</v>
      </c>
      <c r="X398" s="15">
        <f>Table1[[#This Row],[Sub Total]]-Table1[[#This Row],[Discount Rp]]</f>
        <v>693360</v>
      </c>
      <c r="Y398" s="15">
        <f ca="1">OFFSET(Helper!$C$3,MATCH(Data!$N$4:$N$1003,Helper!$C$4:$C$9,0),MATCH(Data!$O$4:$O$1003,Helper!$D$3:$F$3,0))</f>
        <v>5000</v>
      </c>
      <c r="Z398" s="16">
        <f ca="1">Table1[[#This Row],[Order Total]]+Table1[[#This Row],[Shipping Cost]]</f>
        <v>698360</v>
      </c>
    </row>
    <row r="399" spans="1:26" ht="15.75" customHeight="1" x14ac:dyDescent="0.3">
      <c r="A399" s="9" t="s">
        <v>1044</v>
      </c>
      <c r="B399" s="18">
        <v>43111</v>
      </c>
      <c r="C399" s="10">
        <f>YEAR(Table1[[#This Row],[Order Date]])</f>
        <v>2018</v>
      </c>
      <c r="D399" s="10" t="s">
        <v>896</v>
      </c>
      <c r="E399" s="10" t="s">
        <v>1045</v>
      </c>
      <c r="F399" s="10" t="s">
        <v>261</v>
      </c>
      <c r="G399" s="10" t="s">
        <v>106</v>
      </c>
      <c r="H399" s="10" t="s">
        <v>146</v>
      </c>
      <c r="I399" s="10" t="str">
        <f>VLOOKUP(Table1[[#This Row],[Account Manager ID]],Table2[[Employee ID]:[Full Name]],4,FALSE)</f>
        <v>Kenari Rajasa</v>
      </c>
      <c r="J399" s="10" t="str">
        <f>INDEX(Employee!$D$4:$D$47,MATCH($H$4:$H$1003,Employee!$A$4:$A$47,0))</f>
        <v>Kenari Rajasa</v>
      </c>
      <c r="K399" s="10" t="s">
        <v>92</v>
      </c>
      <c r="L399" s="10" t="s">
        <v>130</v>
      </c>
      <c r="M399" s="10" t="s">
        <v>59</v>
      </c>
      <c r="N399" s="10" t="s">
        <v>67</v>
      </c>
      <c r="O399" s="10" t="s">
        <v>61</v>
      </c>
      <c r="P399" s="10">
        <v>43111</v>
      </c>
      <c r="Q399" s="15">
        <v>10650</v>
      </c>
      <c r="R399" s="15">
        <v>17100</v>
      </c>
      <c r="S399" s="15">
        <f>Table1[[#This Row],[Retail Price]]-Table1[[#This Row],[Cost Price]]</f>
        <v>6450</v>
      </c>
      <c r="T399" s="10">
        <v>8</v>
      </c>
      <c r="U399" s="15">
        <f>Table1[[#This Row],[Profit Margin]]*Table1[[#This Row],[Order Quantity]]</f>
        <v>51600</v>
      </c>
      <c r="V399" s="11">
        <v>0</v>
      </c>
      <c r="W399" s="15">
        <f t="shared" si="6"/>
        <v>0</v>
      </c>
      <c r="X399" s="15">
        <f>Table1[[#This Row],[Sub Total]]-Table1[[#This Row],[Discount Rp]]</f>
        <v>51600</v>
      </c>
      <c r="Y399" s="15">
        <f ca="1">OFFSET(Helper!$C$3,MATCH(Data!$N$4:$N$1003,Helper!$C$4:$C$9,0),MATCH(Data!$O$4:$O$1003,Helper!$D$3:$F$3,0))</f>
        <v>5000</v>
      </c>
      <c r="Z399" s="16">
        <f ca="1">Table1[[#This Row],[Order Total]]+Table1[[#This Row],[Shipping Cost]]</f>
        <v>56600</v>
      </c>
    </row>
    <row r="400" spans="1:26" ht="15.75" customHeight="1" x14ac:dyDescent="0.3">
      <c r="A400" s="9" t="s">
        <v>1046</v>
      </c>
      <c r="B400" s="18">
        <v>43113</v>
      </c>
      <c r="C400" s="10">
        <f>YEAR(Table1[[#This Row],[Order Date]])</f>
        <v>2018</v>
      </c>
      <c r="D400" s="10" t="s">
        <v>52</v>
      </c>
      <c r="E400" s="10" t="s">
        <v>53</v>
      </c>
      <c r="F400" s="10" t="s">
        <v>54</v>
      </c>
      <c r="G400" s="10" t="s">
        <v>55</v>
      </c>
      <c r="H400" s="10" t="s">
        <v>56</v>
      </c>
      <c r="I400" s="10" t="str">
        <f>VLOOKUP(Table1[[#This Row],[Account Manager ID]],Table2[[Employee ID]:[Full Name]],4,FALSE)</f>
        <v>Gaduh Pratama</v>
      </c>
      <c r="J400" s="10" t="str">
        <f>INDEX(Employee!$D$4:$D$47,MATCH($H$4:$H$1003,Employee!$A$4:$A$47,0))</f>
        <v>Gaduh Pratama</v>
      </c>
      <c r="K400" s="10" t="s">
        <v>57</v>
      </c>
      <c r="L400" s="10" t="s">
        <v>190</v>
      </c>
      <c r="M400" s="10" t="s">
        <v>81</v>
      </c>
      <c r="N400" s="10" t="s">
        <v>60</v>
      </c>
      <c r="O400" s="10" t="s">
        <v>61</v>
      </c>
      <c r="P400" s="10">
        <v>43115</v>
      </c>
      <c r="Q400" s="15">
        <v>594600</v>
      </c>
      <c r="R400" s="15">
        <v>2287200</v>
      </c>
      <c r="S400" s="15">
        <f>Table1[[#This Row],[Retail Price]]-Table1[[#This Row],[Cost Price]]</f>
        <v>1692600</v>
      </c>
      <c r="T400" s="10">
        <v>48</v>
      </c>
      <c r="U400" s="15">
        <f>Table1[[#This Row],[Profit Margin]]*Table1[[#This Row],[Order Quantity]]</f>
        <v>81244800</v>
      </c>
      <c r="V400" s="11">
        <v>0.04</v>
      </c>
      <c r="W400" s="15">
        <f t="shared" si="6"/>
        <v>3249792</v>
      </c>
      <c r="X400" s="15">
        <f>Table1[[#This Row],[Sub Total]]-Table1[[#This Row],[Discount Rp]]</f>
        <v>77995008</v>
      </c>
      <c r="Y400" s="15">
        <f ca="1">OFFSET(Helper!$C$3,MATCH(Data!$N$4:$N$1003,Helper!$C$4:$C$9,0),MATCH(Data!$O$4:$O$1003,Helper!$D$3:$F$3,0))</f>
        <v>15000</v>
      </c>
      <c r="Z400" s="16">
        <f ca="1">Table1[[#This Row],[Order Total]]+Table1[[#This Row],[Shipping Cost]]</f>
        <v>78010008</v>
      </c>
    </row>
    <row r="401" spans="1:26" ht="15.75" customHeight="1" x14ac:dyDescent="0.3">
      <c r="A401" s="9" t="s">
        <v>1047</v>
      </c>
      <c r="B401" s="18">
        <v>43113</v>
      </c>
      <c r="C401" s="10">
        <f>YEAR(Table1[[#This Row],[Order Date]])</f>
        <v>2018</v>
      </c>
      <c r="D401" s="10" t="s">
        <v>1048</v>
      </c>
      <c r="E401" s="10" t="s">
        <v>101</v>
      </c>
      <c r="F401" s="10" t="s">
        <v>71</v>
      </c>
      <c r="G401" s="10" t="s">
        <v>72</v>
      </c>
      <c r="H401" s="10" t="s">
        <v>97</v>
      </c>
      <c r="I401" s="10" t="str">
        <f>VLOOKUP(Table1[[#This Row],[Account Manager ID]],Table2[[Employee ID]:[Full Name]],4,FALSE)</f>
        <v>Violet Mentari</v>
      </c>
      <c r="J401" s="10" t="str">
        <f>INDEX(Employee!$D$4:$D$47,MATCH($H$4:$H$1003,Employee!$A$4:$A$47,0))</f>
        <v>Violet Mentari</v>
      </c>
      <c r="K401" s="10" t="s">
        <v>107</v>
      </c>
      <c r="L401" s="10" t="s">
        <v>349</v>
      </c>
      <c r="M401" s="10" t="s">
        <v>59</v>
      </c>
      <c r="N401" s="10" t="s">
        <v>67</v>
      </c>
      <c r="O401" s="10" t="s">
        <v>76</v>
      </c>
      <c r="P401" s="10">
        <v>43114</v>
      </c>
      <c r="Q401" s="15">
        <v>166650</v>
      </c>
      <c r="R401" s="15">
        <v>297600</v>
      </c>
      <c r="S401" s="15">
        <f>Table1[[#This Row],[Retail Price]]-Table1[[#This Row],[Cost Price]]</f>
        <v>130950</v>
      </c>
      <c r="T401" s="10">
        <v>15</v>
      </c>
      <c r="U401" s="15">
        <f>Table1[[#This Row],[Profit Margin]]*Table1[[#This Row],[Order Quantity]]</f>
        <v>1964250</v>
      </c>
      <c r="V401" s="11">
        <v>0</v>
      </c>
      <c r="W401" s="15">
        <f t="shared" si="6"/>
        <v>0</v>
      </c>
      <c r="X401" s="15">
        <f>Table1[[#This Row],[Sub Total]]-Table1[[#This Row],[Discount Rp]]</f>
        <v>1964250</v>
      </c>
      <c r="Y401" s="15">
        <f ca="1">OFFSET(Helper!$C$3,MATCH(Data!$N$4:$N$1003,Helper!$C$4:$C$9,0),MATCH(Data!$O$4:$O$1003,Helper!$D$3:$F$3,0))</f>
        <v>10000</v>
      </c>
      <c r="Z401" s="16">
        <f ca="1">Table1[[#This Row],[Order Total]]+Table1[[#This Row],[Shipping Cost]]</f>
        <v>1974250</v>
      </c>
    </row>
    <row r="402" spans="1:26" ht="15.75" customHeight="1" x14ac:dyDescent="0.3">
      <c r="A402" s="9" t="s">
        <v>1049</v>
      </c>
      <c r="B402" s="18">
        <v>43114</v>
      </c>
      <c r="C402" s="10">
        <f>YEAR(Table1[[#This Row],[Order Date]])</f>
        <v>2018</v>
      </c>
      <c r="D402" s="10" t="s">
        <v>1050</v>
      </c>
      <c r="E402" s="10" t="s">
        <v>1051</v>
      </c>
      <c r="F402" s="10" t="s">
        <v>71</v>
      </c>
      <c r="G402" s="10" t="s">
        <v>55</v>
      </c>
      <c r="H402" s="10" t="s">
        <v>122</v>
      </c>
      <c r="I402" s="10" t="str">
        <f>VLOOKUP(Table1[[#This Row],[Account Manager ID]],Table2[[Employee ID]:[Full Name]],4,FALSE)</f>
        <v>Ophelia Mustofa</v>
      </c>
      <c r="J402" s="10" t="str">
        <f>INDEX(Employee!$D$4:$D$47,MATCH($H$4:$H$1003,Employee!$A$4:$A$47,0))</f>
        <v>Ophelia Mustofa</v>
      </c>
      <c r="K402" s="10" t="s">
        <v>57</v>
      </c>
      <c r="L402" s="10" t="s">
        <v>611</v>
      </c>
      <c r="M402" s="10" t="s">
        <v>59</v>
      </c>
      <c r="N402" s="10" t="s">
        <v>60</v>
      </c>
      <c r="O402" s="10" t="s">
        <v>61</v>
      </c>
      <c r="P402" s="10">
        <v>43116</v>
      </c>
      <c r="Q402" s="15">
        <v>34350</v>
      </c>
      <c r="R402" s="15">
        <v>55350</v>
      </c>
      <c r="S402" s="15">
        <f>Table1[[#This Row],[Retail Price]]-Table1[[#This Row],[Cost Price]]</f>
        <v>21000</v>
      </c>
      <c r="T402" s="10">
        <v>30</v>
      </c>
      <c r="U402" s="15">
        <f>Table1[[#This Row],[Profit Margin]]*Table1[[#This Row],[Order Quantity]]</f>
        <v>630000</v>
      </c>
      <c r="V402" s="11">
        <v>0.09</v>
      </c>
      <c r="W402" s="15">
        <f t="shared" si="6"/>
        <v>56700</v>
      </c>
      <c r="X402" s="15">
        <f>Table1[[#This Row],[Sub Total]]-Table1[[#This Row],[Discount Rp]]</f>
        <v>573300</v>
      </c>
      <c r="Y402" s="15">
        <f ca="1">OFFSET(Helper!$C$3,MATCH(Data!$N$4:$N$1003,Helper!$C$4:$C$9,0),MATCH(Data!$O$4:$O$1003,Helper!$D$3:$F$3,0))</f>
        <v>15000</v>
      </c>
      <c r="Z402" s="16">
        <f ca="1">Table1[[#This Row],[Order Total]]+Table1[[#This Row],[Shipping Cost]]</f>
        <v>588300</v>
      </c>
    </row>
    <row r="403" spans="1:26" ht="15.75" customHeight="1" x14ac:dyDescent="0.3">
      <c r="A403" s="9" t="s">
        <v>1052</v>
      </c>
      <c r="B403" s="18">
        <v>43114</v>
      </c>
      <c r="C403" s="10">
        <f>YEAR(Table1[[#This Row],[Order Date]])</f>
        <v>2018</v>
      </c>
      <c r="D403" s="10" t="s">
        <v>865</v>
      </c>
      <c r="E403" s="10" t="s">
        <v>866</v>
      </c>
      <c r="F403" s="10" t="s">
        <v>261</v>
      </c>
      <c r="G403" s="10" t="s">
        <v>72</v>
      </c>
      <c r="H403" s="10" t="s">
        <v>112</v>
      </c>
      <c r="I403" s="10" t="str">
        <f>VLOOKUP(Table1[[#This Row],[Account Manager ID]],Table2[[Employee ID]:[Full Name]],4,FALSE)</f>
        <v>Paiman Firgantoro</v>
      </c>
      <c r="J403" s="10" t="str">
        <f>INDEX(Employee!$D$4:$D$47,MATCH($H$4:$H$1003,Employee!$A$4:$A$47,0))</f>
        <v>Paiman Firgantoro</v>
      </c>
      <c r="K403" s="10" t="s">
        <v>57</v>
      </c>
      <c r="L403" s="10" t="s">
        <v>810</v>
      </c>
      <c r="M403" s="10" t="s">
        <v>59</v>
      </c>
      <c r="N403" s="10" t="s">
        <v>60</v>
      </c>
      <c r="O403" s="10" t="s">
        <v>61</v>
      </c>
      <c r="P403" s="10">
        <v>43116</v>
      </c>
      <c r="Q403" s="15">
        <v>329550</v>
      </c>
      <c r="R403" s="15">
        <v>531600</v>
      </c>
      <c r="S403" s="15">
        <f>Table1[[#This Row],[Retail Price]]-Table1[[#This Row],[Cost Price]]</f>
        <v>202050</v>
      </c>
      <c r="T403" s="10">
        <v>29</v>
      </c>
      <c r="U403" s="15">
        <f>Table1[[#This Row],[Profit Margin]]*Table1[[#This Row],[Order Quantity]]</f>
        <v>5859450</v>
      </c>
      <c r="V403" s="11">
        <v>0.03</v>
      </c>
      <c r="W403" s="15">
        <f t="shared" si="6"/>
        <v>175783.5</v>
      </c>
      <c r="X403" s="15">
        <f>Table1[[#This Row],[Sub Total]]-Table1[[#This Row],[Discount Rp]]</f>
        <v>5683666.5</v>
      </c>
      <c r="Y403" s="15">
        <f ca="1">OFFSET(Helper!$C$3,MATCH(Data!$N$4:$N$1003,Helper!$C$4:$C$9,0),MATCH(Data!$O$4:$O$1003,Helper!$D$3:$F$3,0))</f>
        <v>15000</v>
      </c>
      <c r="Z403" s="16">
        <f ca="1">Table1[[#This Row],[Order Total]]+Table1[[#This Row],[Shipping Cost]]</f>
        <v>5698666.5</v>
      </c>
    </row>
    <row r="404" spans="1:26" ht="15.75" customHeight="1" x14ac:dyDescent="0.3">
      <c r="A404" s="9" t="s">
        <v>1053</v>
      </c>
      <c r="B404" s="18">
        <v>43115</v>
      </c>
      <c r="C404" s="10">
        <f>YEAR(Table1[[#This Row],[Order Date]])</f>
        <v>2018</v>
      </c>
      <c r="D404" s="10" t="s">
        <v>1037</v>
      </c>
      <c r="E404" s="10" t="s">
        <v>233</v>
      </c>
      <c r="F404" s="10" t="s">
        <v>54</v>
      </c>
      <c r="G404" s="10" t="s">
        <v>72</v>
      </c>
      <c r="H404" s="10" t="s">
        <v>65</v>
      </c>
      <c r="I404" s="10" t="str">
        <f>VLOOKUP(Table1[[#This Row],[Account Manager ID]],Table2[[Employee ID]:[Full Name]],4,FALSE)</f>
        <v>Laras Nuraini</v>
      </c>
      <c r="J404" s="10" t="str">
        <f>INDEX(Employee!$D$4:$D$47,MATCH($H$4:$H$1003,Employee!$A$4:$A$47,0))</f>
        <v>Laras Nuraini</v>
      </c>
      <c r="K404" s="10" t="s">
        <v>107</v>
      </c>
      <c r="L404" s="10" t="s">
        <v>130</v>
      </c>
      <c r="M404" s="10" t="s">
        <v>59</v>
      </c>
      <c r="N404" s="10" t="s">
        <v>67</v>
      </c>
      <c r="O404" s="10" t="s">
        <v>61</v>
      </c>
      <c r="P404" s="10">
        <v>43117</v>
      </c>
      <c r="Q404" s="15">
        <v>10650</v>
      </c>
      <c r="R404" s="15">
        <v>17100</v>
      </c>
      <c r="S404" s="15">
        <f>Table1[[#This Row],[Retail Price]]-Table1[[#This Row],[Cost Price]]</f>
        <v>6450</v>
      </c>
      <c r="T404" s="10">
        <v>4</v>
      </c>
      <c r="U404" s="15">
        <f>Table1[[#This Row],[Profit Margin]]*Table1[[#This Row],[Order Quantity]]</f>
        <v>25800</v>
      </c>
      <c r="V404" s="11">
        <v>0</v>
      </c>
      <c r="W404" s="15">
        <f t="shared" si="6"/>
        <v>0</v>
      </c>
      <c r="X404" s="15">
        <f>Table1[[#This Row],[Sub Total]]-Table1[[#This Row],[Discount Rp]]</f>
        <v>25800</v>
      </c>
      <c r="Y404" s="15">
        <f ca="1">OFFSET(Helper!$C$3,MATCH(Data!$N$4:$N$1003,Helper!$C$4:$C$9,0),MATCH(Data!$O$4:$O$1003,Helper!$D$3:$F$3,0))</f>
        <v>5000</v>
      </c>
      <c r="Z404" s="16">
        <f ca="1">Table1[[#This Row],[Order Total]]+Table1[[#This Row],[Shipping Cost]]</f>
        <v>30800</v>
      </c>
    </row>
    <row r="405" spans="1:26" ht="15.75" customHeight="1" x14ac:dyDescent="0.3">
      <c r="A405" s="9" t="s">
        <v>1054</v>
      </c>
      <c r="B405" s="18">
        <v>43116</v>
      </c>
      <c r="C405" s="10">
        <f>YEAR(Table1[[#This Row],[Order Date]])</f>
        <v>2018</v>
      </c>
      <c r="D405" s="10" t="s">
        <v>515</v>
      </c>
      <c r="E405" s="10" t="s">
        <v>101</v>
      </c>
      <c r="F405" s="10" t="s">
        <v>71</v>
      </c>
      <c r="G405" s="10" t="s">
        <v>87</v>
      </c>
      <c r="H405" s="10" t="s">
        <v>97</v>
      </c>
      <c r="I405" s="10" t="str">
        <f>VLOOKUP(Table1[[#This Row],[Account Manager ID]],Table2[[Employee ID]:[Full Name]],4,FALSE)</f>
        <v>Violet Mentari</v>
      </c>
      <c r="J405" s="10" t="str">
        <f>INDEX(Employee!$D$4:$D$47,MATCH($H$4:$H$1003,Employee!$A$4:$A$47,0))</f>
        <v>Violet Mentari</v>
      </c>
      <c r="K405" s="10" t="s">
        <v>92</v>
      </c>
      <c r="L405" s="10" t="s">
        <v>382</v>
      </c>
      <c r="M405" s="10" t="s">
        <v>59</v>
      </c>
      <c r="N405" s="10" t="s">
        <v>60</v>
      </c>
      <c r="O405" s="10" t="s">
        <v>76</v>
      </c>
      <c r="P405" s="10">
        <v>43123</v>
      </c>
      <c r="Q405" s="15">
        <v>41100</v>
      </c>
      <c r="R405" s="15">
        <v>67350</v>
      </c>
      <c r="S405" s="15">
        <f>Table1[[#This Row],[Retail Price]]-Table1[[#This Row],[Cost Price]]</f>
        <v>26250</v>
      </c>
      <c r="T405" s="10">
        <v>44</v>
      </c>
      <c r="U405" s="15">
        <f>Table1[[#This Row],[Profit Margin]]*Table1[[#This Row],[Order Quantity]]</f>
        <v>1155000</v>
      </c>
      <c r="V405" s="11">
        <v>0.03</v>
      </c>
      <c r="W405" s="15">
        <f t="shared" si="6"/>
        <v>34650</v>
      </c>
      <c r="X405" s="15">
        <f>Table1[[#This Row],[Sub Total]]-Table1[[#This Row],[Discount Rp]]</f>
        <v>1120350</v>
      </c>
      <c r="Y405" s="15">
        <f ca="1">OFFSET(Helper!$C$3,MATCH(Data!$N$4:$N$1003,Helper!$C$4:$C$9,0),MATCH(Data!$O$4:$O$1003,Helper!$D$3:$F$3,0))</f>
        <v>30000</v>
      </c>
      <c r="Z405" s="16">
        <f ca="1">Table1[[#This Row],[Order Total]]+Table1[[#This Row],[Shipping Cost]]</f>
        <v>1150350</v>
      </c>
    </row>
    <row r="406" spans="1:26" ht="15.75" customHeight="1" x14ac:dyDescent="0.3">
      <c r="A406" s="9" t="s">
        <v>1055</v>
      </c>
      <c r="B406" s="18">
        <v>43116</v>
      </c>
      <c r="C406" s="10">
        <f>YEAR(Table1[[#This Row],[Order Date]])</f>
        <v>2018</v>
      </c>
      <c r="D406" s="10" t="s">
        <v>720</v>
      </c>
      <c r="E406" s="10" t="s">
        <v>721</v>
      </c>
      <c r="F406" s="10" t="s">
        <v>261</v>
      </c>
      <c r="G406" s="10" t="s">
        <v>55</v>
      </c>
      <c r="H406" s="10" t="s">
        <v>146</v>
      </c>
      <c r="I406" s="10" t="str">
        <f>VLOOKUP(Table1[[#This Row],[Account Manager ID]],Table2[[Employee ID]:[Full Name]],4,FALSE)</f>
        <v>Kenari Rajasa</v>
      </c>
      <c r="J406" s="10" t="str">
        <f>INDEX(Employee!$D$4:$D$47,MATCH($H$4:$H$1003,Employee!$A$4:$A$47,0))</f>
        <v>Kenari Rajasa</v>
      </c>
      <c r="K406" s="10" t="s">
        <v>92</v>
      </c>
      <c r="L406" s="10" t="s">
        <v>300</v>
      </c>
      <c r="M406" s="10" t="s">
        <v>81</v>
      </c>
      <c r="N406" s="10" t="s">
        <v>136</v>
      </c>
      <c r="O406" s="10" t="s">
        <v>61</v>
      </c>
      <c r="P406" s="10">
        <v>43118</v>
      </c>
      <c r="Q406" s="15">
        <v>302700</v>
      </c>
      <c r="R406" s="15">
        <v>531150</v>
      </c>
      <c r="S406" s="15">
        <f>Table1[[#This Row],[Retail Price]]-Table1[[#This Row],[Cost Price]]</f>
        <v>228450</v>
      </c>
      <c r="T406" s="10">
        <v>5</v>
      </c>
      <c r="U406" s="15">
        <f>Table1[[#This Row],[Profit Margin]]*Table1[[#This Row],[Order Quantity]]</f>
        <v>1142250</v>
      </c>
      <c r="V406" s="11">
        <v>0</v>
      </c>
      <c r="W406" s="15">
        <f t="shared" si="6"/>
        <v>0</v>
      </c>
      <c r="X406" s="15">
        <f>Table1[[#This Row],[Sub Total]]-Table1[[#This Row],[Discount Rp]]</f>
        <v>1142250</v>
      </c>
      <c r="Y406" s="15">
        <f ca="1">OFFSET(Helper!$C$3,MATCH(Data!$N$4:$N$1003,Helper!$C$4:$C$9,0),MATCH(Data!$O$4:$O$1003,Helper!$D$3:$F$3,0))</f>
        <v>10000</v>
      </c>
      <c r="Z406" s="16">
        <f ca="1">Table1[[#This Row],[Order Total]]+Table1[[#This Row],[Shipping Cost]]</f>
        <v>1152250</v>
      </c>
    </row>
    <row r="407" spans="1:26" ht="15.75" customHeight="1" x14ac:dyDescent="0.3">
      <c r="A407" s="9" t="s">
        <v>1056</v>
      </c>
      <c r="B407" s="18">
        <v>43118</v>
      </c>
      <c r="C407" s="10">
        <f>YEAR(Table1[[#This Row],[Order Date]])</f>
        <v>2018</v>
      </c>
      <c r="D407" s="10" t="s">
        <v>777</v>
      </c>
      <c r="E407" s="10" t="s">
        <v>445</v>
      </c>
      <c r="F407" s="10" t="s">
        <v>54</v>
      </c>
      <c r="G407" s="10" t="s">
        <v>87</v>
      </c>
      <c r="H407" s="10" t="s">
        <v>56</v>
      </c>
      <c r="I407" s="10" t="str">
        <f>VLOOKUP(Table1[[#This Row],[Account Manager ID]],Table2[[Employee ID]:[Full Name]],4,FALSE)</f>
        <v>Gaduh Pratama</v>
      </c>
      <c r="J407" s="10" t="str">
        <f>INDEX(Employee!$D$4:$D$47,MATCH($H$4:$H$1003,Employee!$A$4:$A$47,0))</f>
        <v>Gaduh Pratama</v>
      </c>
      <c r="K407" s="10" t="s">
        <v>74</v>
      </c>
      <c r="L407" s="10" t="s">
        <v>429</v>
      </c>
      <c r="M407" s="10" t="s">
        <v>59</v>
      </c>
      <c r="N407" s="10" t="s">
        <v>60</v>
      </c>
      <c r="O407" s="10" t="s">
        <v>61</v>
      </c>
      <c r="P407" s="10">
        <v>43119</v>
      </c>
      <c r="Q407" s="15">
        <v>29100</v>
      </c>
      <c r="R407" s="15">
        <v>46200</v>
      </c>
      <c r="S407" s="15">
        <f>Table1[[#This Row],[Retail Price]]-Table1[[#This Row],[Cost Price]]</f>
        <v>17100</v>
      </c>
      <c r="T407" s="10">
        <v>46</v>
      </c>
      <c r="U407" s="15">
        <f>Table1[[#This Row],[Profit Margin]]*Table1[[#This Row],[Order Quantity]]</f>
        <v>786600</v>
      </c>
      <c r="V407" s="11">
        <v>0.04</v>
      </c>
      <c r="W407" s="15">
        <f t="shared" si="6"/>
        <v>31464</v>
      </c>
      <c r="X407" s="15">
        <f>Table1[[#This Row],[Sub Total]]-Table1[[#This Row],[Discount Rp]]</f>
        <v>755136</v>
      </c>
      <c r="Y407" s="15">
        <f ca="1">OFFSET(Helper!$C$3,MATCH(Data!$N$4:$N$1003,Helper!$C$4:$C$9,0),MATCH(Data!$O$4:$O$1003,Helper!$D$3:$F$3,0))</f>
        <v>15000</v>
      </c>
      <c r="Z407" s="16">
        <f ca="1">Table1[[#This Row],[Order Total]]+Table1[[#This Row],[Shipping Cost]]</f>
        <v>770136</v>
      </c>
    </row>
    <row r="408" spans="1:26" ht="15.75" customHeight="1" x14ac:dyDescent="0.3">
      <c r="A408" s="9" t="s">
        <v>1057</v>
      </c>
      <c r="B408" s="18">
        <v>43120</v>
      </c>
      <c r="C408" s="10">
        <f>YEAR(Table1[[#This Row],[Order Date]])</f>
        <v>2018</v>
      </c>
      <c r="D408" s="10" t="s">
        <v>214</v>
      </c>
      <c r="E408" s="10" t="s">
        <v>215</v>
      </c>
      <c r="F408" s="10" t="s">
        <v>71</v>
      </c>
      <c r="G408" s="10" t="s">
        <v>72</v>
      </c>
      <c r="H408" s="10" t="s">
        <v>146</v>
      </c>
      <c r="I408" s="10" t="str">
        <f>VLOOKUP(Table1[[#This Row],[Account Manager ID]],Table2[[Employee ID]:[Full Name]],4,FALSE)</f>
        <v>Kenari Rajasa</v>
      </c>
      <c r="J408" s="10" t="str">
        <f>INDEX(Employee!$D$4:$D$47,MATCH($H$4:$H$1003,Employee!$A$4:$A$47,0))</f>
        <v>Kenari Rajasa</v>
      </c>
      <c r="K408" s="10" t="s">
        <v>57</v>
      </c>
      <c r="L408" s="10" t="s">
        <v>252</v>
      </c>
      <c r="M408" s="10" t="s">
        <v>253</v>
      </c>
      <c r="N408" s="10" t="s">
        <v>136</v>
      </c>
      <c r="O408" s="10" t="s">
        <v>61</v>
      </c>
      <c r="P408" s="10">
        <v>43122</v>
      </c>
      <c r="Q408" s="15">
        <v>82500</v>
      </c>
      <c r="R408" s="15">
        <v>183300</v>
      </c>
      <c r="S408" s="15">
        <f>Table1[[#This Row],[Retail Price]]-Table1[[#This Row],[Cost Price]]</f>
        <v>100800</v>
      </c>
      <c r="T408" s="10">
        <v>1</v>
      </c>
      <c r="U408" s="15">
        <f>Table1[[#This Row],[Profit Margin]]*Table1[[#This Row],[Order Quantity]]</f>
        <v>100800</v>
      </c>
      <c r="V408" s="11">
        <v>0.1</v>
      </c>
      <c r="W408" s="15">
        <f t="shared" si="6"/>
        <v>10080</v>
      </c>
      <c r="X408" s="15">
        <f>Table1[[#This Row],[Sub Total]]-Table1[[#This Row],[Discount Rp]]</f>
        <v>90720</v>
      </c>
      <c r="Y408" s="15">
        <f ca="1">OFFSET(Helper!$C$3,MATCH(Data!$N$4:$N$1003,Helper!$C$4:$C$9,0),MATCH(Data!$O$4:$O$1003,Helper!$D$3:$F$3,0))</f>
        <v>10000</v>
      </c>
      <c r="Z408" s="16">
        <f ca="1">Table1[[#This Row],[Order Total]]+Table1[[#This Row],[Shipping Cost]]</f>
        <v>100720</v>
      </c>
    </row>
    <row r="409" spans="1:26" ht="15.75" customHeight="1" x14ac:dyDescent="0.3">
      <c r="A409" s="9" t="s">
        <v>1058</v>
      </c>
      <c r="B409" s="18">
        <v>43121</v>
      </c>
      <c r="C409" s="10">
        <f>YEAR(Table1[[#This Row],[Order Date]])</f>
        <v>2018</v>
      </c>
      <c r="D409" s="10" t="s">
        <v>1059</v>
      </c>
      <c r="E409" s="10" t="s">
        <v>165</v>
      </c>
      <c r="F409" s="10" t="s">
        <v>71</v>
      </c>
      <c r="G409" s="10" t="s">
        <v>87</v>
      </c>
      <c r="H409" s="10" t="s">
        <v>88</v>
      </c>
      <c r="I409" s="10" t="str">
        <f>VLOOKUP(Table1[[#This Row],[Account Manager ID]],Table2[[Employee ID]:[Full Name]],4,FALSE)</f>
        <v>Bagiya Sihombing</v>
      </c>
      <c r="J409" s="10" t="str">
        <f>INDEX(Employee!$D$4:$D$47,MATCH($H$4:$H$1003,Employee!$A$4:$A$47,0))</f>
        <v>Bagiya Sihombing</v>
      </c>
      <c r="K409" s="10" t="s">
        <v>57</v>
      </c>
      <c r="L409" s="10" t="s">
        <v>775</v>
      </c>
      <c r="M409" s="10" t="s">
        <v>59</v>
      </c>
      <c r="N409" s="10" t="s">
        <v>136</v>
      </c>
      <c r="O409" s="10" t="s">
        <v>61</v>
      </c>
      <c r="P409" s="10">
        <v>43121</v>
      </c>
      <c r="Q409" s="15">
        <v>62850.000000000007</v>
      </c>
      <c r="R409" s="15">
        <v>153450</v>
      </c>
      <c r="S409" s="15">
        <f>Table1[[#This Row],[Retail Price]]-Table1[[#This Row],[Cost Price]]</f>
        <v>90600</v>
      </c>
      <c r="T409" s="10">
        <v>37</v>
      </c>
      <c r="U409" s="15">
        <f>Table1[[#This Row],[Profit Margin]]*Table1[[#This Row],[Order Quantity]]</f>
        <v>3352200</v>
      </c>
      <c r="V409" s="11">
        <v>0.08</v>
      </c>
      <c r="W409" s="15">
        <f t="shared" si="6"/>
        <v>268176</v>
      </c>
      <c r="X409" s="15">
        <f>Table1[[#This Row],[Sub Total]]-Table1[[#This Row],[Discount Rp]]</f>
        <v>3084024</v>
      </c>
      <c r="Y409" s="15">
        <f ca="1">OFFSET(Helper!$C$3,MATCH(Data!$N$4:$N$1003,Helper!$C$4:$C$9,0),MATCH(Data!$O$4:$O$1003,Helper!$D$3:$F$3,0))</f>
        <v>10000</v>
      </c>
      <c r="Z409" s="16">
        <f ca="1">Table1[[#This Row],[Order Total]]+Table1[[#This Row],[Shipping Cost]]</f>
        <v>3094024</v>
      </c>
    </row>
    <row r="410" spans="1:26" ht="15.75" customHeight="1" x14ac:dyDescent="0.3">
      <c r="A410" s="9" t="s">
        <v>1060</v>
      </c>
      <c r="B410" s="18">
        <v>43122</v>
      </c>
      <c r="C410" s="10">
        <f>YEAR(Table1[[#This Row],[Order Date]])</f>
        <v>2018</v>
      </c>
      <c r="D410" s="10" t="s">
        <v>839</v>
      </c>
      <c r="E410" s="10" t="s">
        <v>539</v>
      </c>
      <c r="F410" s="10" t="s">
        <v>71</v>
      </c>
      <c r="G410" s="10" t="s">
        <v>72</v>
      </c>
      <c r="H410" s="10" t="s">
        <v>146</v>
      </c>
      <c r="I410" s="10" t="str">
        <f>VLOOKUP(Table1[[#This Row],[Account Manager ID]],Table2[[Employee ID]:[Full Name]],4,FALSE)</f>
        <v>Kenari Rajasa</v>
      </c>
      <c r="J410" s="10" t="str">
        <f>INDEX(Employee!$D$4:$D$47,MATCH($H$4:$H$1003,Employee!$A$4:$A$47,0))</f>
        <v>Kenari Rajasa</v>
      </c>
      <c r="K410" s="10" t="s">
        <v>92</v>
      </c>
      <c r="L410" s="10" t="s">
        <v>1061</v>
      </c>
      <c r="M410" s="10" t="s">
        <v>59</v>
      </c>
      <c r="N410" s="10" t="s">
        <v>60</v>
      </c>
      <c r="O410" s="10" t="s">
        <v>61</v>
      </c>
      <c r="P410" s="10">
        <v>43129</v>
      </c>
      <c r="Q410" s="15">
        <v>17850</v>
      </c>
      <c r="R410" s="15">
        <v>29700</v>
      </c>
      <c r="S410" s="15">
        <f>Table1[[#This Row],[Retail Price]]-Table1[[#This Row],[Cost Price]]</f>
        <v>11850</v>
      </c>
      <c r="T410" s="10">
        <v>38</v>
      </c>
      <c r="U410" s="15">
        <f>Table1[[#This Row],[Profit Margin]]*Table1[[#This Row],[Order Quantity]]</f>
        <v>450300</v>
      </c>
      <c r="V410" s="11">
        <v>0.05</v>
      </c>
      <c r="W410" s="15">
        <f t="shared" si="6"/>
        <v>22515</v>
      </c>
      <c r="X410" s="15">
        <f>Table1[[#This Row],[Sub Total]]-Table1[[#This Row],[Discount Rp]]</f>
        <v>427785</v>
      </c>
      <c r="Y410" s="15">
        <f ca="1">OFFSET(Helper!$C$3,MATCH(Data!$N$4:$N$1003,Helper!$C$4:$C$9,0),MATCH(Data!$O$4:$O$1003,Helper!$D$3:$F$3,0))</f>
        <v>15000</v>
      </c>
      <c r="Z410" s="16">
        <f ca="1">Table1[[#This Row],[Order Total]]+Table1[[#This Row],[Shipping Cost]]</f>
        <v>442785</v>
      </c>
    </row>
    <row r="411" spans="1:26" ht="15.75" customHeight="1" x14ac:dyDescent="0.3">
      <c r="A411" s="9" t="s">
        <v>1062</v>
      </c>
      <c r="B411" s="18">
        <v>43123</v>
      </c>
      <c r="C411" s="10">
        <f>YEAR(Table1[[#This Row],[Order Date]])</f>
        <v>2018</v>
      </c>
      <c r="D411" s="10" t="s">
        <v>1063</v>
      </c>
      <c r="E411" s="10" t="s">
        <v>710</v>
      </c>
      <c r="F411" s="10" t="s">
        <v>71</v>
      </c>
      <c r="G411" s="10" t="s">
        <v>55</v>
      </c>
      <c r="H411" s="10" t="s">
        <v>97</v>
      </c>
      <c r="I411" s="10" t="str">
        <f>VLOOKUP(Table1[[#This Row],[Account Manager ID]],Table2[[Employee ID]:[Full Name]],4,FALSE)</f>
        <v>Violet Mentari</v>
      </c>
      <c r="J411" s="10" t="str">
        <f>INDEX(Employee!$D$4:$D$47,MATCH($H$4:$H$1003,Employee!$A$4:$A$47,0))</f>
        <v>Violet Mentari</v>
      </c>
      <c r="K411" s="10" t="s">
        <v>117</v>
      </c>
      <c r="L411" s="10" t="s">
        <v>349</v>
      </c>
      <c r="M411" s="10" t="s">
        <v>59</v>
      </c>
      <c r="N411" s="10" t="s">
        <v>67</v>
      </c>
      <c r="O411" s="10" t="s">
        <v>61</v>
      </c>
      <c r="P411" s="10">
        <v>43123</v>
      </c>
      <c r="Q411" s="15">
        <v>166650</v>
      </c>
      <c r="R411" s="15">
        <v>297600</v>
      </c>
      <c r="S411" s="15">
        <f>Table1[[#This Row],[Retail Price]]-Table1[[#This Row],[Cost Price]]</f>
        <v>130950</v>
      </c>
      <c r="T411" s="10">
        <v>43</v>
      </c>
      <c r="U411" s="15">
        <f>Table1[[#This Row],[Profit Margin]]*Table1[[#This Row],[Order Quantity]]</f>
        <v>5630850</v>
      </c>
      <c r="V411" s="11">
        <v>0.03</v>
      </c>
      <c r="W411" s="15">
        <f t="shared" si="6"/>
        <v>168925.5</v>
      </c>
      <c r="X411" s="15">
        <f>Table1[[#This Row],[Sub Total]]-Table1[[#This Row],[Discount Rp]]</f>
        <v>5461924.5</v>
      </c>
      <c r="Y411" s="15">
        <f ca="1">OFFSET(Helper!$C$3,MATCH(Data!$N$4:$N$1003,Helper!$C$4:$C$9,0),MATCH(Data!$O$4:$O$1003,Helper!$D$3:$F$3,0))</f>
        <v>5000</v>
      </c>
      <c r="Z411" s="16">
        <f ca="1">Table1[[#This Row],[Order Total]]+Table1[[#This Row],[Shipping Cost]]</f>
        <v>5466924.5</v>
      </c>
    </row>
    <row r="412" spans="1:26" ht="15.75" customHeight="1" x14ac:dyDescent="0.3">
      <c r="A412" s="9" t="s">
        <v>1064</v>
      </c>
      <c r="B412" s="18">
        <v>43127</v>
      </c>
      <c r="C412" s="10">
        <f>YEAR(Table1[[#This Row],[Order Date]])</f>
        <v>2018</v>
      </c>
      <c r="D412" s="10" t="s">
        <v>1065</v>
      </c>
      <c r="E412" s="10" t="s">
        <v>159</v>
      </c>
      <c r="F412" s="10" t="s">
        <v>71</v>
      </c>
      <c r="G412" s="10" t="s">
        <v>55</v>
      </c>
      <c r="H412" s="10" t="s">
        <v>122</v>
      </c>
      <c r="I412" s="10" t="str">
        <f>VLOOKUP(Table1[[#This Row],[Account Manager ID]],Table2[[Employee ID]:[Full Name]],4,FALSE)</f>
        <v>Ophelia Mustofa</v>
      </c>
      <c r="J412" s="10" t="str">
        <f>INDEX(Employee!$D$4:$D$47,MATCH($H$4:$H$1003,Employee!$A$4:$A$47,0))</f>
        <v>Ophelia Mustofa</v>
      </c>
      <c r="K412" s="10" t="s">
        <v>92</v>
      </c>
      <c r="L412" s="10" t="s">
        <v>761</v>
      </c>
      <c r="M412" s="10" t="s">
        <v>59</v>
      </c>
      <c r="N412" s="10" t="s">
        <v>60</v>
      </c>
      <c r="O412" s="10" t="s">
        <v>76</v>
      </c>
      <c r="P412" s="10">
        <v>43131</v>
      </c>
      <c r="Q412" s="15">
        <v>781050</v>
      </c>
      <c r="R412" s="15">
        <v>1259700</v>
      </c>
      <c r="S412" s="15">
        <f>Table1[[#This Row],[Retail Price]]-Table1[[#This Row],[Cost Price]]</f>
        <v>478650</v>
      </c>
      <c r="T412" s="10">
        <v>34</v>
      </c>
      <c r="U412" s="15">
        <f>Table1[[#This Row],[Profit Margin]]*Table1[[#This Row],[Order Quantity]]</f>
        <v>16274100</v>
      </c>
      <c r="V412" s="11">
        <v>0.06</v>
      </c>
      <c r="W412" s="15">
        <f t="shared" si="6"/>
        <v>976446</v>
      </c>
      <c r="X412" s="15">
        <f>Table1[[#This Row],[Sub Total]]-Table1[[#This Row],[Discount Rp]]</f>
        <v>15297654</v>
      </c>
      <c r="Y412" s="15">
        <f ca="1">OFFSET(Helper!$C$3,MATCH(Data!$N$4:$N$1003,Helper!$C$4:$C$9,0),MATCH(Data!$O$4:$O$1003,Helper!$D$3:$F$3,0))</f>
        <v>30000</v>
      </c>
      <c r="Z412" s="16">
        <f ca="1">Table1[[#This Row],[Order Total]]+Table1[[#This Row],[Shipping Cost]]</f>
        <v>15327654</v>
      </c>
    </row>
    <row r="413" spans="1:26" ht="15.75" customHeight="1" x14ac:dyDescent="0.3">
      <c r="A413" s="9" t="s">
        <v>1066</v>
      </c>
      <c r="B413" s="18">
        <v>43128</v>
      </c>
      <c r="C413" s="10">
        <f>YEAR(Table1[[#This Row],[Order Date]])</f>
        <v>2018</v>
      </c>
      <c r="D413" s="10" t="s">
        <v>52</v>
      </c>
      <c r="E413" s="10" t="s">
        <v>53</v>
      </c>
      <c r="F413" s="10" t="s">
        <v>54</v>
      </c>
      <c r="G413" s="10" t="s">
        <v>55</v>
      </c>
      <c r="H413" s="10" t="s">
        <v>56</v>
      </c>
      <c r="I413" s="10" t="str">
        <f>VLOOKUP(Table1[[#This Row],[Account Manager ID]],Table2[[Employee ID]:[Full Name]],4,FALSE)</f>
        <v>Gaduh Pratama</v>
      </c>
      <c r="J413" s="10" t="str">
        <f>INDEX(Employee!$D$4:$D$47,MATCH($H$4:$H$1003,Employee!$A$4:$A$47,0))</f>
        <v>Gaduh Pratama</v>
      </c>
      <c r="K413" s="10" t="s">
        <v>74</v>
      </c>
      <c r="L413" s="10" t="s">
        <v>173</v>
      </c>
      <c r="M413" s="10" t="s">
        <v>59</v>
      </c>
      <c r="N413" s="10" t="s">
        <v>67</v>
      </c>
      <c r="O413" s="10" t="s">
        <v>61</v>
      </c>
      <c r="P413" s="10">
        <v>43129</v>
      </c>
      <c r="Q413" s="15">
        <v>37800</v>
      </c>
      <c r="R413" s="15">
        <v>60000</v>
      </c>
      <c r="S413" s="15">
        <f>Table1[[#This Row],[Retail Price]]-Table1[[#This Row],[Cost Price]]</f>
        <v>22200</v>
      </c>
      <c r="T413" s="10">
        <v>36</v>
      </c>
      <c r="U413" s="15">
        <f>Table1[[#This Row],[Profit Margin]]*Table1[[#This Row],[Order Quantity]]</f>
        <v>799200</v>
      </c>
      <c r="V413" s="11">
        <v>0.01</v>
      </c>
      <c r="W413" s="15">
        <f t="shared" si="6"/>
        <v>7992</v>
      </c>
      <c r="X413" s="15">
        <f>Table1[[#This Row],[Sub Total]]-Table1[[#This Row],[Discount Rp]]</f>
        <v>791208</v>
      </c>
      <c r="Y413" s="15">
        <f ca="1">OFFSET(Helper!$C$3,MATCH(Data!$N$4:$N$1003,Helper!$C$4:$C$9,0),MATCH(Data!$O$4:$O$1003,Helper!$D$3:$F$3,0))</f>
        <v>5000</v>
      </c>
      <c r="Z413" s="16">
        <f ca="1">Table1[[#This Row],[Order Total]]+Table1[[#This Row],[Shipping Cost]]</f>
        <v>796208</v>
      </c>
    </row>
    <row r="414" spans="1:26" ht="15.75" customHeight="1" x14ac:dyDescent="0.3">
      <c r="A414" s="9" t="s">
        <v>1067</v>
      </c>
      <c r="B414" s="18">
        <v>43129</v>
      </c>
      <c r="C414" s="10">
        <f>YEAR(Table1[[#This Row],[Order Date]])</f>
        <v>2018</v>
      </c>
      <c r="D414" s="10" t="s">
        <v>1068</v>
      </c>
      <c r="E414" s="10" t="s">
        <v>180</v>
      </c>
      <c r="F414" s="10" t="s">
        <v>54</v>
      </c>
      <c r="G414" s="10" t="s">
        <v>55</v>
      </c>
      <c r="H414" s="10" t="s">
        <v>65</v>
      </c>
      <c r="I414" s="10" t="str">
        <f>VLOOKUP(Table1[[#This Row],[Account Manager ID]],Table2[[Employee ID]:[Full Name]],4,FALSE)</f>
        <v>Laras Nuraini</v>
      </c>
      <c r="J414" s="10" t="str">
        <f>INDEX(Employee!$D$4:$D$47,MATCH($H$4:$H$1003,Employee!$A$4:$A$47,0))</f>
        <v>Laras Nuraini</v>
      </c>
      <c r="K414" s="10" t="s">
        <v>117</v>
      </c>
      <c r="L414" s="10" t="s">
        <v>488</v>
      </c>
      <c r="M414" s="10" t="s">
        <v>59</v>
      </c>
      <c r="N414" s="10" t="s">
        <v>136</v>
      </c>
      <c r="O414" s="10" t="s">
        <v>61</v>
      </c>
      <c r="P414" s="10">
        <v>43129</v>
      </c>
      <c r="Q414" s="15">
        <v>77850</v>
      </c>
      <c r="R414" s="15">
        <v>194700</v>
      </c>
      <c r="S414" s="15">
        <f>Table1[[#This Row],[Retail Price]]-Table1[[#This Row],[Cost Price]]</f>
        <v>116850</v>
      </c>
      <c r="T414" s="10">
        <v>11</v>
      </c>
      <c r="U414" s="15">
        <f>Table1[[#This Row],[Profit Margin]]*Table1[[#This Row],[Order Quantity]]</f>
        <v>1285350</v>
      </c>
      <c r="V414" s="11">
        <v>0.08</v>
      </c>
      <c r="W414" s="15">
        <f t="shared" si="6"/>
        <v>102828</v>
      </c>
      <c r="X414" s="15">
        <f>Table1[[#This Row],[Sub Total]]-Table1[[#This Row],[Discount Rp]]</f>
        <v>1182522</v>
      </c>
      <c r="Y414" s="15">
        <f ca="1">OFFSET(Helper!$C$3,MATCH(Data!$N$4:$N$1003,Helper!$C$4:$C$9,0),MATCH(Data!$O$4:$O$1003,Helper!$D$3:$F$3,0))</f>
        <v>10000</v>
      </c>
      <c r="Z414" s="16">
        <f ca="1">Table1[[#This Row],[Order Total]]+Table1[[#This Row],[Shipping Cost]]</f>
        <v>1192522</v>
      </c>
    </row>
    <row r="415" spans="1:26" ht="15.75" customHeight="1" x14ac:dyDescent="0.3">
      <c r="A415" s="9" t="s">
        <v>1069</v>
      </c>
      <c r="B415" s="18">
        <v>43129</v>
      </c>
      <c r="C415" s="10">
        <f>YEAR(Table1[[#This Row],[Order Date]])</f>
        <v>2018</v>
      </c>
      <c r="D415" s="10" t="s">
        <v>1068</v>
      </c>
      <c r="E415" s="10" t="s">
        <v>180</v>
      </c>
      <c r="F415" s="10" t="s">
        <v>54</v>
      </c>
      <c r="G415" s="10" t="s">
        <v>55</v>
      </c>
      <c r="H415" s="10" t="s">
        <v>65</v>
      </c>
      <c r="I415" s="10" t="str">
        <f>VLOOKUP(Table1[[#This Row],[Account Manager ID]],Table2[[Employee ID]:[Full Name]],4,FALSE)</f>
        <v>Laras Nuraini</v>
      </c>
      <c r="J415" s="10" t="str">
        <f>INDEX(Employee!$D$4:$D$47,MATCH($H$4:$H$1003,Employee!$A$4:$A$47,0))</f>
        <v>Laras Nuraini</v>
      </c>
      <c r="K415" s="10" t="s">
        <v>117</v>
      </c>
      <c r="L415" s="10" t="s">
        <v>173</v>
      </c>
      <c r="M415" s="10" t="s">
        <v>59</v>
      </c>
      <c r="N415" s="10" t="s">
        <v>67</v>
      </c>
      <c r="O415" s="10" t="s">
        <v>61</v>
      </c>
      <c r="P415" s="10">
        <v>43131</v>
      </c>
      <c r="Q415" s="15">
        <v>37800</v>
      </c>
      <c r="R415" s="15">
        <v>60000</v>
      </c>
      <c r="S415" s="15">
        <f>Table1[[#This Row],[Retail Price]]-Table1[[#This Row],[Cost Price]]</f>
        <v>22200</v>
      </c>
      <c r="T415" s="10">
        <v>19</v>
      </c>
      <c r="U415" s="15">
        <f>Table1[[#This Row],[Profit Margin]]*Table1[[#This Row],[Order Quantity]]</f>
        <v>421800</v>
      </c>
      <c r="V415" s="11">
        <v>0.01</v>
      </c>
      <c r="W415" s="15">
        <f t="shared" si="6"/>
        <v>4218</v>
      </c>
      <c r="X415" s="15">
        <f>Table1[[#This Row],[Sub Total]]-Table1[[#This Row],[Discount Rp]]</f>
        <v>417582</v>
      </c>
      <c r="Y415" s="15">
        <f ca="1">OFFSET(Helper!$C$3,MATCH(Data!$N$4:$N$1003,Helper!$C$4:$C$9,0),MATCH(Data!$O$4:$O$1003,Helper!$D$3:$F$3,0))</f>
        <v>5000</v>
      </c>
      <c r="Z415" s="16">
        <f ca="1">Table1[[#This Row],[Order Total]]+Table1[[#This Row],[Shipping Cost]]</f>
        <v>422582</v>
      </c>
    </row>
    <row r="416" spans="1:26" ht="15.75" customHeight="1" x14ac:dyDescent="0.3">
      <c r="A416" s="9" t="s">
        <v>1070</v>
      </c>
      <c r="B416" s="18">
        <v>43130</v>
      </c>
      <c r="C416" s="10">
        <f>YEAR(Table1[[#This Row],[Order Date]])</f>
        <v>2018</v>
      </c>
      <c r="D416" s="10" t="s">
        <v>52</v>
      </c>
      <c r="E416" s="10" t="s">
        <v>53</v>
      </c>
      <c r="F416" s="10" t="s">
        <v>54</v>
      </c>
      <c r="G416" s="10" t="s">
        <v>55</v>
      </c>
      <c r="H416" s="10" t="s">
        <v>56</v>
      </c>
      <c r="I416" s="10" t="str">
        <f>VLOOKUP(Table1[[#This Row],[Account Manager ID]],Table2[[Employee ID]:[Full Name]],4,FALSE)</f>
        <v>Gaduh Pratama</v>
      </c>
      <c r="J416" s="10" t="str">
        <f>INDEX(Employee!$D$4:$D$47,MATCH($H$4:$H$1003,Employee!$A$4:$A$47,0))</f>
        <v>Gaduh Pratama</v>
      </c>
      <c r="K416" s="10" t="s">
        <v>107</v>
      </c>
      <c r="L416" s="10" t="s">
        <v>272</v>
      </c>
      <c r="M416" s="10" t="s">
        <v>59</v>
      </c>
      <c r="N416" s="10" t="s">
        <v>60</v>
      </c>
      <c r="O416" s="10" t="s">
        <v>61</v>
      </c>
      <c r="P416" s="10">
        <v>43132</v>
      </c>
      <c r="Q416" s="15">
        <v>57600</v>
      </c>
      <c r="R416" s="15">
        <v>94500</v>
      </c>
      <c r="S416" s="15">
        <f>Table1[[#This Row],[Retail Price]]-Table1[[#This Row],[Cost Price]]</f>
        <v>36900</v>
      </c>
      <c r="T416" s="10">
        <v>8</v>
      </c>
      <c r="U416" s="15">
        <f>Table1[[#This Row],[Profit Margin]]*Table1[[#This Row],[Order Quantity]]</f>
        <v>295200</v>
      </c>
      <c r="V416" s="11">
        <v>0.01</v>
      </c>
      <c r="W416" s="15">
        <f t="shared" si="6"/>
        <v>2952</v>
      </c>
      <c r="X416" s="15">
        <f>Table1[[#This Row],[Sub Total]]-Table1[[#This Row],[Discount Rp]]</f>
        <v>292248</v>
      </c>
      <c r="Y416" s="15">
        <f ca="1">OFFSET(Helper!$C$3,MATCH(Data!$N$4:$N$1003,Helper!$C$4:$C$9,0),MATCH(Data!$O$4:$O$1003,Helper!$D$3:$F$3,0))</f>
        <v>15000</v>
      </c>
      <c r="Z416" s="16">
        <f ca="1">Table1[[#This Row],[Order Total]]+Table1[[#This Row],[Shipping Cost]]</f>
        <v>307248</v>
      </c>
    </row>
    <row r="417" spans="1:26" ht="15.75" customHeight="1" x14ac:dyDescent="0.3">
      <c r="A417" s="9" t="s">
        <v>1071</v>
      </c>
      <c r="B417" s="18">
        <v>43131</v>
      </c>
      <c r="C417" s="10">
        <f>YEAR(Table1[[#This Row],[Order Date]])</f>
        <v>2018</v>
      </c>
      <c r="D417" s="10" t="s">
        <v>1072</v>
      </c>
      <c r="E417" s="10" t="s">
        <v>1073</v>
      </c>
      <c r="F417" s="10" t="s">
        <v>54</v>
      </c>
      <c r="G417" s="10" t="s">
        <v>72</v>
      </c>
      <c r="H417" s="10" t="s">
        <v>56</v>
      </c>
      <c r="I417" s="10" t="str">
        <f>VLOOKUP(Table1[[#This Row],[Account Manager ID]],Table2[[Employee ID]:[Full Name]],4,FALSE)</f>
        <v>Gaduh Pratama</v>
      </c>
      <c r="J417" s="10" t="str">
        <f>INDEX(Employee!$D$4:$D$47,MATCH($H$4:$H$1003,Employee!$A$4:$A$47,0))</f>
        <v>Gaduh Pratama</v>
      </c>
      <c r="K417" s="10" t="s">
        <v>57</v>
      </c>
      <c r="L417" s="10" t="s">
        <v>419</v>
      </c>
      <c r="M417" s="10" t="s">
        <v>59</v>
      </c>
      <c r="N417" s="10" t="s">
        <v>60</v>
      </c>
      <c r="O417" s="10" t="s">
        <v>76</v>
      </c>
      <c r="P417" s="10">
        <v>43132</v>
      </c>
      <c r="Q417" s="15">
        <v>66900</v>
      </c>
      <c r="R417" s="15">
        <v>163350</v>
      </c>
      <c r="S417" s="15">
        <f>Table1[[#This Row],[Retail Price]]-Table1[[#This Row],[Cost Price]]</f>
        <v>96450</v>
      </c>
      <c r="T417" s="10">
        <v>4</v>
      </c>
      <c r="U417" s="15">
        <f>Table1[[#This Row],[Profit Margin]]*Table1[[#This Row],[Order Quantity]]</f>
        <v>385800</v>
      </c>
      <c r="V417" s="11">
        <v>0.05</v>
      </c>
      <c r="W417" s="15">
        <f t="shared" si="6"/>
        <v>19290</v>
      </c>
      <c r="X417" s="15">
        <f>Table1[[#This Row],[Sub Total]]-Table1[[#This Row],[Discount Rp]]</f>
        <v>366510</v>
      </c>
      <c r="Y417" s="15">
        <f ca="1">OFFSET(Helper!$C$3,MATCH(Data!$N$4:$N$1003,Helper!$C$4:$C$9,0),MATCH(Data!$O$4:$O$1003,Helper!$D$3:$F$3,0))</f>
        <v>30000</v>
      </c>
      <c r="Z417" s="16">
        <f ca="1">Table1[[#This Row],[Order Total]]+Table1[[#This Row],[Shipping Cost]]</f>
        <v>396510</v>
      </c>
    </row>
    <row r="418" spans="1:26" ht="15.75" customHeight="1" x14ac:dyDescent="0.3">
      <c r="A418" s="9" t="s">
        <v>1074</v>
      </c>
      <c r="B418" s="18">
        <v>43132</v>
      </c>
      <c r="C418" s="10">
        <f>YEAR(Table1[[#This Row],[Order Date]])</f>
        <v>2018</v>
      </c>
      <c r="D418" s="10" t="s">
        <v>1034</v>
      </c>
      <c r="E418" s="10" t="s">
        <v>813</v>
      </c>
      <c r="F418" s="10" t="s">
        <v>54</v>
      </c>
      <c r="G418" s="10" t="s">
        <v>106</v>
      </c>
      <c r="H418" s="10" t="s">
        <v>65</v>
      </c>
      <c r="I418" s="10" t="str">
        <f>VLOOKUP(Table1[[#This Row],[Account Manager ID]],Table2[[Employee ID]:[Full Name]],4,FALSE)</f>
        <v>Laras Nuraini</v>
      </c>
      <c r="J418" s="10" t="str">
        <f>INDEX(Employee!$D$4:$D$47,MATCH($H$4:$H$1003,Employee!$A$4:$A$47,0))</f>
        <v>Laras Nuraini</v>
      </c>
      <c r="K418" s="10" t="s">
        <v>107</v>
      </c>
      <c r="L418" s="10" t="s">
        <v>197</v>
      </c>
      <c r="M418" s="10" t="s">
        <v>81</v>
      </c>
      <c r="N418" s="10" t="s">
        <v>60</v>
      </c>
      <c r="O418" s="10" t="s">
        <v>61</v>
      </c>
      <c r="P418" s="10">
        <v>43134</v>
      </c>
      <c r="Q418" s="15">
        <v>124650.00000000001</v>
      </c>
      <c r="R418" s="15">
        <v>239700</v>
      </c>
      <c r="S418" s="15">
        <f>Table1[[#This Row],[Retail Price]]-Table1[[#This Row],[Cost Price]]</f>
        <v>115049.99999999999</v>
      </c>
      <c r="T418" s="10">
        <v>38</v>
      </c>
      <c r="U418" s="15">
        <f>Table1[[#This Row],[Profit Margin]]*Table1[[#This Row],[Order Quantity]]</f>
        <v>4371899.9999999991</v>
      </c>
      <c r="V418" s="11">
        <v>0.1</v>
      </c>
      <c r="W418" s="15">
        <f t="shared" si="6"/>
        <v>437189.99999999994</v>
      </c>
      <c r="X418" s="15">
        <f>Table1[[#This Row],[Sub Total]]-Table1[[#This Row],[Discount Rp]]</f>
        <v>3934709.9999999991</v>
      </c>
      <c r="Y418" s="15">
        <f ca="1">OFFSET(Helper!$C$3,MATCH(Data!$N$4:$N$1003,Helper!$C$4:$C$9,0),MATCH(Data!$O$4:$O$1003,Helper!$D$3:$F$3,0))</f>
        <v>15000</v>
      </c>
      <c r="Z418" s="16">
        <f ca="1">Table1[[#This Row],[Order Total]]+Table1[[#This Row],[Shipping Cost]]</f>
        <v>3949709.9999999991</v>
      </c>
    </row>
    <row r="419" spans="1:26" ht="15.75" customHeight="1" x14ac:dyDescent="0.3">
      <c r="A419" s="9" t="s">
        <v>1075</v>
      </c>
      <c r="B419" s="18">
        <v>43133</v>
      </c>
      <c r="C419" s="10">
        <f>YEAR(Table1[[#This Row],[Order Date]])</f>
        <v>2018</v>
      </c>
      <c r="D419" s="10" t="s">
        <v>1076</v>
      </c>
      <c r="E419" s="10" t="s">
        <v>1077</v>
      </c>
      <c r="F419" s="10" t="s">
        <v>71</v>
      </c>
      <c r="G419" s="10" t="s">
        <v>87</v>
      </c>
      <c r="H419" s="10" t="s">
        <v>122</v>
      </c>
      <c r="I419" s="10" t="str">
        <f>VLOOKUP(Table1[[#This Row],[Account Manager ID]],Table2[[Employee ID]:[Full Name]],4,FALSE)</f>
        <v>Ophelia Mustofa</v>
      </c>
      <c r="J419" s="10" t="str">
        <f>INDEX(Employee!$D$4:$D$47,MATCH($H$4:$H$1003,Employee!$A$4:$A$47,0))</f>
        <v>Ophelia Mustofa</v>
      </c>
      <c r="K419" s="10" t="s">
        <v>107</v>
      </c>
      <c r="L419" s="10" t="s">
        <v>1078</v>
      </c>
      <c r="M419" s="10" t="s">
        <v>59</v>
      </c>
      <c r="N419" s="10" t="s">
        <v>67</v>
      </c>
      <c r="O419" s="10" t="s">
        <v>61</v>
      </c>
      <c r="P419" s="10">
        <v>43134</v>
      </c>
      <c r="Q419" s="15">
        <v>67200</v>
      </c>
      <c r="R419" s="15">
        <v>122100.00000000001</v>
      </c>
      <c r="S419" s="15">
        <f>Table1[[#This Row],[Retail Price]]-Table1[[#This Row],[Cost Price]]</f>
        <v>54900.000000000015</v>
      </c>
      <c r="T419" s="10">
        <v>46</v>
      </c>
      <c r="U419" s="15">
        <f>Table1[[#This Row],[Profit Margin]]*Table1[[#This Row],[Order Quantity]]</f>
        <v>2525400.0000000005</v>
      </c>
      <c r="V419" s="11">
        <v>0</v>
      </c>
      <c r="W419" s="15">
        <f t="shared" si="6"/>
        <v>0</v>
      </c>
      <c r="X419" s="15">
        <f>Table1[[#This Row],[Sub Total]]-Table1[[#This Row],[Discount Rp]]</f>
        <v>2525400.0000000005</v>
      </c>
      <c r="Y419" s="15">
        <f ca="1">OFFSET(Helper!$C$3,MATCH(Data!$N$4:$N$1003,Helper!$C$4:$C$9,0),MATCH(Data!$O$4:$O$1003,Helper!$D$3:$F$3,0))</f>
        <v>5000</v>
      </c>
      <c r="Z419" s="16">
        <f ca="1">Table1[[#This Row],[Order Total]]+Table1[[#This Row],[Shipping Cost]]</f>
        <v>2530400.0000000005</v>
      </c>
    </row>
    <row r="420" spans="1:26" ht="15.75" customHeight="1" x14ac:dyDescent="0.3">
      <c r="A420" s="9" t="s">
        <v>1079</v>
      </c>
      <c r="B420" s="18">
        <v>43133</v>
      </c>
      <c r="C420" s="10">
        <f>YEAR(Table1[[#This Row],[Order Date]])</f>
        <v>2018</v>
      </c>
      <c r="D420" s="10" t="s">
        <v>971</v>
      </c>
      <c r="E420" s="10" t="s">
        <v>189</v>
      </c>
      <c r="F420" s="10" t="s">
        <v>54</v>
      </c>
      <c r="G420" s="10" t="s">
        <v>72</v>
      </c>
      <c r="H420" s="10" t="s">
        <v>56</v>
      </c>
      <c r="I420" s="10" t="str">
        <f>VLOOKUP(Table1[[#This Row],[Account Manager ID]],Table2[[Employee ID]:[Full Name]],4,FALSE)</f>
        <v>Gaduh Pratama</v>
      </c>
      <c r="J420" s="10" t="str">
        <f>INDEX(Employee!$D$4:$D$47,MATCH($H$4:$H$1003,Employee!$A$4:$A$47,0))</f>
        <v>Gaduh Pratama</v>
      </c>
      <c r="K420" s="10" t="s">
        <v>117</v>
      </c>
      <c r="L420" s="10" t="s">
        <v>200</v>
      </c>
      <c r="M420" s="10" t="s">
        <v>59</v>
      </c>
      <c r="N420" s="10" t="s">
        <v>136</v>
      </c>
      <c r="O420" s="10" t="s">
        <v>61</v>
      </c>
      <c r="P420" s="10">
        <v>43133</v>
      </c>
      <c r="Q420" s="15">
        <v>71850</v>
      </c>
      <c r="R420" s="15">
        <v>179550</v>
      </c>
      <c r="S420" s="15">
        <f>Table1[[#This Row],[Retail Price]]-Table1[[#This Row],[Cost Price]]</f>
        <v>107700</v>
      </c>
      <c r="T420" s="10">
        <v>8</v>
      </c>
      <c r="U420" s="15">
        <f>Table1[[#This Row],[Profit Margin]]*Table1[[#This Row],[Order Quantity]]</f>
        <v>861600</v>
      </c>
      <c r="V420" s="11">
        <v>0.03</v>
      </c>
      <c r="W420" s="15">
        <f t="shared" si="6"/>
        <v>25848</v>
      </c>
      <c r="X420" s="15">
        <f>Table1[[#This Row],[Sub Total]]-Table1[[#This Row],[Discount Rp]]</f>
        <v>835752</v>
      </c>
      <c r="Y420" s="15">
        <f ca="1">OFFSET(Helper!$C$3,MATCH(Data!$N$4:$N$1003,Helper!$C$4:$C$9,0),MATCH(Data!$O$4:$O$1003,Helper!$D$3:$F$3,0))</f>
        <v>10000</v>
      </c>
      <c r="Z420" s="16">
        <f ca="1">Table1[[#This Row],[Order Total]]+Table1[[#This Row],[Shipping Cost]]</f>
        <v>845752</v>
      </c>
    </row>
    <row r="421" spans="1:26" ht="15.75" customHeight="1" x14ac:dyDescent="0.3">
      <c r="A421" s="9" t="s">
        <v>1080</v>
      </c>
      <c r="B421" s="18">
        <v>43134</v>
      </c>
      <c r="C421" s="10">
        <f>YEAR(Table1[[#This Row],[Order Date]])</f>
        <v>2018</v>
      </c>
      <c r="D421" s="10" t="s">
        <v>845</v>
      </c>
      <c r="E421" s="10" t="s">
        <v>189</v>
      </c>
      <c r="F421" s="10" t="s">
        <v>54</v>
      </c>
      <c r="G421" s="10" t="s">
        <v>87</v>
      </c>
      <c r="H421" s="10" t="s">
        <v>56</v>
      </c>
      <c r="I421" s="10" t="str">
        <f>VLOOKUP(Table1[[#This Row],[Account Manager ID]],Table2[[Employee ID]:[Full Name]],4,FALSE)</f>
        <v>Gaduh Pratama</v>
      </c>
      <c r="J421" s="10" t="str">
        <f>INDEX(Employee!$D$4:$D$47,MATCH($H$4:$H$1003,Employee!$A$4:$A$47,0))</f>
        <v>Gaduh Pratama</v>
      </c>
      <c r="K421" s="10" t="s">
        <v>57</v>
      </c>
      <c r="L421" s="10" t="s">
        <v>345</v>
      </c>
      <c r="M421" s="10" t="s">
        <v>59</v>
      </c>
      <c r="N421" s="10" t="s">
        <v>60</v>
      </c>
      <c r="O421" s="10" t="s">
        <v>61</v>
      </c>
      <c r="P421" s="10">
        <v>43135</v>
      </c>
      <c r="Q421" s="15">
        <v>51000</v>
      </c>
      <c r="R421" s="15">
        <v>81000</v>
      </c>
      <c r="S421" s="15">
        <f>Table1[[#This Row],[Retail Price]]-Table1[[#This Row],[Cost Price]]</f>
        <v>30000</v>
      </c>
      <c r="T421" s="10">
        <v>22</v>
      </c>
      <c r="U421" s="15">
        <f>Table1[[#This Row],[Profit Margin]]*Table1[[#This Row],[Order Quantity]]</f>
        <v>660000</v>
      </c>
      <c r="V421" s="11">
        <v>0.1</v>
      </c>
      <c r="W421" s="15">
        <f t="shared" si="6"/>
        <v>66000</v>
      </c>
      <c r="X421" s="15">
        <f>Table1[[#This Row],[Sub Total]]-Table1[[#This Row],[Discount Rp]]</f>
        <v>594000</v>
      </c>
      <c r="Y421" s="15">
        <f ca="1">OFFSET(Helper!$C$3,MATCH(Data!$N$4:$N$1003,Helper!$C$4:$C$9,0),MATCH(Data!$O$4:$O$1003,Helper!$D$3:$F$3,0))</f>
        <v>15000</v>
      </c>
      <c r="Z421" s="16">
        <f ca="1">Table1[[#This Row],[Order Total]]+Table1[[#This Row],[Shipping Cost]]</f>
        <v>609000</v>
      </c>
    </row>
    <row r="422" spans="1:26" ht="15.75" customHeight="1" x14ac:dyDescent="0.3">
      <c r="A422" s="9" t="s">
        <v>1081</v>
      </c>
      <c r="B422" s="18">
        <v>43135</v>
      </c>
      <c r="C422" s="10">
        <f>YEAR(Table1[[#This Row],[Order Date]])</f>
        <v>2018</v>
      </c>
      <c r="D422" s="10" t="s">
        <v>1082</v>
      </c>
      <c r="E422" s="10" t="s">
        <v>96</v>
      </c>
      <c r="F422" s="10" t="s">
        <v>71</v>
      </c>
      <c r="G422" s="10" t="s">
        <v>72</v>
      </c>
      <c r="H422" s="10" t="s">
        <v>97</v>
      </c>
      <c r="I422" s="10" t="str">
        <f>VLOOKUP(Table1[[#This Row],[Account Manager ID]],Table2[[Employee ID]:[Full Name]],4,FALSE)</f>
        <v>Violet Mentari</v>
      </c>
      <c r="J422" s="10" t="str">
        <f>INDEX(Employee!$D$4:$D$47,MATCH($H$4:$H$1003,Employee!$A$4:$A$47,0))</f>
        <v>Violet Mentari</v>
      </c>
      <c r="K422" s="10" t="s">
        <v>107</v>
      </c>
      <c r="L422" s="10" t="s">
        <v>291</v>
      </c>
      <c r="M422" s="10" t="s">
        <v>59</v>
      </c>
      <c r="N422" s="10" t="s">
        <v>60</v>
      </c>
      <c r="O422" s="10" t="s">
        <v>61</v>
      </c>
      <c r="P422" s="10">
        <v>43137</v>
      </c>
      <c r="Q422" s="15">
        <v>133800</v>
      </c>
      <c r="R422" s="15">
        <v>446100</v>
      </c>
      <c r="S422" s="15">
        <f>Table1[[#This Row],[Retail Price]]-Table1[[#This Row],[Cost Price]]</f>
        <v>312300</v>
      </c>
      <c r="T422" s="10">
        <v>19</v>
      </c>
      <c r="U422" s="15">
        <f>Table1[[#This Row],[Profit Margin]]*Table1[[#This Row],[Order Quantity]]</f>
        <v>5933700</v>
      </c>
      <c r="V422" s="11">
        <v>0.1</v>
      </c>
      <c r="W422" s="15">
        <f t="shared" si="6"/>
        <v>593370</v>
      </c>
      <c r="X422" s="15">
        <f>Table1[[#This Row],[Sub Total]]-Table1[[#This Row],[Discount Rp]]</f>
        <v>5340330</v>
      </c>
      <c r="Y422" s="15">
        <f ca="1">OFFSET(Helper!$C$3,MATCH(Data!$N$4:$N$1003,Helper!$C$4:$C$9,0),MATCH(Data!$O$4:$O$1003,Helper!$D$3:$F$3,0))</f>
        <v>15000</v>
      </c>
      <c r="Z422" s="16">
        <f ca="1">Table1[[#This Row],[Order Total]]+Table1[[#This Row],[Shipping Cost]]</f>
        <v>5355330</v>
      </c>
    </row>
    <row r="423" spans="1:26" ht="15.75" customHeight="1" x14ac:dyDescent="0.3">
      <c r="A423" s="9" t="s">
        <v>1083</v>
      </c>
      <c r="B423" s="18">
        <v>43138</v>
      </c>
      <c r="C423" s="10">
        <f>YEAR(Table1[[#This Row],[Order Date]])</f>
        <v>2018</v>
      </c>
      <c r="D423" s="10" t="s">
        <v>1084</v>
      </c>
      <c r="E423" s="10" t="s">
        <v>145</v>
      </c>
      <c r="F423" s="10" t="s">
        <v>71</v>
      </c>
      <c r="G423" s="10" t="s">
        <v>55</v>
      </c>
      <c r="H423" s="10" t="s">
        <v>146</v>
      </c>
      <c r="I423" s="10" t="str">
        <f>VLOOKUP(Table1[[#This Row],[Account Manager ID]],Table2[[Employee ID]:[Full Name]],4,FALSE)</f>
        <v>Kenari Rajasa</v>
      </c>
      <c r="J423" s="10" t="str">
        <f>INDEX(Employee!$D$4:$D$47,MATCH($H$4:$H$1003,Employee!$A$4:$A$47,0))</f>
        <v>Kenari Rajasa</v>
      </c>
      <c r="K423" s="10" t="s">
        <v>117</v>
      </c>
      <c r="L423" s="10" t="s">
        <v>415</v>
      </c>
      <c r="M423" s="10" t="s">
        <v>59</v>
      </c>
      <c r="N423" s="10" t="s">
        <v>60</v>
      </c>
      <c r="O423" s="10" t="s">
        <v>61</v>
      </c>
      <c r="P423" s="10">
        <v>43139</v>
      </c>
      <c r="Q423" s="15">
        <v>54750</v>
      </c>
      <c r="R423" s="15">
        <v>89700</v>
      </c>
      <c r="S423" s="15">
        <f>Table1[[#This Row],[Retail Price]]-Table1[[#This Row],[Cost Price]]</f>
        <v>34950</v>
      </c>
      <c r="T423" s="10">
        <v>19</v>
      </c>
      <c r="U423" s="15">
        <f>Table1[[#This Row],[Profit Margin]]*Table1[[#This Row],[Order Quantity]]</f>
        <v>664050</v>
      </c>
      <c r="V423" s="11">
        <v>0.01</v>
      </c>
      <c r="W423" s="15">
        <f t="shared" si="6"/>
        <v>6640.5</v>
      </c>
      <c r="X423" s="15">
        <f>Table1[[#This Row],[Sub Total]]-Table1[[#This Row],[Discount Rp]]</f>
        <v>657409.5</v>
      </c>
      <c r="Y423" s="15">
        <f ca="1">OFFSET(Helper!$C$3,MATCH(Data!$N$4:$N$1003,Helper!$C$4:$C$9,0),MATCH(Data!$O$4:$O$1003,Helper!$D$3:$F$3,0))</f>
        <v>15000</v>
      </c>
      <c r="Z423" s="16">
        <f ca="1">Table1[[#This Row],[Order Total]]+Table1[[#This Row],[Shipping Cost]]</f>
        <v>672409.5</v>
      </c>
    </row>
    <row r="424" spans="1:26" ht="15.75" customHeight="1" x14ac:dyDescent="0.3">
      <c r="A424" s="9" t="s">
        <v>1085</v>
      </c>
      <c r="B424" s="18">
        <v>43139</v>
      </c>
      <c r="C424" s="10">
        <f>YEAR(Table1[[#This Row],[Order Date]])</f>
        <v>2018</v>
      </c>
      <c r="D424" s="10" t="s">
        <v>947</v>
      </c>
      <c r="E424" s="10" t="s">
        <v>340</v>
      </c>
      <c r="F424" s="10" t="s">
        <v>54</v>
      </c>
      <c r="G424" s="10" t="s">
        <v>87</v>
      </c>
      <c r="H424" s="10" t="s">
        <v>65</v>
      </c>
      <c r="I424" s="10" t="str">
        <f>VLOOKUP(Table1[[#This Row],[Account Manager ID]],Table2[[Employee ID]:[Full Name]],4,FALSE)</f>
        <v>Laras Nuraini</v>
      </c>
      <c r="J424" s="10" t="str">
        <f>INDEX(Employee!$D$4:$D$47,MATCH($H$4:$H$1003,Employee!$A$4:$A$47,0))</f>
        <v>Laras Nuraini</v>
      </c>
      <c r="K424" s="10" t="s">
        <v>92</v>
      </c>
      <c r="L424" s="10" t="s">
        <v>765</v>
      </c>
      <c r="M424" s="10" t="s">
        <v>59</v>
      </c>
      <c r="N424" s="10" t="s">
        <v>67</v>
      </c>
      <c r="O424" s="10" t="s">
        <v>61</v>
      </c>
      <c r="P424" s="10">
        <v>43143</v>
      </c>
      <c r="Q424" s="15">
        <v>32400.000000000004</v>
      </c>
      <c r="R424" s="15">
        <v>57750</v>
      </c>
      <c r="S424" s="15">
        <f>Table1[[#This Row],[Retail Price]]-Table1[[#This Row],[Cost Price]]</f>
        <v>25349.999999999996</v>
      </c>
      <c r="T424" s="10">
        <v>10</v>
      </c>
      <c r="U424" s="15">
        <f>Table1[[#This Row],[Profit Margin]]*Table1[[#This Row],[Order Quantity]]</f>
        <v>253499.99999999997</v>
      </c>
      <c r="V424" s="11">
        <v>0.06</v>
      </c>
      <c r="W424" s="15">
        <f t="shared" si="6"/>
        <v>15209.999999999998</v>
      </c>
      <c r="X424" s="15">
        <f>Table1[[#This Row],[Sub Total]]-Table1[[#This Row],[Discount Rp]]</f>
        <v>238289.99999999997</v>
      </c>
      <c r="Y424" s="15">
        <f ca="1">OFFSET(Helper!$C$3,MATCH(Data!$N$4:$N$1003,Helper!$C$4:$C$9,0),MATCH(Data!$O$4:$O$1003,Helper!$D$3:$F$3,0))</f>
        <v>5000</v>
      </c>
      <c r="Z424" s="16">
        <f ca="1">Table1[[#This Row],[Order Total]]+Table1[[#This Row],[Shipping Cost]]</f>
        <v>243289.99999999997</v>
      </c>
    </row>
    <row r="425" spans="1:26" ht="15.75" customHeight="1" x14ac:dyDescent="0.3">
      <c r="A425" s="9" t="s">
        <v>1086</v>
      </c>
      <c r="B425" s="18">
        <v>43140</v>
      </c>
      <c r="C425" s="10">
        <f>YEAR(Table1[[#This Row],[Order Date]])</f>
        <v>2018</v>
      </c>
      <c r="D425" s="10" t="s">
        <v>282</v>
      </c>
      <c r="E425" s="10" t="s">
        <v>283</v>
      </c>
      <c r="F425" s="10" t="s">
        <v>261</v>
      </c>
      <c r="G425" s="10" t="s">
        <v>55</v>
      </c>
      <c r="H425" s="10" t="s">
        <v>194</v>
      </c>
      <c r="I425" s="10" t="str">
        <f>VLOOKUP(Table1[[#This Row],[Account Manager ID]],Table2[[Employee ID]:[Full Name]],4,FALSE)</f>
        <v>Nabila Prakasa</v>
      </c>
      <c r="J425" s="10" t="str">
        <f>INDEX(Employee!$D$4:$D$47,MATCH($H$4:$H$1003,Employee!$A$4:$A$47,0))</f>
        <v>Nabila Prakasa</v>
      </c>
      <c r="K425" s="10" t="s">
        <v>117</v>
      </c>
      <c r="L425" s="10" t="s">
        <v>1087</v>
      </c>
      <c r="M425" s="10" t="s">
        <v>81</v>
      </c>
      <c r="N425" s="10" t="s">
        <v>60</v>
      </c>
      <c r="O425" s="10" t="s">
        <v>61</v>
      </c>
      <c r="P425" s="10">
        <v>43141</v>
      </c>
      <c r="Q425" s="15">
        <v>267600</v>
      </c>
      <c r="R425" s="15">
        <v>524850</v>
      </c>
      <c r="S425" s="15">
        <f>Table1[[#This Row],[Retail Price]]-Table1[[#This Row],[Cost Price]]</f>
        <v>257250</v>
      </c>
      <c r="T425" s="10">
        <v>29</v>
      </c>
      <c r="U425" s="15">
        <f>Table1[[#This Row],[Profit Margin]]*Table1[[#This Row],[Order Quantity]]</f>
        <v>7460250</v>
      </c>
      <c r="V425" s="11">
        <v>0.09</v>
      </c>
      <c r="W425" s="15">
        <f t="shared" si="6"/>
        <v>671422.5</v>
      </c>
      <c r="X425" s="15">
        <f>Table1[[#This Row],[Sub Total]]-Table1[[#This Row],[Discount Rp]]</f>
        <v>6788827.5</v>
      </c>
      <c r="Y425" s="15">
        <f ca="1">OFFSET(Helper!$C$3,MATCH(Data!$N$4:$N$1003,Helper!$C$4:$C$9,0),MATCH(Data!$O$4:$O$1003,Helper!$D$3:$F$3,0))</f>
        <v>15000</v>
      </c>
      <c r="Z425" s="16">
        <f ca="1">Table1[[#This Row],[Order Total]]+Table1[[#This Row],[Shipping Cost]]</f>
        <v>6803827.5</v>
      </c>
    </row>
    <row r="426" spans="1:26" ht="15.75" customHeight="1" x14ac:dyDescent="0.3">
      <c r="A426" s="9" t="s">
        <v>1088</v>
      </c>
      <c r="B426" s="18">
        <v>43141</v>
      </c>
      <c r="C426" s="10">
        <f>YEAR(Table1[[#This Row],[Order Date]])</f>
        <v>2018</v>
      </c>
      <c r="D426" s="10" t="s">
        <v>1089</v>
      </c>
      <c r="E426" s="10" t="s">
        <v>251</v>
      </c>
      <c r="F426" s="10" t="s">
        <v>71</v>
      </c>
      <c r="G426" s="10" t="s">
        <v>72</v>
      </c>
      <c r="H426" s="10" t="s">
        <v>122</v>
      </c>
      <c r="I426" s="10" t="str">
        <f>VLOOKUP(Table1[[#This Row],[Account Manager ID]],Table2[[Employee ID]:[Full Name]],4,FALSE)</f>
        <v>Ophelia Mustofa</v>
      </c>
      <c r="J426" s="10" t="str">
        <f>INDEX(Employee!$D$4:$D$47,MATCH($H$4:$H$1003,Employee!$A$4:$A$47,0))</f>
        <v>Ophelia Mustofa</v>
      </c>
      <c r="K426" s="10" t="s">
        <v>57</v>
      </c>
      <c r="L426" s="10" t="s">
        <v>200</v>
      </c>
      <c r="M426" s="10" t="s">
        <v>59</v>
      </c>
      <c r="N426" s="10" t="s">
        <v>136</v>
      </c>
      <c r="O426" s="10" t="s">
        <v>61</v>
      </c>
      <c r="P426" s="10">
        <v>43143</v>
      </c>
      <c r="Q426" s="15">
        <v>71850</v>
      </c>
      <c r="R426" s="15">
        <v>179550</v>
      </c>
      <c r="S426" s="15">
        <f>Table1[[#This Row],[Retail Price]]-Table1[[#This Row],[Cost Price]]</f>
        <v>107700</v>
      </c>
      <c r="T426" s="10">
        <v>23</v>
      </c>
      <c r="U426" s="15">
        <f>Table1[[#This Row],[Profit Margin]]*Table1[[#This Row],[Order Quantity]]</f>
        <v>2477100</v>
      </c>
      <c r="V426" s="11">
        <v>0.01</v>
      </c>
      <c r="W426" s="15">
        <f t="shared" si="6"/>
        <v>24771</v>
      </c>
      <c r="X426" s="15">
        <f>Table1[[#This Row],[Sub Total]]-Table1[[#This Row],[Discount Rp]]</f>
        <v>2452329</v>
      </c>
      <c r="Y426" s="15">
        <f ca="1">OFFSET(Helper!$C$3,MATCH(Data!$N$4:$N$1003,Helper!$C$4:$C$9,0),MATCH(Data!$O$4:$O$1003,Helper!$D$3:$F$3,0))</f>
        <v>10000</v>
      </c>
      <c r="Z426" s="16">
        <f ca="1">Table1[[#This Row],[Order Total]]+Table1[[#This Row],[Shipping Cost]]</f>
        <v>2462329</v>
      </c>
    </row>
    <row r="427" spans="1:26" ht="15.75" customHeight="1" x14ac:dyDescent="0.3">
      <c r="A427" s="9" t="s">
        <v>1090</v>
      </c>
      <c r="B427" s="18">
        <v>43144</v>
      </c>
      <c r="C427" s="10">
        <f>YEAR(Table1[[#This Row],[Order Date]])</f>
        <v>2018</v>
      </c>
      <c r="D427" s="10" t="s">
        <v>1091</v>
      </c>
      <c r="E427" s="10" t="s">
        <v>101</v>
      </c>
      <c r="F427" s="10" t="s">
        <v>71</v>
      </c>
      <c r="G427" s="10" t="s">
        <v>106</v>
      </c>
      <c r="H427" s="10" t="s">
        <v>97</v>
      </c>
      <c r="I427" s="10" t="str">
        <f>VLOOKUP(Table1[[#This Row],[Account Manager ID]],Table2[[Employee ID]:[Full Name]],4,FALSE)</f>
        <v>Violet Mentari</v>
      </c>
      <c r="J427" s="10" t="str">
        <f>INDEX(Employee!$D$4:$D$47,MATCH($H$4:$H$1003,Employee!$A$4:$A$47,0))</f>
        <v>Violet Mentari</v>
      </c>
      <c r="K427" s="10" t="s">
        <v>107</v>
      </c>
      <c r="L427" s="10" t="s">
        <v>761</v>
      </c>
      <c r="M427" s="10" t="s">
        <v>59</v>
      </c>
      <c r="N427" s="10" t="s">
        <v>60</v>
      </c>
      <c r="O427" s="10" t="s">
        <v>61</v>
      </c>
      <c r="P427" s="10">
        <v>43146</v>
      </c>
      <c r="Q427" s="15">
        <v>781050</v>
      </c>
      <c r="R427" s="15">
        <v>1259700</v>
      </c>
      <c r="S427" s="15">
        <f>Table1[[#This Row],[Retail Price]]-Table1[[#This Row],[Cost Price]]</f>
        <v>478650</v>
      </c>
      <c r="T427" s="10">
        <v>24</v>
      </c>
      <c r="U427" s="15">
        <f>Table1[[#This Row],[Profit Margin]]*Table1[[#This Row],[Order Quantity]]</f>
        <v>11487600</v>
      </c>
      <c r="V427" s="11">
        <v>0.05</v>
      </c>
      <c r="W427" s="15">
        <f t="shared" si="6"/>
        <v>574380</v>
      </c>
      <c r="X427" s="15">
        <f>Table1[[#This Row],[Sub Total]]-Table1[[#This Row],[Discount Rp]]</f>
        <v>10913220</v>
      </c>
      <c r="Y427" s="15">
        <f ca="1">OFFSET(Helper!$C$3,MATCH(Data!$N$4:$N$1003,Helper!$C$4:$C$9,0),MATCH(Data!$O$4:$O$1003,Helper!$D$3:$F$3,0))</f>
        <v>15000</v>
      </c>
      <c r="Z427" s="16">
        <f ca="1">Table1[[#This Row],[Order Total]]+Table1[[#This Row],[Shipping Cost]]</f>
        <v>10928220</v>
      </c>
    </row>
    <row r="428" spans="1:26" ht="15.75" customHeight="1" x14ac:dyDescent="0.3">
      <c r="A428" s="9" t="s">
        <v>1092</v>
      </c>
      <c r="B428" s="18">
        <v>43145</v>
      </c>
      <c r="C428" s="10">
        <f>YEAR(Table1[[#This Row],[Order Date]])</f>
        <v>2018</v>
      </c>
      <c r="D428" s="10" t="s">
        <v>1093</v>
      </c>
      <c r="E428" s="10" t="s">
        <v>1094</v>
      </c>
      <c r="F428" s="10" t="s">
        <v>71</v>
      </c>
      <c r="G428" s="10" t="s">
        <v>55</v>
      </c>
      <c r="H428" s="10" t="s">
        <v>88</v>
      </c>
      <c r="I428" s="10" t="str">
        <f>VLOOKUP(Table1[[#This Row],[Account Manager ID]],Table2[[Employee ID]:[Full Name]],4,FALSE)</f>
        <v>Bagiya Sihombing</v>
      </c>
      <c r="J428" s="10" t="str">
        <f>INDEX(Employee!$D$4:$D$47,MATCH($H$4:$H$1003,Employee!$A$4:$A$47,0))</f>
        <v>Bagiya Sihombing</v>
      </c>
      <c r="K428" s="10" t="s">
        <v>57</v>
      </c>
      <c r="L428" s="10" t="s">
        <v>118</v>
      </c>
      <c r="M428" s="10" t="s">
        <v>59</v>
      </c>
      <c r="N428" s="10" t="s">
        <v>60</v>
      </c>
      <c r="O428" s="10" t="s">
        <v>61</v>
      </c>
      <c r="P428" s="10">
        <v>43147</v>
      </c>
      <c r="Q428" s="15">
        <v>73350</v>
      </c>
      <c r="R428" s="15">
        <v>114600</v>
      </c>
      <c r="S428" s="15">
        <f>Table1[[#This Row],[Retail Price]]-Table1[[#This Row],[Cost Price]]</f>
        <v>41250</v>
      </c>
      <c r="T428" s="10">
        <v>12</v>
      </c>
      <c r="U428" s="15">
        <f>Table1[[#This Row],[Profit Margin]]*Table1[[#This Row],[Order Quantity]]</f>
        <v>495000</v>
      </c>
      <c r="V428" s="11">
        <v>0.02</v>
      </c>
      <c r="W428" s="15">
        <f t="shared" si="6"/>
        <v>9900</v>
      </c>
      <c r="X428" s="15">
        <f>Table1[[#This Row],[Sub Total]]-Table1[[#This Row],[Discount Rp]]</f>
        <v>485100</v>
      </c>
      <c r="Y428" s="15">
        <f ca="1">OFFSET(Helper!$C$3,MATCH(Data!$N$4:$N$1003,Helper!$C$4:$C$9,0),MATCH(Data!$O$4:$O$1003,Helper!$D$3:$F$3,0))</f>
        <v>15000</v>
      </c>
      <c r="Z428" s="16">
        <f ca="1">Table1[[#This Row],[Order Total]]+Table1[[#This Row],[Shipping Cost]]</f>
        <v>500100</v>
      </c>
    </row>
    <row r="429" spans="1:26" ht="15.75" customHeight="1" x14ac:dyDescent="0.3">
      <c r="A429" s="9" t="s">
        <v>1095</v>
      </c>
      <c r="B429" s="18">
        <v>43146</v>
      </c>
      <c r="C429" s="10">
        <f>YEAR(Table1[[#This Row],[Order Date]])</f>
        <v>2018</v>
      </c>
      <c r="D429" s="10" t="s">
        <v>1096</v>
      </c>
      <c r="E429" s="10" t="s">
        <v>813</v>
      </c>
      <c r="F429" s="10" t="s">
        <v>54</v>
      </c>
      <c r="G429" s="10" t="s">
        <v>87</v>
      </c>
      <c r="H429" s="10" t="s">
        <v>65</v>
      </c>
      <c r="I429" s="10" t="str">
        <f>VLOOKUP(Table1[[#This Row],[Account Manager ID]],Table2[[Employee ID]:[Full Name]],4,FALSE)</f>
        <v>Laras Nuraini</v>
      </c>
      <c r="J429" s="10" t="str">
        <f>INDEX(Employee!$D$4:$D$47,MATCH($H$4:$H$1003,Employee!$A$4:$A$47,0))</f>
        <v>Laras Nuraini</v>
      </c>
      <c r="K429" s="10" t="s">
        <v>92</v>
      </c>
      <c r="L429" s="10" t="s">
        <v>173</v>
      </c>
      <c r="M429" s="10" t="s">
        <v>59</v>
      </c>
      <c r="N429" s="10" t="s">
        <v>67</v>
      </c>
      <c r="O429" s="10" t="s">
        <v>61</v>
      </c>
      <c r="P429" s="10">
        <v>43150</v>
      </c>
      <c r="Q429" s="15">
        <v>37800</v>
      </c>
      <c r="R429" s="15">
        <v>60000</v>
      </c>
      <c r="S429" s="15">
        <f>Table1[[#This Row],[Retail Price]]-Table1[[#This Row],[Cost Price]]</f>
        <v>22200</v>
      </c>
      <c r="T429" s="10">
        <v>32</v>
      </c>
      <c r="U429" s="15">
        <f>Table1[[#This Row],[Profit Margin]]*Table1[[#This Row],[Order Quantity]]</f>
        <v>710400</v>
      </c>
      <c r="V429" s="11">
        <v>0.09</v>
      </c>
      <c r="W429" s="15">
        <f t="shared" si="6"/>
        <v>63936</v>
      </c>
      <c r="X429" s="15">
        <f>Table1[[#This Row],[Sub Total]]-Table1[[#This Row],[Discount Rp]]</f>
        <v>646464</v>
      </c>
      <c r="Y429" s="15">
        <f ca="1">OFFSET(Helper!$C$3,MATCH(Data!$N$4:$N$1003,Helper!$C$4:$C$9,0),MATCH(Data!$O$4:$O$1003,Helper!$D$3:$F$3,0))</f>
        <v>5000</v>
      </c>
      <c r="Z429" s="16">
        <f ca="1">Table1[[#This Row],[Order Total]]+Table1[[#This Row],[Shipping Cost]]</f>
        <v>651464</v>
      </c>
    </row>
    <row r="430" spans="1:26" ht="15.75" customHeight="1" x14ac:dyDescent="0.3">
      <c r="A430" s="9" t="s">
        <v>1097</v>
      </c>
      <c r="B430" s="18">
        <v>43146</v>
      </c>
      <c r="C430" s="10">
        <f>YEAR(Table1[[#This Row],[Order Date]])</f>
        <v>2018</v>
      </c>
      <c r="D430" s="10" t="s">
        <v>1098</v>
      </c>
      <c r="E430" s="10" t="s">
        <v>1032</v>
      </c>
      <c r="F430" s="10" t="s">
        <v>71</v>
      </c>
      <c r="G430" s="10" t="s">
        <v>87</v>
      </c>
      <c r="H430" s="10" t="s">
        <v>304</v>
      </c>
      <c r="I430" s="10" t="str">
        <f>VLOOKUP(Table1[[#This Row],[Account Manager ID]],Table2[[Employee ID]:[Full Name]],4,FALSE)</f>
        <v>Sutan Tirtayasa Wasita</v>
      </c>
      <c r="J430" s="10" t="str">
        <f>INDEX(Employee!$D$4:$D$47,MATCH($H$4:$H$1003,Employee!$A$4:$A$47,0))</f>
        <v>Sutan Tirtayasa Wasita</v>
      </c>
      <c r="K430" s="10" t="s">
        <v>117</v>
      </c>
      <c r="L430" s="10" t="s">
        <v>410</v>
      </c>
      <c r="M430" s="10" t="s">
        <v>81</v>
      </c>
      <c r="N430" s="10" t="s">
        <v>60</v>
      </c>
      <c r="O430" s="10" t="s">
        <v>61</v>
      </c>
      <c r="P430" s="10">
        <v>43147</v>
      </c>
      <c r="Q430" s="15">
        <v>97650</v>
      </c>
      <c r="R430" s="15">
        <v>464700</v>
      </c>
      <c r="S430" s="15">
        <f>Table1[[#This Row],[Retail Price]]-Table1[[#This Row],[Cost Price]]</f>
        <v>367050</v>
      </c>
      <c r="T430" s="10">
        <v>12</v>
      </c>
      <c r="U430" s="15">
        <f>Table1[[#This Row],[Profit Margin]]*Table1[[#This Row],[Order Quantity]]</f>
        <v>4404600</v>
      </c>
      <c r="V430" s="11">
        <v>0</v>
      </c>
      <c r="W430" s="15">
        <f t="shared" si="6"/>
        <v>0</v>
      </c>
      <c r="X430" s="15">
        <f>Table1[[#This Row],[Sub Total]]-Table1[[#This Row],[Discount Rp]]</f>
        <v>4404600</v>
      </c>
      <c r="Y430" s="15">
        <f ca="1">OFFSET(Helper!$C$3,MATCH(Data!$N$4:$N$1003,Helper!$C$4:$C$9,0),MATCH(Data!$O$4:$O$1003,Helper!$D$3:$F$3,0))</f>
        <v>15000</v>
      </c>
      <c r="Z430" s="16">
        <f ca="1">Table1[[#This Row],[Order Total]]+Table1[[#This Row],[Shipping Cost]]</f>
        <v>4419600</v>
      </c>
    </row>
    <row r="431" spans="1:26" ht="15.75" customHeight="1" x14ac:dyDescent="0.3">
      <c r="A431" s="9" t="s">
        <v>1099</v>
      </c>
      <c r="B431" s="18">
        <v>43150</v>
      </c>
      <c r="C431" s="10">
        <f>YEAR(Table1[[#This Row],[Order Date]])</f>
        <v>2018</v>
      </c>
      <c r="D431" s="10" t="s">
        <v>865</v>
      </c>
      <c r="E431" s="10" t="s">
        <v>866</v>
      </c>
      <c r="F431" s="10" t="s">
        <v>261</v>
      </c>
      <c r="G431" s="10" t="s">
        <v>72</v>
      </c>
      <c r="H431" s="10" t="s">
        <v>112</v>
      </c>
      <c r="I431" s="10" t="str">
        <f>VLOOKUP(Table1[[#This Row],[Account Manager ID]],Table2[[Employee ID]:[Full Name]],4,FALSE)</f>
        <v>Paiman Firgantoro</v>
      </c>
      <c r="J431" s="10" t="str">
        <f>INDEX(Employee!$D$4:$D$47,MATCH($H$4:$H$1003,Employee!$A$4:$A$47,0))</f>
        <v>Paiman Firgantoro</v>
      </c>
      <c r="K431" s="10" t="s">
        <v>117</v>
      </c>
      <c r="L431" s="10" t="s">
        <v>751</v>
      </c>
      <c r="M431" s="10" t="s">
        <v>81</v>
      </c>
      <c r="N431" s="10" t="s">
        <v>459</v>
      </c>
      <c r="O431" s="10" t="s">
        <v>76</v>
      </c>
      <c r="P431" s="10">
        <v>43152</v>
      </c>
      <c r="Q431" s="15">
        <v>5669850</v>
      </c>
      <c r="R431" s="15">
        <v>8999850</v>
      </c>
      <c r="S431" s="15">
        <f>Table1[[#This Row],[Retail Price]]-Table1[[#This Row],[Cost Price]]</f>
        <v>3330000</v>
      </c>
      <c r="T431" s="10">
        <v>41</v>
      </c>
      <c r="U431" s="15">
        <f>Table1[[#This Row],[Profit Margin]]*Table1[[#This Row],[Order Quantity]]</f>
        <v>136530000</v>
      </c>
      <c r="V431" s="11">
        <v>7.0000000000000007E-2</v>
      </c>
      <c r="W431" s="15">
        <f t="shared" si="6"/>
        <v>9557100</v>
      </c>
      <c r="X431" s="15">
        <f>Table1[[#This Row],[Sub Total]]-Table1[[#This Row],[Discount Rp]]</f>
        <v>126972900</v>
      </c>
      <c r="Y431" s="15">
        <f ca="1">OFFSET(Helper!$C$3,MATCH(Data!$N$4:$N$1003,Helper!$C$4:$C$9,0),MATCH(Data!$O$4:$O$1003,Helper!$D$3:$F$3,0))</f>
        <v>100000</v>
      </c>
      <c r="Z431" s="16">
        <f ca="1">Table1[[#This Row],[Order Total]]+Table1[[#This Row],[Shipping Cost]]</f>
        <v>127072900</v>
      </c>
    </row>
    <row r="432" spans="1:26" ht="15.75" customHeight="1" x14ac:dyDescent="0.3">
      <c r="A432" s="9" t="s">
        <v>1100</v>
      </c>
      <c r="B432" s="18">
        <v>43153</v>
      </c>
      <c r="C432" s="10">
        <f>YEAR(Table1[[#This Row],[Order Date]])</f>
        <v>2018</v>
      </c>
      <c r="D432" s="10" t="s">
        <v>1101</v>
      </c>
      <c r="E432" s="10" t="s">
        <v>1102</v>
      </c>
      <c r="F432" s="10" t="s">
        <v>71</v>
      </c>
      <c r="G432" s="10" t="s">
        <v>55</v>
      </c>
      <c r="H432" s="10" t="s">
        <v>73</v>
      </c>
      <c r="I432" s="10" t="str">
        <f>VLOOKUP(Table1[[#This Row],[Account Manager ID]],Table2[[Employee ID]:[Full Name]],4,FALSE)</f>
        <v>Cinthia Gunawan</v>
      </c>
      <c r="J432" s="10" t="str">
        <f>INDEX(Employee!$D$4:$D$47,MATCH($H$4:$H$1003,Employee!$A$4:$A$47,0))</f>
        <v>Cinthia Gunawan</v>
      </c>
      <c r="K432" s="10" t="s">
        <v>57</v>
      </c>
      <c r="L432" s="10" t="s">
        <v>751</v>
      </c>
      <c r="M432" s="10" t="s">
        <v>81</v>
      </c>
      <c r="N432" s="10" t="s">
        <v>459</v>
      </c>
      <c r="O432" s="10" t="s">
        <v>61</v>
      </c>
      <c r="P432" s="10">
        <v>43155</v>
      </c>
      <c r="Q432" s="15">
        <v>5669850</v>
      </c>
      <c r="R432" s="15">
        <v>8999850</v>
      </c>
      <c r="S432" s="15">
        <f>Table1[[#This Row],[Retail Price]]-Table1[[#This Row],[Cost Price]]</f>
        <v>3330000</v>
      </c>
      <c r="T432" s="10">
        <v>20</v>
      </c>
      <c r="U432" s="15">
        <f>Table1[[#This Row],[Profit Margin]]*Table1[[#This Row],[Order Quantity]]</f>
        <v>66600000</v>
      </c>
      <c r="V432" s="11">
        <v>7.0000000000000007E-2</v>
      </c>
      <c r="W432" s="15">
        <f t="shared" si="6"/>
        <v>4662000</v>
      </c>
      <c r="X432" s="15">
        <f>Table1[[#This Row],[Sub Total]]-Table1[[#This Row],[Discount Rp]]</f>
        <v>61938000</v>
      </c>
      <c r="Y432" s="15">
        <f ca="1">OFFSET(Helper!$C$3,MATCH(Data!$N$4:$N$1003,Helper!$C$4:$C$9,0),MATCH(Data!$O$4:$O$1003,Helper!$D$3:$F$3,0))</f>
        <v>50000</v>
      </c>
      <c r="Z432" s="16">
        <f ca="1">Table1[[#This Row],[Order Total]]+Table1[[#This Row],[Shipping Cost]]</f>
        <v>61988000</v>
      </c>
    </row>
    <row r="433" spans="1:26" ht="15.75" customHeight="1" x14ac:dyDescent="0.3">
      <c r="A433" s="9" t="s">
        <v>1103</v>
      </c>
      <c r="B433" s="18">
        <v>43154</v>
      </c>
      <c r="C433" s="10">
        <f>YEAR(Table1[[#This Row],[Order Date]])</f>
        <v>2018</v>
      </c>
      <c r="D433" s="10" t="s">
        <v>1104</v>
      </c>
      <c r="E433" s="10" t="s">
        <v>53</v>
      </c>
      <c r="F433" s="10" t="s">
        <v>54</v>
      </c>
      <c r="G433" s="10" t="s">
        <v>55</v>
      </c>
      <c r="H433" s="10" t="s">
        <v>56</v>
      </c>
      <c r="I433" s="10" t="str">
        <f>VLOOKUP(Table1[[#This Row],[Account Manager ID]],Table2[[Employee ID]:[Full Name]],4,FALSE)</f>
        <v>Gaduh Pratama</v>
      </c>
      <c r="J433" s="10" t="str">
        <f>INDEX(Employee!$D$4:$D$47,MATCH($H$4:$H$1003,Employee!$A$4:$A$47,0))</f>
        <v>Gaduh Pratama</v>
      </c>
      <c r="K433" s="10" t="s">
        <v>74</v>
      </c>
      <c r="L433" s="10" t="s">
        <v>1105</v>
      </c>
      <c r="M433" s="10" t="s">
        <v>59</v>
      </c>
      <c r="N433" s="10" t="s">
        <v>67</v>
      </c>
      <c r="O433" s="10" t="s">
        <v>61</v>
      </c>
      <c r="P433" s="10">
        <v>43155</v>
      </c>
      <c r="Q433" s="15">
        <v>14100</v>
      </c>
      <c r="R433" s="15">
        <v>28200</v>
      </c>
      <c r="S433" s="15">
        <f>Table1[[#This Row],[Retail Price]]-Table1[[#This Row],[Cost Price]]</f>
        <v>14100</v>
      </c>
      <c r="T433" s="10">
        <v>36</v>
      </c>
      <c r="U433" s="15">
        <f>Table1[[#This Row],[Profit Margin]]*Table1[[#This Row],[Order Quantity]]</f>
        <v>507600</v>
      </c>
      <c r="V433" s="11">
        <v>0.1</v>
      </c>
      <c r="W433" s="15">
        <f t="shared" si="6"/>
        <v>50760</v>
      </c>
      <c r="X433" s="15">
        <f>Table1[[#This Row],[Sub Total]]-Table1[[#This Row],[Discount Rp]]</f>
        <v>456840</v>
      </c>
      <c r="Y433" s="15">
        <f ca="1">OFFSET(Helper!$C$3,MATCH(Data!$N$4:$N$1003,Helper!$C$4:$C$9,0),MATCH(Data!$O$4:$O$1003,Helper!$D$3:$F$3,0))</f>
        <v>5000</v>
      </c>
      <c r="Z433" s="16">
        <f ca="1">Table1[[#This Row],[Order Total]]+Table1[[#This Row],[Shipping Cost]]</f>
        <v>461840</v>
      </c>
    </row>
    <row r="434" spans="1:26" ht="15.75" customHeight="1" x14ac:dyDescent="0.3">
      <c r="A434" s="9" t="s">
        <v>1106</v>
      </c>
      <c r="B434" s="18">
        <v>43159</v>
      </c>
      <c r="C434" s="10">
        <f>YEAR(Table1[[#This Row],[Order Date]])</f>
        <v>2018</v>
      </c>
      <c r="D434" s="10" t="s">
        <v>961</v>
      </c>
      <c r="E434" s="10" t="s">
        <v>962</v>
      </c>
      <c r="F434" s="10" t="s">
        <v>261</v>
      </c>
      <c r="G434" s="10" t="s">
        <v>87</v>
      </c>
      <c r="H434" s="10" t="s">
        <v>97</v>
      </c>
      <c r="I434" s="10" t="str">
        <f>VLOOKUP(Table1[[#This Row],[Account Manager ID]],Table2[[Employee ID]:[Full Name]],4,FALSE)</f>
        <v>Violet Mentari</v>
      </c>
      <c r="J434" s="10" t="str">
        <f>INDEX(Employee!$D$4:$D$47,MATCH($H$4:$H$1003,Employee!$A$4:$A$47,0))</f>
        <v>Violet Mentari</v>
      </c>
      <c r="K434" s="10" t="s">
        <v>107</v>
      </c>
      <c r="L434" s="10" t="s">
        <v>573</v>
      </c>
      <c r="M434" s="10" t="s">
        <v>81</v>
      </c>
      <c r="N434" s="10" t="s">
        <v>60</v>
      </c>
      <c r="O434" s="10" t="s">
        <v>61</v>
      </c>
      <c r="P434" s="10">
        <v>43161</v>
      </c>
      <c r="Q434" s="15">
        <v>936000</v>
      </c>
      <c r="R434" s="15">
        <v>2339850</v>
      </c>
      <c r="S434" s="15">
        <f>Table1[[#This Row],[Retail Price]]-Table1[[#This Row],[Cost Price]]</f>
        <v>1403850</v>
      </c>
      <c r="T434" s="10">
        <v>6</v>
      </c>
      <c r="U434" s="15">
        <f>Table1[[#This Row],[Profit Margin]]*Table1[[#This Row],[Order Quantity]]</f>
        <v>8423100</v>
      </c>
      <c r="V434" s="11">
        <v>0.02</v>
      </c>
      <c r="W434" s="15">
        <f t="shared" si="6"/>
        <v>168462</v>
      </c>
      <c r="X434" s="15">
        <f>Table1[[#This Row],[Sub Total]]-Table1[[#This Row],[Discount Rp]]</f>
        <v>8254638</v>
      </c>
      <c r="Y434" s="15">
        <f ca="1">OFFSET(Helper!$C$3,MATCH(Data!$N$4:$N$1003,Helper!$C$4:$C$9,0),MATCH(Data!$O$4:$O$1003,Helper!$D$3:$F$3,0))</f>
        <v>15000</v>
      </c>
      <c r="Z434" s="16">
        <f ca="1">Table1[[#This Row],[Order Total]]+Table1[[#This Row],[Shipping Cost]]</f>
        <v>8269638</v>
      </c>
    </row>
    <row r="435" spans="1:26" ht="15.75" customHeight="1" x14ac:dyDescent="0.3">
      <c r="A435" s="9" t="s">
        <v>1107</v>
      </c>
      <c r="B435" s="18">
        <v>43159</v>
      </c>
      <c r="C435" s="10">
        <f>YEAR(Table1[[#This Row],[Order Date]])</f>
        <v>2018</v>
      </c>
      <c r="D435" s="10" t="s">
        <v>1108</v>
      </c>
      <c r="E435" s="10" t="s">
        <v>990</v>
      </c>
      <c r="F435" s="10" t="s">
        <v>71</v>
      </c>
      <c r="G435" s="10" t="s">
        <v>87</v>
      </c>
      <c r="H435" s="10" t="s">
        <v>316</v>
      </c>
      <c r="I435" s="10" t="str">
        <f>VLOOKUP(Table1[[#This Row],[Account Manager ID]],Table2[[Employee ID]:[Full Name]],4,FALSE)</f>
        <v>Sari Winarno</v>
      </c>
      <c r="J435" s="10" t="str">
        <f>INDEX(Employee!$D$4:$D$47,MATCH($H$4:$H$1003,Employee!$A$4:$A$47,0))</f>
        <v>Sari Winarno</v>
      </c>
      <c r="K435" s="10" t="s">
        <v>92</v>
      </c>
      <c r="L435" s="10" t="s">
        <v>419</v>
      </c>
      <c r="M435" s="10" t="s">
        <v>59</v>
      </c>
      <c r="N435" s="10" t="s">
        <v>60</v>
      </c>
      <c r="O435" s="10" t="s">
        <v>61</v>
      </c>
      <c r="P435" s="10">
        <v>43164</v>
      </c>
      <c r="Q435" s="15">
        <v>66900</v>
      </c>
      <c r="R435" s="15">
        <v>163350</v>
      </c>
      <c r="S435" s="15">
        <f>Table1[[#This Row],[Retail Price]]-Table1[[#This Row],[Cost Price]]</f>
        <v>96450</v>
      </c>
      <c r="T435" s="10">
        <v>8</v>
      </c>
      <c r="U435" s="15">
        <f>Table1[[#This Row],[Profit Margin]]*Table1[[#This Row],[Order Quantity]]</f>
        <v>771600</v>
      </c>
      <c r="V435" s="11">
        <v>0.09</v>
      </c>
      <c r="W435" s="15">
        <f t="shared" si="6"/>
        <v>69444</v>
      </c>
      <c r="X435" s="15">
        <f>Table1[[#This Row],[Sub Total]]-Table1[[#This Row],[Discount Rp]]</f>
        <v>702156</v>
      </c>
      <c r="Y435" s="15">
        <f ca="1">OFFSET(Helper!$C$3,MATCH(Data!$N$4:$N$1003,Helper!$C$4:$C$9,0),MATCH(Data!$O$4:$O$1003,Helper!$D$3:$F$3,0))</f>
        <v>15000</v>
      </c>
      <c r="Z435" s="16">
        <f ca="1">Table1[[#This Row],[Order Total]]+Table1[[#This Row],[Shipping Cost]]</f>
        <v>717156</v>
      </c>
    </row>
    <row r="436" spans="1:26" ht="15.75" customHeight="1" x14ac:dyDescent="0.3">
      <c r="A436" s="9" t="s">
        <v>1109</v>
      </c>
      <c r="B436" s="18">
        <v>43160</v>
      </c>
      <c r="C436" s="10">
        <f>YEAR(Table1[[#This Row],[Order Date]])</f>
        <v>2018</v>
      </c>
      <c r="D436" s="10" t="s">
        <v>110</v>
      </c>
      <c r="E436" s="10" t="s">
        <v>111</v>
      </c>
      <c r="F436" s="10" t="s">
        <v>71</v>
      </c>
      <c r="G436" s="10" t="s">
        <v>72</v>
      </c>
      <c r="H436" s="10" t="s">
        <v>112</v>
      </c>
      <c r="I436" s="10" t="str">
        <f>VLOOKUP(Table1[[#This Row],[Account Manager ID]],Table2[[Employee ID]:[Full Name]],4,FALSE)</f>
        <v>Paiman Firgantoro</v>
      </c>
      <c r="J436" s="10" t="str">
        <f>INDEX(Employee!$D$4:$D$47,MATCH($H$4:$H$1003,Employee!$A$4:$A$47,0))</f>
        <v>Paiman Firgantoro</v>
      </c>
      <c r="K436" s="10" t="s">
        <v>57</v>
      </c>
      <c r="L436" s="10" t="s">
        <v>468</v>
      </c>
      <c r="M436" s="10" t="s">
        <v>59</v>
      </c>
      <c r="N436" s="10" t="s">
        <v>67</v>
      </c>
      <c r="O436" s="10" t="s">
        <v>61</v>
      </c>
      <c r="P436" s="10">
        <v>43162</v>
      </c>
      <c r="Q436" s="15">
        <v>13950</v>
      </c>
      <c r="R436" s="15">
        <v>22200</v>
      </c>
      <c r="S436" s="15">
        <f>Table1[[#This Row],[Retail Price]]-Table1[[#This Row],[Cost Price]]</f>
        <v>8250</v>
      </c>
      <c r="T436" s="10">
        <v>28</v>
      </c>
      <c r="U436" s="15">
        <f>Table1[[#This Row],[Profit Margin]]*Table1[[#This Row],[Order Quantity]]</f>
        <v>231000</v>
      </c>
      <c r="V436" s="11">
        <v>0.04</v>
      </c>
      <c r="W436" s="15">
        <f t="shared" si="6"/>
        <v>9240</v>
      </c>
      <c r="X436" s="15">
        <f>Table1[[#This Row],[Sub Total]]-Table1[[#This Row],[Discount Rp]]</f>
        <v>221760</v>
      </c>
      <c r="Y436" s="15">
        <f ca="1">OFFSET(Helper!$C$3,MATCH(Data!$N$4:$N$1003,Helper!$C$4:$C$9,0),MATCH(Data!$O$4:$O$1003,Helper!$D$3:$F$3,0))</f>
        <v>5000</v>
      </c>
      <c r="Z436" s="16">
        <f ca="1">Table1[[#This Row],[Order Total]]+Table1[[#This Row],[Shipping Cost]]</f>
        <v>226760</v>
      </c>
    </row>
    <row r="437" spans="1:26" ht="15.75" customHeight="1" x14ac:dyDescent="0.3">
      <c r="A437" s="9" t="s">
        <v>1110</v>
      </c>
      <c r="B437" s="18">
        <v>43161</v>
      </c>
      <c r="C437" s="10">
        <f>YEAR(Table1[[#This Row],[Order Date]])</f>
        <v>2018</v>
      </c>
      <c r="D437" s="10" t="s">
        <v>1048</v>
      </c>
      <c r="E437" s="10" t="s">
        <v>101</v>
      </c>
      <c r="F437" s="10" t="s">
        <v>71</v>
      </c>
      <c r="G437" s="10" t="s">
        <v>72</v>
      </c>
      <c r="H437" s="10" t="s">
        <v>97</v>
      </c>
      <c r="I437" s="10" t="str">
        <f>VLOOKUP(Table1[[#This Row],[Account Manager ID]],Table2[[Employee ID]:[Full Name]],4,FALSE)</f>
        <v>Violet Mentari</v>
      </c>
      <c r="J437" s="10" t="str">
        <f>INDEX(Employee!$D$4:$D$47,MATCH($H$4:$H$1003,Employee!$A$4:$A$47,0))</f>
        <v>Violet Mentari</v>
      </c>
      <c r="K437" s="10" t="s">
        <v>74</v>
      </c>
      <c r="L437" s="10" t="s">
        <v>390</v>
      </c>
      <c r="M437" s="10" t="s">
        <v>59</v>
      </c>
      <c r="N437" s="10" t="s">
        <v>67</v>
      </c>
      <c r="O437" s="10" t="s">
        <v>61</v>
      </c>
      <c r="P437" s="10">
        <v>43163</v>
      </c>
      <c r="Q437" s="15">
        <v>19650</v>
      </c>
      <c r="R437" s="15">
        <v>42600</v>
      </c>
      <c r="S437" s="15">
        <f>Table1[[#This Row],[Retail Price]]-Table1[[#This Row],[Cost Price]]</f>
        <v>22950</v>
      </c>
      <c r="T437" s="10">
        <v>12</v>
      </c>
      <c r="U437" s="15">
        <f>Table1[[#This Row],[Profit Margin]]*Table1[[#This Row],[Order Quantity]]</f>
        <v>275400</v>
      </c>
      <c r="V437" s="11">
        <v>0.1</v>
      </c>
      <c r="W437" s="15">
        <f t="shared" si="6"/>
        <v>27540</v>
      </c>
      <c r="X437" s="15">
        <f>Table1[[#This Row],[Sub Total]]-Table1[[#This Row],[Discount Rp]]</f>
        <v>247860</v>
      </c>
      <c r="Y437" s="15">
        <f ca="1">OFFSET(Helper!$C$3,MATCH(Data!$N$4:$N$1003,Helper!$C$4:$C$9,0),MATCH(Data!$O$4:$O$1003,Helper!$D$3:$F$3,0))</f>
        <v>5000</v>
      </c>
      <c r="Z437" s="16">
        <f ca="1">Table1[[#This Row],[Order Total]]+Table1[[#This Row],[Shipping Cost]]</f>
        <v>252860</v>
      </c>
    </row>
    <row r="438" spans="1:26" ht="15.75" customHeight="1" x14ac:dyDescent="0.3">
      <c r="A438" s="9" t="s">
        <v>1111</v>
      </c>
      <c r="B438" s="18">
        <v>43162</v>
      </c>
      <c r="C438" s="10">
        <f>YEAR(Table1[[#This Row],[Order Date]])</f>
        <v>2018</v>
      </c>
      <c r="D438" s="10" t="s">
        <v>1089</v>
      </c>
      <c r="E438" s="10" t="s">
        <v>251</v>
      </c>
      <c r="F438" s="10" t="s">
        <v>71</v>
      </c>
      <c r="G438" s="10" t="s">
        <v>72</v>
      </c>
      <c r="H438" s="10" t="s">
        <v>122</v>
      </c>
      <c r="I438" s="10" t="str">
        <f>VLOOKUP(Table1[[#This Row],[Account Manager ID]],Table2[[Employee ID]:[Full Name]],4,FALSE)</f>
        <v>Ophelia Mustofa</v>
      </c>
      <c r="J438" s="10" t="str">
        <f>INDEX(Employee!$D$4:$D$47,MATCH($H$4:$H$1003,Employee!$A$4:$A$47,0))</f>
        <v>Ophelia Mustofa</v>
      </c>
      <c r="K438" s="10" t="s">
        <v>117</v>
      </c>
      <c r="L438" s="10" t="s">
        <v>471</v>
      </c>
      <c r="M438" s="10" t="s">
        <v>59</v>
      </c>
      <c r="N438" s="10" t="s">
        <v>60</v>
      </c>
      <c r="O438" s="10" t="s">
        <v>76</v>
      </c>
      <c r="P438" s="10">
        <v>43164</v>
      </c>
      <c r="Q438" s="15">
        <v>1015950.0000000001</v>
      </c>
      <c r="R438" s="15">
        <v>2478000</v>
      </c>
      <c r="S438" s="15">
        <f>Table1[[#This Row],[Retail Price]]-Table1[[#This Row],[Cost Price]]</f>
        <v>1462050</v>
      </c>
      <c r="T438" s="10">
        <v>46</v>
      </c>
      <c r="U438" s="15">
        <f>Table1[[#This Row],[Profit Margin]]*Table1[[#This Row],[Order Quantity]]</f>
        <v>67254300</v>
      </c>
      <c r="V438" s="11">
        <v>0.02</v>
      </c>
      <c r="W438" s="15">
        <f t="shared" si="6"/>
        <v>1345086</v>
      </c>
      <c r="X438" s="15">
        <f>Table1[[#This Row],[Sub Total]]-Table1[[#This Row],[Discount Rp]]</f>
        <v>65909214</v>
      </c>
      <c r="Y438" s="15">
        <f ca="1">OFFSET(Helper!$C$3,MATCH(Data!$N$4:$N$1003,Helper!$C$4:$C$9,0),MATCH(Data!$O$4:$O$1003,Helper!$D$3:$F$3,0))</f>
        <v>30000</v>
      </c>
      <c r="Z438" s="16">
        <f ca="1">Table1[[#This Row],[Order Total]]+Table1[[#This Row],[Shipping Cost]]</f>
        <v>65939214</v>
      </c>
    </row>
    <row r="439" spans="1:26" ht="15.75" customHeight="1" x14ac:dyDescent="0.3">
      <c r="A439" s="9" t="s">
        <v>1112</v>
      </c>
      <c r="B439" s="18">
        <v>43164</v>
      </c>
      <c r="C439" s="10">
        <f>YEAR(Table1[[#This Row],[Order Date]])</f>
        <v>2018</v>
      </c>
      <c r="D439" s="10" t="s">
        <v>452</v>
      </c>
      <c r="E439" s="10" t="s">
        <v>215</v>
      </c>
      <c r="F439" s="10" t="s">
        <v>71</v>
      </c>
      <c r="G439" s="10" t="s">
        <v>55</v>
      </c>
      <c r="H439" s="10" t="s">
        <v>146</v>
      </c>
      <c r="I439" s="10" t="str">
        <f>VLOOKUP(Table1[[#This Row],[Account Manager ID]],Table2[[Employee ID]:[Full Name]],4,FALSE)</f>
        <v>Kenari Rajasa</v>
      </c>
      <c r="J439" s="10" t="str">
        <f>INDEX(Employee!$D$4:$D$47,MATCH($H$4:$H$1003,Employee!$A$4:$A$47,0))</f>
        <v>Kenari Rajasa</v>
      </c>
      <c r="K439" s="10" t="s">
        <v>117</v>
      </c>
      <c r="L439" s="10" t="s">
        <v>190</v>
      </c>
      <c r="M439" s="10" t="s">
        <v>81</v>
      </c>
      <c r="N439" s="10" t="s">
        <v>60</v>
      </c>
      <c r="O439" s="10" t="s">
        <v>61</v>
      </c>
      <c r="P439" s="10">
        <v>43166</v>
      </c>
      <c r="Q439" s="15">
        <v>480300.00000000006</v>
      </c>
      <c r="R439" s="15">
        <v>2287200</v>
      </c>
      <c r="S439" s="15">
        <f>Table1[[#This Row],[Retail Price]]-Table1[[#This Row],[Cost Price]]</f>
        <v>1806900</v>
      </c>
      <c r="T439" s="10">
        <v>29</v>
      </c>
      <c r="U439" s="15">
        <f>Table1[[#This Row],[Profit Margin]]*Table1[[#This Row],[Order Quantity]]</f>
        <v>52400100</v>
      </c>
      <c r="V439" s="11">
        <v>0.09</v>
      </c>
      <c r="W439" s="15">
        <f t="shared" si="6"/>
        <v>4716009</v>
      </c>
      <c r="X439" s="15">
        <f>Table1[[#This Row],[Sub Total]]-Table1[[#This Row],[Discount Rp]]</f>
        <v>47684091</v>
      </c>
      <c r="Y439" s="15">
        <f ca="1">OFFSET(Helper!$C$3,MATCH(Data!$N$4:$N$1003,Helper!$C$4:$C$9,0),MATCH(Data!$O$4:$O$1003,Helper!$D$3:$F$3,0))</f>
        <v>15000</v>
      </c>
      <c r="Z439" s="16">
        <f ca="1">Table1[[#This Row],[Order Total]]+Table1[[#This Row],[Shipping Cost]]</f>
        <v>47699091</v>
      </c>
    </row>
    <row r="440" spans="1:26" ht="15.75" customHeight="1" x14ac:dyDescent="0.3">
      <c r="A440" s="9" t="s">
        <v>1113</v>
      </c>
      <c r="B440" s="18">
        <v>43165</v>
      </c>
      <c r="C440" s="10">
        <f>YEAR(Table1[[#This Row],[Order Date]])</f>
        <v>2018</v>
      </c>
      <c r="D440" s="10" t="s">
        <v>1114</v>
      </c>
      <c r="E440" s="10" t="s">
        <v>1115</v>
      </c>
      <c r="F440" s="10" t="s">
        <v>71</v>
      </c>
      <c r="G440" s="10" t="s">
        <v>55</v>
      </c>
      <c r="H440" s="10" t="s">
        <v>73</v>
      </c>
      <c r="I440" s="10" t="str">
        <f>VLOOKUP(Table1[[#This Row],[Account Manager ID]],Table2[[Employee ID]:[Full Name]],4,FALSE)</f>
        <v>Cinthia Gunawan</v>
      </c>
      <c r="J440" s="10" t="str">
        <f>INDEX(Employee!$D$4:$D$47,MATCH($H$4:$H$1003,Employee!$A$4:$A$47,0))</f>
        <v>Cinthia Gunawan</v>
      </c>
      <c r="K440" s="10" t="s">
        <v>57</v>
      </c>
      <c r="L440" s="10" t="s">
        <v>234</v>
      </c>
      <c r="M440" s="10" t="s">
        <v>59</v>
      </c>
      <c r="N440" s="10" t="s">
        <v>60</v>
      </c>
      <c r="O440" s="10" t="s">
        <v>61</v>
      </c>
      <c r="P440" s="10">
        <v>43165</v>
      </c>
      <c r="Q440" s="15">
        <v>208200</v>
      </c>
      <c r="R440" s="15">
        <v>335700</v>
      </c>
      <c r="S440" s="15">
        <f>Table1[[#This Row],[Retail Price]]-Table1[[#This Row],[Cost Price]]</f>
        <v>127500</v>
      </c>
      <c r="T440" s="10">
        <v>10</v>
      </c>
      <c r="U440" s="15">
        <f>Table1[[#This Row],[Profit Margin]]*Table1[[#This Row],[Order Quantity]]</f>
        <v>1275000</v>
      </c>
      <c r="V440" s="11">
        <v>0.01</v>
      </c>
      <c r="W440" s="15">
        <f t="shared" si="6"/>
        <v>12750</v>
      </c>
      <c r="X440" s="15">
        <f>Table1[[#This Row],[Sub Total]]-Table1[[#This Row],[Discount Rp]]</f>
        <v>1262250</v>
      </c>
      <c r="Y440" s="15">
        <f ca="1">OFFSET(Helper!$C$3,MATCH(Data!$N$4:$N$1003,Helper!$C$4:$C$9,0),MATCH(Data!$O$4:$O$1003,Helper!$D$3:$F$3,0))</f>
        <v>15000</v>
      </c>
      <c r="Z440" s="16">
        <f ca="1">Table1[[#This Row],[Order Total]]+Table1[[#This Row],[Shipping Cost]]</f>
        <v>1277250</v>
      </c>
    </row>
    <row r="441" spans="1:26" ht="15.75" customHeight="1" x14ac:dyDescent="0.3">
      <c r="A441" s="9" t="s">
        <v>1116</v>
      </c>
      <c r="B441" s="18">
        <v>43165</v>
      </c>
      <c r="C441" s="10">
        <f>YEAR(Table1[[#This Row],[Order Date]])</f>
        <v>2018</v>
      </c>
      <c r="D441" s="10" t="s">
        <v>670</v>
      </c>
      <c r="E441" s="10" t="s">
        <v>462</v>
      </c>
      <c r="F441" s="10" t="s">
        <v>71</v>
      </c>
      <c r="G441" s="10" t="s">
        <v>87</v>
      </c>
      <c r="H441" s="10" t="s">
        <v>112</v>
      </c>
      <c r="I441" s="10" t="str">
        <f>VLOOKUP(Table1[[#This Row],[Account Manager ID]],Table2[[Employee ID]:[Full Name]],4,FALSE)</f>
        <v>Paiman Firgantoro</v>
      </c>
      <c r="J441" s="10" t="str">
        <f>INDEX(Employee!$D$4:$D$47,MATCH($H$4:$H$1003,Employee!$A$4:$A$47,0))</f>
        <v>Paiman Firgantoro</v>
      </c>
      <c r="K441" s="10" t="s">
        <v>74</v>
      </c>
      <c r="L441" s="10" t="s">
        <v>390</v>
      </c>
      <c r="M441" s="10" t="s">
        <v>59</v>
      </c>
      <c r="N441" s="10" t="s">
        <v>67</v>
      </c>
      <c r="O441" s="10" t="s">
        <v>61</v>
      </c>
      <c r="P441" s="10">
        <v>43167</v>
      </c>
      <c r="Q441" s="15">
        <v>19650</v>
      </c>
      <c r="R441" s="15">
        <v>42600</v>
      </c>
      <c r="S441" s="15">
        <f>Table1[[#This Row],[Retail Price]]-Table1[[#This Row],[Cost Price]]</f>
        <v>22950</v>
      </c>
      <c r="T441" s="10">
        <v>39</v>
      </c>
      <c r="U441" s="15">
        <f>Table1[[#This Row],[Profit Margin]]*Table1[[#This Row],[Order Quantity]]</f>
        <v>895050</v>
      </c>
      <c r="V441" s="11">
        <v>0.05</v>
      </c>
      <c r="W441" s="15">
        <f t="shared" si="6"/>
        <v>44752.5</v>
      </c>
      <c r="X441" s="15">
        <f>Table1[[#This Row],[Sub Total]]-Table1[[#This Row],[Discount Rp]]</f>
        <v>850297.5</v>
      </c>
      <c r="Y441" s="15">
        <f ca="1">OFFSET(Helper!$C$3,MATCH(Data!$N$4:$N$1003,Helper!$C$4:$C$9,0),MATCH(Data!$O$4:$O$1003,Helper!$D$3:$F$3,0))</f>
        <v>5000</v>
      </c>
      <c r="Z441" s="16">
        <f ca="1">Table1[[#This Row],[Order Total]]+Table1[[#This Row],[Shipping Cost]]</f>
        <v>855297.5</v>
      </c>
    </row>
    <row r="442" spans="1:26" ht="15.75" customHeight="1" x14ac:dyDescent="0.3">
      <c r="A442" s="9" t="s">
        <v>1117</v>
      </c>
      <c r="B442" s="18">
        <v>43166</v>
      </c>
      <c r="C442" s="10">
        <f>YEAR(Table1[[#This Row],[Order Date]])</f>
        <v>2018</v>
      </c>
      <c r="D442" s="10" t="s">
        <v>1118</v>
      </c>
      <c r="E442" s="10" t="s">
        <v>1119</v>
      </c>
      <c r="F442" s="10" t="s">
        <v>71</v>
      </c>
      <c r="G442" s="10" t="s">
        <v>106</v>
      </c>
      <c r="H442" s="10" t="s">
        <v>185</v>
      </c>
      <c r="I442" s="10" t="str">
        <f>VLOOKUP(Table1[[#This Row],[Account Manager ID]],Table2[[Employee ID]:[Full Name]],4,FALSE)</f>
        <v>Clara Prasetyo</v>
      </c>
      <c r="J442" s="10" t="str">
        <f>INDEX(Employee!$D$4:$D$47,MATCH($H$4:$H$1003,Employee!$A$4:$A$47,0))</f>
        <v>Clara Prasetyo</v>
      </c>
      <c r="K442" s="10" t="s">
        <v>74</v>
      </c>
      <c r="L442" s="10" t="s">
        <v>291</v>
      </c>
      <c r="M442" s="10" t="s">
        <v>59</v>
      </c>
      <c r="N442" s="10" t="s">
        <v>60</v>
      </c>
      <c r="O442" s="10" t="s">
        <v>76</v>
      </c>
      <c r="P442" s="10">
        <v>43169</v>
      </c>
      <c r="Q442" s="15">
        <v>133800</v>
      </c>
      <c r="R442" s="15">
        <v>446100</v>
      </c>
      <c r="S442" s="15">
        <f>Table1[[#This Row],[Retail Price]]-Table1[[#This Row],[Cost Price]]</f>
        <v>312300</v>
      </c>
      <c r="T442" s="10">
        <v>34</v>
      </c>
      <c r="U442" s="15">
        <f>Table1[[#This Row],[Profit Margin]]*Table1[[#This Row],[Order Quantity]]</f>
        <v>10618200</v>
      </c>
      <c r="V442" s="11">
        <v>0.09</v>
      </c>
      <c r="W442" s="15">
        <f t="shared" si="6"/>
        <v>955638</v>
      </c>
      <c r="X442" s="15">
        <f>Table1[[#This Row],[Sub Total]]-Table1[[#This Row],[Discount Rp]]</f>
        <v>9662562</v>
      </c>
      <c r="Y442" s="15">
        <f ca="1">OFFSET(Helper!$C$3,MATCH(Data!$N$4:$N$1003,Helper!$C$4:$C$9,0),MATCH(Data!$O$4:$O$1003,Helper!$D$3:$F$3,0))</f>
        <v>30000</v>
      </c>
      <c r="Z442" s="16">
        <f ca="1">Table1[[#This Row],[Order Total]]+Table1[[#This Row],[Shipping Cost]]</f>
        <v>9692562</v>
      </c>
    </row>
    <row r="443" spans="1:26" ht="15.75" customHeight="1" x14ac:dyDescent="0.3">
      <c r="A443" s="9" t="s">
        <v>1120</v>
      </c>
      <c r="B443" s="18">
        <v>43166</v>
      </c>
      <c r="C443" s="10">
        <f>YEAR(Table1[[#This Row],[Order Date]])</f>
        <v>2018</v>
      </c>
      <c r="D443" s="10" t="s">
        <v>339</v>
      </c>
      <c r="E443" s="10" t="s">
        <v>340</v>
      </c>
      <c r="F443" s="10" t="s">
        <v>54</v>
      </c>
      <c r="G443" s="10" t="s">
        <v>87</v>
      </c>
      <c r="H443" s="10" t="s">
        <v>65</v>
      </c>
      <c r="I443" s="10" t="str">
        <f>VLOOKUP(Table1[[#This Row],[Account Manager ID]],Table2[[Employee ID]:[Full Name]],4,FALSE)</f>
        <v>Laras Nuraini</v>
      </c>
      <c r="J443" s="10" t="str">
        <f>INDEX(Employee!$D$4:$D$47,MATCH($H$4:$H$1003,Employee!$A$4:$A$47,0))</f>
        <v>Laras Nuraini</v>
      </c>
      <c r="K443" s="10" t="s">
        <v>92</v>
      </c>
      <c r="L443" s="10" t="s">
        <v>406</v>
      </c>
      <c r="M443" s="10" t="s">
        <v>81</v>
      </c>
      <c r="N443" s="10" t="s">
        <v>82</v>
      </c>
      <c r="O443" s="10" t="s">
        <v>83</v>
      </c>
      <c r="P443" s="10">
        <v>43170</v>
      </c>
      <c r="Q443" s="15">
        <v>4184850</v>
      </c>
      <c r="R443" s="15">
        <v>6749850</v>
      </c>
      <c r="S443" s="15">
        <f>Table1[[#This Row],[Retail Price]]-Table1[[#This Row],[Cost Price]]</f>
        <v>2565000</v>
      </c>
      <c r="T443" s="10">
        <v>34</v>
      </c>
      <c r="U443" s="15">
        <f>Table1[[#This Row],[Profit Margin]]*Table1[[#This Row],[Order Quantity]]</f>
        <v>87210000</v>
      </c>
      <c r="V443" s="11">
        <v>0.02</v>
      </c>
      <c r="W443" s="15">
        <f t="shared" si="6"/>
        <v>1744200</v>
      </c>
      <c r="X443" s="15">
        <f>Table1[[#This Row],[Sub Total]]-Table1[[#This Row],[Discount Rp]]</f>
        <v>85465800</v>
      </c>
      <c r="Y443" s="15">
        <f ca="1">OFFSET(Helper!$C$3,MATCH(Data!$N$4:$N$1003,Helper!$C$4:$C$9,0),MATCH(Data!$O$4:$O$1003,Helper!$D$3:$F$3,0))</f>
        <v>500000</v>
      </c>
      <c r="Z443" s="16">
        <f ca="1">Table1[[#This Row],[Order Total]]+Table1[[#This Row],[Shipping Cost]]</f>
        <v>85965800</v>
      </c>
    </row>
    <row r="444" spans="1:26" ht="15.75" customHeight="1" x14ac:dyDescent="0.3">
      <c r="A444" s="9" t="s">
        <v>1121</v>
      </c>
      <c r="B444" s="18">
        <v>43169</v>
      </c>
      <c r="C444" s="10">
        <f>YEAR(Table1[[#This Row],[Order Date]])</f>
        <v>2018</v>
      </c>
      <c r="D444" s="10" t="s">
        <v>1122</v>
      </c>
      <c r="E444" s="10" t="s">
        <v>145</v>
      </c>
      <c r="F444" s="10" t="s">
        <v>71</v>
      </c>
      <c r="G444" s="10" t="s">
        <v>72</v>
      </c>
      <c r="H444" s="10" t="s">
        <v>146</v>
      </c>
      <c r="I444" s="10" t="str">
        <f>VLOOKUP(Table1[[#This Row],[Account Manager ID]],Table2[[Employee ID]:[Full Name]],4,FALSE)</f>
        <v>Kenari Rajasa</v>
      </c>
      <c r="J444" s="10" t="str">
        <f>INDEX(Employee!$D$4:$D$47,MATCH($H$4:$H$1003,Employee!$A$4:$A$47,0))</f>
        <v>Kenari Rajasa</v>
      </c>
      <c r="K444" s="10" t="s">
        <v>57</v>
      </c>
      <c r="L444" s="10" t="s">
        <v>197</v>
      </c>
      <c r="M444" s="10" t="s">
        <v>81</v>
      </c>
      <c r="N444" s="10" t="s">
        <v>60</v>
      </c>
      <c r="O444" s="10" t="s">
        <v>61</v>
      </c>
      <c r="P444" s="10">
        <v>43171</v>
      </c>
      <c r="Q444" s="15">
        <v>124650.00000000001</v>
      </c>
      <c r="R444" s="15">
        <v>239700</v>
      </c>
      <c r="S444" s="15">
        <f>Table1[[#This Row],[Retail Price]]-Table1[[#This Row],[Cost Price]]</f>
        <v>115049.99999999999</v>
      </c>
      <c r="T444" s="10">
        <v>5</v>
      </c>
      <c r="U444" s="15">
        <f>Table1[[#This Row],[Profit Margin]]*Table1[[#This Row],[Order Quantity]]</f>
        <v>575249.99999999988</v>
      </c>
      <c r="V444" s="11">
        <v>0.08</v>
      </c>
      <c r="W444" s="15">
        <f t="shared" si="6"/>
        <v>46019.999999999993</v>
      </c>
      <c r="X444" s="15">
        <f>Table1[[#This Row],[Sub Total]]-Table1[[#This Row],[Discount Rp]]</f>
        <v>529229.99999999988</v>
      </c>
      <c r="Y444" s="15">
        <f ca="1">OFFSET(Helper!$C$3,MATCH(Data!$N$4:$N$1003,Helper!$C$4:$C$9,0),MATCH(Data!$O$4:$O$1003,Helper!$D$3:$F$3,0))</f>
        <v>15000</v>
      </c>
      <c r="Z444" s="16">
        <f ca="1">Table1[[#This Row],[Order Total]]+Table1[[#This Row],[Shipping Cost]]</f>
        <v>544229.99999999988</v>
      </c>
    </row>
    <row r="445" spans="1:26" ht="15.75" customHeight="1" x14ac:dyDescent="0.3">
      <c r="A445" s="9" t="s">
        <v>1123</v>
      </c>
      <c r="B445" s="18">
        <v>43173</v>
      </c>
      <c r="C445" s="10">
        <f>YEAR(Table1[[#This Row],[Order Date]])</f>
        <v>2018</v>
      </c>
      <c r="D445" s="10" t="s">
        <v>1124</v>
      </c>
      <c r="E445" s="10" t="s">
        <v>601</v>
      </c>
      <c r="F445" s="10" t="s">
        <v>71</v>
      </c>
      <c r="G445" s="10" t="s">
        <v>55</v>
      </c>
      <c r="H445" s="10" t="s">
        <v>122</v>
      </c>
      <c r="I445" s="10" t="str">
        <f>VLOOKUP(Table1[[#This Row],[Account Manager ID]],Table2[[Employee ID]:[Full Name]],4,FALSE)</f>
        <v>Ophelia Mustofa</v>
      </c>
      <c r="J445" s="10" t="str">
        <f>INDEX(Employee!$D$4:$D$47,MATCH($H$4:$H$1003,Employee!$A$4:$A$47,0))</f>
        <v>Ophelia Mustofa</v>
      </c>
      <c r="K445" s="10" t="s">
        <v>57</v>
      </c>
      <c r="L445" s="10" t="s">
        <v>510</v>
      </c>
      <c r="M445" s="10" t="s">
        <v>59</v>
      </c>
      <c r="N445" s="10" t="s">
        <v>67</v>
      </c>
      <c r="O445" s="10" t="s">
        <v>76</v>
      </c>
      <c r="P445" s="10">
        <v>43175</v>
      </c>
      <c r="Q445" s="15">
        <v>49800</v>
      </c>
      <c r="R445" s="15">
        <v>77700</v>
      </c>
      <c r="S445" s="15">
        <f>Table1[[#This Row],[Retail Price]]-Table1[[#This Row],[Cost Price]]</f>
        <v>27900</v>
      </c>
      <c r="T445" s="10">
        <v>9</v>
      </c>
      <c r="U445" s="15">
        <f>Table1[[#This Row],[Profit Margin]]*Table1[[#This Row],[Order Quantity]]</f>
        <v>251100</v>
      </c>
      <c r="V445" s="11">
        <v>0.09</v>
      </c>
      <c r="W445" s="15">
        <f t="shared" si="6"/>
        <v>22599</v>
      </c>
      <c r="X445" s="15">
        <f>Table1[[#This Row],[Sub Total]]-Table1[[#This Row],[Discount Rp]]</f>
        <v>228501</v>
      </c>
      <c r="Y445" s="15">
        <f ca="1">OFFSET(Helper!$C$3,MATCH(Data!$N$4:$N$1003,Helper!$C$4:$C$9,0),MATCH(Data!$O$4:$O$1003,Helper!$D$3:$F$3,0))</f>
        <v>10000</v>
      </c>
      <c r="Z445" s="16">
        <f ca="1">Table1[[#This Row],[Order Total]]+Table1[[#This Row],[Shipping Cost]]</f>
        <v>238501</v>
      </c>
    </row>
    <row r="446" spans="1:26" ht="15.75" customHeight="1" x14ac:dyDescent="0.3">
      <c r="A446" s="9" t="s">
        <v>1125</v>
      </c>
      <c r="B446" s="18">
        <v>43174</v>
      </c>
      <c r="C446" s="10">
        <f>YEAR(Table1[[#This Row],[Order Date]])</f>
        <v>2018</v>
      </c>
      <c r="D446" s="10" t="s">
        <v>865</v>
      </c>
      <c r="E446" s="10" t="s">
        <v>866</v>
      </c>
      <c r="F446" s="10" t="s">
        <v>261</v>
      </c>
      <c r="G446" s="10" t="s">
        <v>72</v>
      </c>
      <c r="H446" s="10" t="s">
        <v>112</v>
      </c>
      <c r="I446" s="10" t="str">
        <f>VLOOKUP(Table1[[#This Row],[Account Manager ID]],Table2[[Employee ID]:[Full Name]],4,FALSE)</f>
        <v>Paiman Firgantoro</v>
      </c>
      <c r="J446" s="10" t="str">
        <f>INDEX(Employee!$D$4:$D$47,MATCH($H$4:$H$1003,Employee!$A$4:$A$47,0))</f>
        <v>Paiman Firgantoro</v>
      </c>
      <c r="K446" s="10" t="s">
        <v>92</v>
      </c>
      <c r="L446" s="10" t="s">
        <v>426</v>
      </c>
      <c r="M446" s="10" t="s">
        <v>59</v>
      </c>
      <c r="N446" s="10" t="s">
        <v>67</v>
      </c>
      <c r="O446" s="10" t="s">
        <v>76</v>
      </c>
      <c r="P446" s="10">
        <v>43178</v>
      </c>
      <c r="Q446" s="15">
        <v>29250</v>
      </c>
      <c r="R446" s="15">
        <v>59700</v>
      </c>
      <c r="S446" s="15">
        <f>Table1[[#This Row],[Retail Price]]-Table1[[#This Row],[Cost Price]]</f>
        <v>30450</v>
      </c>
      <c r="T446" s="10">
        <v>4</v>
      </c>
      <c r="U446" s="15">
        <f>Table1[[#This Row],[Profit Margin]]*Table1[[#This Row],[Order Quantity]]</f>
        <v>121800</v>
      </c>
      <c r="V446" s="11">
        <v>0.02</v>
      </c>
      <c r="W446" s="15">
        <f t="shared" si="6"/>
        <v>2436</v>
      </c>
      <c r="X446" s="15">
        <f>Table1[[#This Row],[Sub Total]]-Table1[[#This Row],[Discount Rp]]</f>
        <v>119364</v>
      </c>
      <c r="Y446" s="15">
        <f ca="1">OFFSET(Helper!$C$3,MATCH(Data!$N$4:$N$1003,Helper!$C$4:$C$9,0),MATCH(Data!$O$4:$O$1003,Helper!$D$3:$F$3,0))</f>
        <v>10000</v>
      </c>
      <c r="Z446" s="16">
        <f ca="1">Table1[[#This Row],[Order Total]]+Table1[[#This Row],[Shipping Cost]]</f>
        <v>129364</v>
      </c>
    </row>
    <row r="447" spans="1:26" ht="15.75" customHeight="1" x14ac:dyDescent="0.3">
      <c r="A447" s="9" t="s">
        <v>1126</v>
      </c>
      <c r="B447" s="18">
        <v>43174</v>
      </c>
      <c r="C447" s="10">
        <f>YEAR(Table1[[#This Row],[Order Date]])</f>
        <v>2018</v>
      </c>
      <c r="D447" s="10" t="s">
        <v>423</v>
      </c>
      <c r="E447" s="10" t="s">
        <v>424</v>
      </c>
      <c r="F447" s="10" t="s">
        <v>54</v>
      </c>
      <c r="G447" s="10" t="s">
        <v>106</v>
      </c>
      <c r="H447" s="10" t="s">
        <v>56</v>
      </c>
      <c r="I447" s="10" t="str">
        <f>VLOOKUP(Table1[[#This Row],[Account Manager ID]],Table2[[Employee ID]:[Full Name]],4,FALSE)</f>
        <v>Gaduh Pratama</v>
      </c>
      <c r="J447" s="10" t="str">
        <f>INDEX(Employee!$D$4:$D$47,MATCH($H$4:$H$1003,Employee!$A$4:$A$47,0))</f>
        <v>Gaduh Pratama</v>
      </c>
      <c r="K447" s="10" t="s">
        <v>92</v>
      </c>
      <c r="L447" s="10" t="s">
        <v>598</v>
      </c>
      <c r="M447" s="10" t="s">
        <v>59</v>
      </c>
      <c r="N447" s="10" t="s">
        <v>136</v>
      </c>
      <c r="O447" s="10" t="s">
        <v>61</v>
      </c>
      <c r="P447" s="10">
        <v>43181</v>
      </c>
      <c r="Q447" s="15">
        <v>252000</v>
      </c>
      <c r="R447" s="15">
        <v>614550</v>
      </c>
      <c r="S447" s="15">
        <f>Table1[[#This Row],[Retail Price]]-Table1[[#This Row],[Cost Price]]</f>
        <v>362550</v>
      </c>
      <c r="T447" s="10">
        <v>47</v>
      </c>
      <c r="U447" s="15">
        <f>Table1[[#This Row],[Profit Margin]]*Table1[[#This Row],[Order Quantity]]</f>
        <v>17039850</v>
      </c>
      <c r="V447" s="11">
        <v>0.04</v>
      </c>
      <c r="W447" s="15">
        <f t="shared" si="6"/>
        <v>681594</v>
      </c>
      <c r="X447" s="15">
        <f>Table1[[#This Row],[Sub Total]]-Table1[[#This Row],[Discount Rp]]</f>
        <v>16358256</v>
      </c>
      <c r="Y447" s="15">
        <f ca="1">OFFSET(Helper!$C$3,MATCH(Data!$N$4:$N$1003,Helper!$C$4:$C$9,0),MATCH(Data!$O$4:$O$1003,Helper!$D$3:$F$3,0))</f>
        <v>10000</v>
      </c>
      <c r="Z447" s="16">
        <f ca="1">Table1[[#This Row],[Order Total]]+Table1[[#This Row],[Shipping Cost]]</f>
        <v>16368256</v>
      </c>
    </row>
    <row r="448" spans="1:26" ht="15.75" customHeight="1" x14ac:dyDescent="0.3">
      <c r="A448" s="9" t="s">
        <v>1127</v>
      </c>
      <c r="B448" s="18">
        <v>43177</v>
      </c>
      <c r="C448" s="10">
        <f>YEAR(Table1[[#This Row],[Order Date]])</f>
        <v>2018</v>
      </c>
      <c r="D448" s="10" t="s">
        <v>1128</v>
      </c>
      <c r="E448" s="10" t="s">
        <v>189</v>
      </c>
      <c r="F448" s="10" t="s">
        <v>54</v>
      </c>
      <c r="G448" s="10" t="s">
        <v>55</v>
      </c>
      <c r="H448" s="10" t="s">
        <v>56</v>
      </c>
      <c r="I448" s="10" t="str">
        <f>VLOOKUP(Table1[[#This Row],[Account Manager ID]],Table2[[Employee ID]:[Full Name]],4,FALSE)</f>
        <v>Gaduh Pratama</v>
      </c>
      <c r="J448" s="10" t="str">
        <f>INDEX(Employee!$D$4:$D$47,MATCH($H$4:$H$1003,Employee!$A$4:$A$47,0))</f>
        <v>Gaduh Pratama</v>
      </c>
      <c r="K448" s="10" t="s">
        <v>117</v>
      </c>
      <c r="L448" s="10" t="s">
        <v>546</v>
      </c>
      <c r="M448" s="10" t="s">
        <v>59</v>
      </c>
      <c r="N448" s="10" t="s">
        <v>60</v>
      </c>
      <c r="O448" s="10" t="s">
        <v>61</v>
      </c>
      <c r="P448" s="10">
        <v>43178</v>
      </c>
      <c r="Q448" s="15">
        <v>224250</v>
      </c>
      <c r="R448" s="15">
        <v>521399.99999999994</v>
      </c>
      <c r="S448" s="15">
        <f>Table1[[#This Row],[Retail Price]]-Table1[[#This Row],[Cost Price]]</f>
        <v>297149.99999999994</v>
      </c>
      <c r="T448" s="10">
        <v>8</v>
      </c>
      <c r="U448" s="15">
        <f>Table1[[#This Row],[Profit Margin]]*Table1[[#This Row],[Order Quantity]]</f>
        <v>2377199.9999999995</v>
      </c>
      <c r="V448" s="11">
        <v>7.0000000000000007E-2</v>
      </c>
      <c r="W448" s="15">
        <f t="shared" si="6"/>
        <v>166403.99999999997</v>
      </c>
      <c r="X448" s="15">
        <f>Table1[[#This Row],[Sub Total]]-Table1[[#This Row],[Discount Rp]]</f>
        <v>2210795.9999999995</v>
      </c>
      <c r="Y448" s="15">
        <f ca="1">OFFSET(Helper!$C$3,MATCH(Data!$N$4:$N$1003,Helper!$C$4:$C$9,0),MATCH(Data!$O$4:$O$1003,Helper!$D$3:$F$3,0))</f>
        <v>15000</v>
      </c>
      <c r="Z448" s="16">
        <f ca="1">Table1[[#This Row],[Order Total]]+Table1[[#This Row],[Shipping Cost]]</f>
        <v>2225795.9999999995</v>
      </c>
    </row>
    <row r="449" spans="1:26" ht="15.75" customHeight="1" x14ac:dyDescent="0.3">
      <c r="A449" s="9" t="s">
        <v>1129</v>
      </c>
      <c r="B449" s="18">
        <v>43178</v>
      </c>
      <c r="C449" s="10">
        <f>YEAR(Table1[[#This Row],[Order Date]])</f>
        <v>2018</v>
      </c>
      <c r="D449" s="10" t="s">
        <v>314</v>
      </c>
      <c r="E449" s="10" t="s">
        <v>315</v>
      </c>
      <c r="F449" s="10" t="s">
        <v>71</v>
      </c>
      <c r="G449" s="10" t="s">
        <v>72</v>
      </c>
      <c r="H449" s="10" t="s">
        <v>316</v>
      </c>
      <c r="I449" s="10" t="str">
        <f>VLOOKUP(Table1[[#This Row],[Account Manager ID]],Table2[[Employee ID]:[Full Name]],4,FALSE)</f>
        <v>Sari Winarno</v>
      </c>
      <c r="J449" s="10" t="str">
        <f>INDEX(Employee!$D$4:$D$47,MATCH($H$4:$H$1003,Employee!$A$4:$A$47,0))</f>
        <v>Sari Winarno</v>
      </c>
      <c r="K449" s="10" t="s">
        <v>117</v>
      </c>
      <c r="L449" s="10" t="s">
        <v>284</v>
      </c>
      <c r="M449" s="10" t="s">
        <v>59</v>
      </c>
      <c r="N449" s="10" t="s">
        <v>60</v>
      </c>
      <c r="O449" s="10" t="s">
        <v>76</v>
      </c>
      <c r="P449" s="10">
        <v>43179</v>
      </c>
      <c r="Q449" s="15">
        <v>33750</v>
      </c>
      <c r="R449" s="15">
        <v>55350</v>
      </c>
      <c r="S449" s="15">
        <f>Table1[[#This Row],[Retail Price]]-Table1[[#This Row],[Cost Price]]</f>
        <v>21600</v>
      </c>
      <c r="T449" s="10">
        <v>41</v>
      </c>
      <c r="U449" s="15">
        <f>Table1[[#This Row],[Profit Margin]]*Table1[[#This Row],[Order Quantity]]</f>
        <v>885600</v>
      </c>
      <c r="V449" s="11">
        <v>0.08</v>
      </c>
      <c r="W449" s="15">
        <f t="shared" si="6"/>
        <v>70848</v>
      </c>
      <c r="X449" s="15">
        <f>Table1[[#This Row],[Sub Total]]-Table1[[#This Row],[Discount Rp]]</f>
        <v>814752</v>
      </c>
      <c r="Y449" s="15">
        <f ca="1">OFFSET(Helper!$C$3,MATCH(Data!$N$4:$N$1003,Helper!$C$4:$C$9,0),MATCH(Data!$O$4:$O$1003,Helper!$D$3:$F$3,0))</f>
        <v>30000</v>
      </c>
      <c r="Z449" s="16">
        <f ca="1">Table1[[#This Row],[Order Total]]+Table1[[#This Row],[Shipping Cost]]</f>
        <v>844752</v>
      </c>
    </row>
    <row r="450" spans="1:26" ht="15.75" customHeight="1" x14ac:dyDescent="0.3">
      <c r="A450" s="9" t="s">
        <v>1130</v>
      </c>
      <c r="B450" s="18">
        <v>43179</v>
      </c>
      <c r="C450" s="10">
        <f>YEAR(Table1[[#This Row],[Order Date]])</f>
        <v>2018</v>
      </c>
      <c r="D450" s="10" t="s">
        <v>1131</v>
      </c>
      <c r="E450" s="10" t="s">
        <v>756</v>
      </c>
      <c r="F450" s="10" t="s">
        <v>71</v>
      </c>
      <c r="G450" s="10" t="s">
        <v>87</v>
      </c>
      <c r="H450" s="10" t="s">
        <v>146</v>
      </c>
      <c r="I450" s="10" t="str">
        <f>VLOOKUP(Table1[[#This Row],[Account Manager ID]],Table2[[Employee ID]:[Full Name]],4,FALSE)</f>
        <v>Kenari Rajasa</v>
      </c>
      <c r="J450" s="10" t="str">
        <f>INDEX(Employee!$D$4:$D$47,MATCH($H$4:$H$1003,Employee!$A$4:$A$47,0))</f>
        <v>Kenari Rajasa</v>
      </c>
      <c r="K450" s="10" t="s">
        <v>107</v>
      </c>
      <c r="L450" s="10" t="s">
        <v>954</v>
      </c>
      <c r="M450" s="10" t="s">
        <v>59</v>
      </c>
      <c r="N450" s="10" t="s">
        <v>60</v>
      </c>
      <c r="O450" s="10" t="s">
        <v>76</v>
      </c>
      <c r="P450" s="10">
        <v>43181</v>
      </c>
      <c r="Q450" s="15">
        <v>27300</v>
      </c>
      <c r="R450" s="15">
        <v>42600</v>
      </c>
      <c r="S450" s="15">
        <f>Table1[[#This Row],[Retail Price]]-Table1[[#This Row],[Cost Price]]</f>
        <v>15300</v>
      </c>
      <c r="T450" s="10">
        <v>21</v>
      </c>
      <c r="U450" s="15">
        <f>Table1[[#This Row],[Profit Margin]]*Table1[[#This Row],[Order Quantity]]</f>
        <v>321300</v>
      </c>
      <c r="V450" s="11">
        <v>0.01</v>
      </c>
      <c r="W450" s="15">
        <f t="shared" si="6"/>
        <v>3213</v>
      </c>
      <c r="X450" s="15">
        <f>Table1[[#This Row],[Sub Total]]-Table1[[#This Row],[Discount Rp]]</f>
        <v>318087</v>
      </c>
      <c r="Y450" s="15">
        <f ca="1">OFFSET(Helper!$C$3,MATCH(Data!$N$4:$N$1003,Helper!$C$4:$C$9,0),MATCH(Data!$O$4:$O$1003,Helper!$D$3:$F$3,0))</f>
        <v>30000</v>
      </c>
      <c r="Z450" s="16">
        <f ca="1">Table1[[#This Row],[Order Total]]+Table1[[#This Row],[Shipping Cost]]</f>
        <v>348087</v>
      </c>
    </row>
    <row r="451" spans="1:26" ht="15.75" customHeight="1" x14ac:dyDescent="0.3">
      <c r="A451" s="9" t="s">
        <v>1132</v>
      </c>
      <c r="B451" s="18">
        <v>43181</v>
      </c>
      <c r="C451" s="10">
        <f>YEAR(Table1[[#This Row],[Order Date]])</f>
        <v>2018</v>
      </c>
      <c r="D451" s="10" t="s">
        <v>1133</v>
      </c>
      <c r="E451" s="10" t="s">
        <v>607</v>
      </c>
      <c r="F451" s="10" t="s">
        <v>71</v>
      </c>
      <c r="G451" s="10" t="s">
        <v>106</v>
      </c>
      <c r="H451" s="10" t="s">
        <v>185</v>
      </c>
      <c r="I451" s="10" t="str">
        <f>VLOOKUP(Table1[[#This Row],[Account Manager ID]],Table2[[Employee ID]:[Full Name]],4,FALSE)</f>
        <v>Clara Prasetyo</v>
      </c>
      <c r="J451" s="10" t="str">
        <f>INDEX(Employee!$D$4:$D$47,MATCH($H$4:$H$1003,Employee!$A$4:$A$47,0))</f>
        <v>Clara Prasetyo</v>
      </c>
      <c r="K451" s="10" t="s">
        <v>57</v>
      </c>
      <c r="L451" s="10" t="s">
        <v>320</v>
      </c>
      <c r="M451" s="10" t="s">
        <v>59</v>
      </c>
      <c r="N451" s="10" t="s">
        <v>60</v>
      </c>
      <c r="O451" s="10" t="s">
        <v>61</v>
      </c>
      <c r="P451" s="10">
        <v>43183</v>
      </c>
      <c r="Q451" s="15">
        <v>2682450</v>
      </c>
      <c r="R451" s="15">
        <v>6238200</v>
      </c>
      <c r="S451" s="15">
        <f>Table1[[#This Row],[Retail Price]]-Table1[[#This Row],[Cost Price]]</f>
        <v>3555750</v>
      </c>
      <c r="T451" s="10">
        <v>4</v>
      </c>
      <c r="U451" s="15">
        <f>Table1[[#This Row],[Profit Margin]]*Table1[[#This Row],[Order Quantity]]</f>
        <v>14223000</v>
      </c>
      <c r="V451" s="11">
        <v>0.03</v>
      </c>
      <c r="W451" s="15">
        <f t="shared" si="6"/>
        <v>426690</v>
      </c>
      <c r="X451" s="15">
        <f>Table1[[#This Row],[Sub Total]]-Table1[[#This Row],[Discount Rp]]</f>
        <v>13796310</v>
      </c>
      <c r="Y451" s="15">
        <f ca="1">OFFSET(Helper!$C$3,MATCH(Data!$N$4:$N$1003,Helper!$C$4:$C$9,0),MATCH(Data!$O$4:$O$1003,Helper!$D$3:$F$3,0))</f>
        <v>15000</v>
      </c>
      <c r="Z451" s="16">
        <f ca="1">Table1[[#This Row],[Order Total]]+Table1[[#This Row],[Shipping Cost]]</f>
        <v>13811310</v>
      </c>
    </row>
    <row r="452" spans="1:26" ht="15.75" customHeight="1" x14ac:dyDescent="0.3">
      <c r="A452" s="9" t="s">
        <v>1134</v>
      </c>
      <c r="B452" s="18">
        <v>43182</v>
      </c>
      <c r="C452" s="10">
        <f>YEAR(Table1[[#This Row],[Order Date]])</f>
        <v>2018</v>
      </c>
      <c r="D452" s="10" t="s">
        <v>1135</v>
      </c>
      <c r="E452" s="10" t="s">
        <v>364</v>
      </c>
      <c r="F452" s="10" t="s">
        <v>71</v>
      </c>
      <c r="G452" s="10" t="s">
        <v>87</v>
      </c>
      <c r="H452" s="10" t="s">
        <v>97</v>
      </c>
      <c r="I452" s="10" t="str">
        <f>VLOOKUP(Table1[[#This Row],[Account Manager ID]],Table2[[Employee ID]:[Full Name]],4,FALSE)</f>
        <v>Violet Mentari</v>
      </c>
      <c r="J452" s="10" t="str">
        <f>INDEX(Employee!$D$4:$D$47,MATCH($H$4:$H$1003,Employee!$A$4:$A$47,0))</f>
        <v>Violet Mentari</v>
      </c>
      <c r="K452" s="10" t="s">
        <v>117</v>
      </c>
      <c r="L452" s="10" t="s">
        <v>287</v>
      </c>
      <c r="M452" s="10" t="s">
        <v>59</v>
      </c>
      <c r="N452" s="10" t="s">
        <v>60</v>
      </c>
      <c r="O452" s="10" t="s">
        <v>61</v>
      </c>
      <c r="P452" s="10">
        <v>43184</v>
      </c>
      <c r="Q452" s="15">
        <v>185850</v>
      </c>
      <c r="R452" s="15">
        <v>299700</v>
      </c>
      <c r="S452" s="15">
        <f>Table1[[#This Row],[Retail Price]]-Table1[[#This Row],[Cost Price]]</f>
        <v>113850</v>
      </c>
      <c r="T452" s="10">
        <v>48</v>
      </c>
      <c r="U452" s="15">
        <f>Table1[[#This Row],[Profit Margin]]*Table1[[#This Row],[Order Quantity]]</f>
        <v>5464800</v>
      </c>
      <c r="V452" s="11">
        <v>0.01</v>
      </c>
      <c r="W452" s="15">
        <f t="shared" ref="W452:W515" si="7">V452*U452</f>
        <v>54648</v>
      </c>
      <c r="X452" s="15">
        <f>Table1[[#This Row],[Sub Total]]-Table1[[#This Row],[Discount Rp]]</f>
        <v>5410152</v>
      </c>
      <c r="Y452" s="15">
        <f ca="1">OFFSET(Helper!$C$3,MATCH(Data!$N$4:$N$1003,Helper!$C$4:$C$9,0),MATCH(Data!$O$4:$O$1003,Helper!$D$3:$F$3,0))</f>
        <v>15000</v>
      </c>
      <c r="Z452" s="16">
        <f ca="1">Table1[[#This Row],[Order Total]]+Table1[[#This Row],[Shipping Cost]]</f>
        <v>5425152</v>
      </c>
    </row>
    <row r="453" spans="1:26" ht="15.75" customHeight="1" x14ac:dyDescent="0.3">
      <c r="A453" s="9" t="s">
        <v>1136</v>
      </c>
      <c r="B453" s="18">
        <v>43183</v>
      </c>
      <c r="C453" s="10">
        <f>YEAR(Table1[[#This Row],[Order Date]])</f>
        <v>2018</v>
      </c>
      <c r="D453" s="10" t="s">
        <v>1031</v>
      </c>
      <c r="E453" s="10" t="s">
        <v>1032</v>
      </c>
      <c r="F453" s="10" t="s">
        <v>71</v>
      </c>
      <c r="G453" s="10" t="s">
        <v>72</v>
      </c>
      <c r="H453" s="10" t="s">
        <v>88</v>
      </c>
      <c r="I453" s="10" t="str">
        <f>VLOOKUP(Table1[[#This Row],[Account Manager ID]],Table2[[Employee ID]:[Full Name]],4,FALSE)</f>
        <v>Bagiya Sihombing</v>
      </c>
      <c r="J453" s="10" t="str">
        <f>INDEX(Employee!$D$4:$D$47,MATCH($H$4:$H$1003,Employee!$A$4:$A$47,0))</f>
        <v>Bagiya Sihombing</v>
      </c>
      <c r="K453" s="10" t="s">
        <v>107</v>
      </c>
      <c r="L453" s="10" t="s">
        <v>775</v>
      </c>
      <c r="M453" s="10" t="s">
        <v>59</v>
      </c>
      <c r="N453" s="10" t="s">
        <v>136</v>
      </c>
      <c r="O453" s="10" t="s">
        <v>61</v>
      </c>
      <c r="P453" s="10">
        <v>43184</v>
      </c>
      <c r="Q453" s="15">
        <v>62850.000000000007</v>
      </c>
      <c r="R453" s="15">
        <v>153450</v>
      </c>
      <c r="S453" s="15">
        <f>Table1[[#This Row],[Retail Price]]-Table1[[#This Row],[Cost Price]]</f>
        <v>90600</v>
      </c>
      <c r="T453" s="10">
        <v>46</v>
      </c>
      <c r="U453" s="15">
        <f>Table1[[#This Row],[Profit Margin]]*Table1[[#This Row],[Order Quantity]]</f>
        <v>4167600</v>
      </c>
      <c r="V453" s="11">
        <v>0.01</v>
      </c>
      <c r="W453" s="15">
        <f t="shared" si="7"/>
        <v>41676</v>
      </c>
      <c r="X453" s="15">
        <f>Table1[[#This Row],[Sub Total]]-Table1[[#This Row],[Discount Rp]]</f>
        <v>4125924</v>
      </c>
      <c r="Y453" s="15">
        <f ca="1">OFFSET(Helper!$C$3,MATCH(Data!$N$4:$N$1003,Helper!$C$4:$C$9,0),MATCH(Data!$O$4:$O$1003,Helper!$D$3:$F$3,0))</f>
        <v>10000</v>
      </c>
      <c r="Z453" s="16">
        <f ca="1">Table1[[#This Row],[Order Total]]+Table1[[#This Row],[Shipping Cost]]</f>
        <v>4135924</v>
      </c>
    </row>
    <row r="454" spans="1:26" ht="15.75" customHeight="1" x14ac:dyDescent="0.3">
      <c r="A454" s="9" t="s">
        <v>1137</v>
      </c>
      <c r="B454" s="18">
        <v>43183</v>
      </c>
      <c r="C454" s="10">
        <f>YEAR(Table1[[#This Row],[Order Date]])</f>
        <v>2018</v>
      </c>
      <c r="D454" s="10" t="s">
        <v>1138</v>
      </c>
      <c r="E454" s="10" t="s">
        <v>462</v>
      </c>
      <c r="F454" s="10" t="s">
        <v>71</v>
      </c>
      <c r="G454" s="10" t="s">
        <v>72</v>
      </c>
      <c r="H454" s="10" t="s">
        <v>112</v>
      </c>
      <c r="I454" s="10" t="str">
        <f>VLOOKUP(Table1[[#This Row],[Account Manager ID]],Table2[[Employee ID]:[Full Name]],4,FALSE)</f>
        <v>Paiman Firgantoro</v>
      </c>
      <c r="J454" s="10" t="str">
        <f>INDEX(Employee!$D$4:$D$47,MATCH($H$4:$H$1003,Employee!$A$4:$A$47,0))</f>
        <v>Paiman Firgantoro</v>
      </c>
      <c r="K454" s="10" t="s">
        <v>92</v>
      </c>
      <c r="L454" s="10" t="s">
        <v>216</v>
      </c>
      <c r="M454" s="10" t="s">
        <v>81</v>
      </c>
      <c r="N454" s="10" t="s">
        <v>136</v>
      </c>
      <c r="O454" s="10" t="s">
        <v>61</v>
      </c>
      <c r="P454" s="10">
        <v>43185</v>
      </c>
      <c r="Q454" s="15">
        <v>28050</v>
      </c>
      <c r="R454" s="15">
        <v>121799.99999999999</v>
      </c>
      <c r="S454" s="15">
        <f>Table1[[#This Row],[Retail Price]]-Table1[[#This Row],[Cost Price]]</f>
        <v>93749.999999999985</v>
      </c>
      <c r="T454" s="10">
        <v>11</v>
      </c>
      <c r="U454" s="15">
        <f>Table1[[#This Row],[Profit Margin]]*Table1[[#This Row],[Order Quantity]]</f>
        <v>1031249.9999999999</v>
      </c>
      <c r="V454" s="11">
        <v>0.06</v>
      </c>
      <c r="W454" s="15">
        <f t="shared" si="7"/>
        <v>61874.999999999993</v>
      </c>
      <c r="X454" s="15">
        <f>Table1[[#This Row],[Sub Total]]-Table1[[#This Row],[Discount Rp]]</f>
        <v>969374.99999999988</v>
      </c>
      <c r="Y454" s="15">
        <f ca="1">OFFSET(Helper!$C$3,MATCH(Data!$N$4:$N$1003,Helper!$C$4:$C$9,0),MATCH(Data!$O$4:$O$1003,Helper!$D$3:$F$3,0))</f>
        <v>10000</v>
      </c>
      <c r="Z454" s="16">
        <f ca="1">Table1[[#This Row],[Order Total]]+Table1[[#This Row],[Shipping Cost]]</f>
        <v>979374.99999999988</v>
      </c>
    </row>
    <row r="455" spans="1:26" ht="15.75" customHeight="1" x14ac:dyDescent="0.3">
      <c r="A455" s="9" t="s">
        <v>1139</v>
      </c>
      <c r="B455" s="18">
        <v>43186</v>
      </c>
      <c r="C455" s="10">
        <f>YEAR(Table1[[#This Row],[Order Date]])</f>
        <v>2018</v>
      </c>
      <c r="D455" s="10" t="s">
        <v>835</v>
      </c>
      <c r="E455" s="10" t="s">
        <v>169</v>
      </c>
      <c r="F455" s="10" t="s">
        <v>54</v>
      </c>
      <c r="G455" s="10" t="s">
        <v>72</v>
      </c>
      <c r="H455" s="10" t="s">
        <v>65</v>
      </c>
      <c r="I455" s="10" t="str">
        <f>VLOOKUP(Table1[[#This Row],[Account Manager ID]],Table2[[Employee ID]:[Full Name]],4,FALSE)</f>
        <v>Laras Nuraini</v>
      </c>
      <c r="J455" s="10" t="str">
        <f>INDEX(Employee!$D$4:$D$47,MATCH($H$4:$H$1003,Employee!$A$4:$A$47,0))</f>
        <v>Laras Nuraini</v>
      </c>
      <c r="K455" s="10" t="s">
        <v>57</v>
      </c>
      <c r="L455" s="10" t="s">
        <v>142</v>
      </c>
      <c r="M455" s="10" t="s">
        <v>59</v>
      </c>
      <c r="N455" s="10" t="s">
        <v>60</v>
      </c>
      <c r="O455" s="10" t="s">
        <v>61</v>
      </c>
      <c r="P455" s="10">
        <v>43188</v>
      </c>
      <c r="Q455" s="15">
        <v>68850</v>
      </c>
      <c r="R455" s="15">
        <v>109200</v>
      </c>
      <c r="S455" s="15">
        <f>Table1[[#This Row],[Retail Price]]-Table1[[#This Row],[Cost Price]]</f>
        <v>40350</v>
      </c>
      <c r="T455" s="10">
        <v>36</v>
      </c>
      <c r="U455" s="15">
        <f>Table1[[#This Row],[Profit Margin]]*Table1[[#This Row],[Order Quantity]]</f>
        <v>1452600</v>
      </c>
      <c r="V455" s="11">
        <v>0.05</v>
      </c>
      <c r="W455" s="15">
        <f t="shared" si="7"/>
        <v>72630</v>
      </c>
      <c r="X455" s="15">
        <f>Table1[[#This Row],[Sub Total]]-Table1[[#This Row],[Discount Rp]]</f>
        <v>1379970</v>
      </c>
      <c r="Y455" s="15">
        <f ca="1">OFFSET(Helper!$C$3,MATCH(Data!$N$4:$N$1003,Helper!$C$4:$C$9,0),MATCH(Data!$O$4:$O$1003,Helper!$D$3:$F$3,0))</f>
        <v>15000</v>
      </c>
      <c r="Z455" s="16">
        <f ca="1">Table1[[#This Row],[Order Total]]+Table1[[#This Row],[Shipping Cost]]</f>
        <v>1394970</v>
      </c>
    </row>
    <row r="456" spans="1:26" ht="15.75" customHeight="1" x14ac:dyDescent="0.3">
      <c r="A456" s="9" t="s">
        <v>1140</v>
      </c>
      <c r="B456" s="18">
        <v>43189</v>
      </c>
      <c r="C456" s="10">
        <f>YEAR(Table1[[#This Row],[Order Date]])</f>
        <v>2018</v>
      </c>
      <c r="D456" s="10" t="s">
        <v>1141</v>
      </c>
      <c r="E456" s="10" t="s">
        <v>241</v>
      </c>
      <c r="F456" s="10" t="s">
        <v>71</v>
      </c>
      <c r="G456" s="10" t="s">
        <v>72</v>
      </c>
      <c r="H456" s="10" t="s">
        <v>146</v>
      </c>
      <c r="I456" s="10" t="str">
        <f>VLOOKUP(Table1[[#This Row],[Account Manager ID]],Table2[[Employee ID]:[Full Name]],4,FALSE)</f>
        <v>Kenari Rajasa</v>
      </c>
      <c r="J456" s="10" t="str">
        <f>INDEX(Employee!$D$4:$D$47,MATCH($H$4:$H$1003,Employee!$A$4:$A$47,0))</f>
        <v>Kenari Rajasa</v>
      </c>
      <c r="K456" s="10" t="s">
        <v>117</v>
      </c>
      <c r="L456" s="10" t="s">
        <v>473</v>
      </c>
      <c r="M456" s="10" t="s">
        <v>59</v>
      </c>
      <c r="N456" s="10" t="s">
        <v>60</v>
      </c>
      <c r="O456" s="10" t="s">
        <v>61</v>
      </c>
      <c r="P456" s="10">
        <v>43191</v>
      </c>
      <c r="Q456" s="15">
        <v>32700.000000000004</v>
      </c>
      <c r="R456" s="15">
        <v>52800</v>
      </c>
      <c r="S456" s="15">
        <f>Table1[[#This Row],[Retail Price]]-Table1[[#This Row],[Cost Price]]</f>
        <v>20099.999999999996</v>
      </c>
      <c r="T456" s="10">
        <v>23</v>
      </c>
      <c r="U456" s="15">
        <f>Table1[[#This Row],[Profit Margin]]*Table1[[#This Row],[Order Quantity]]</f>
        <v>462299.99999999994</v>
      </c>
      <c r="V456" s="11">
        <v>7.0000000000000007E-2</v>
      </c>
      <c r="W456" s="15">
        <f t="shared" si="7"/>
        <v>32361</v>
      </c>
      <c r="X456" s="15">
        <f>Table1[[#This Row],[Sub Total]]-Table1[[#This Row],[Discount Rp]]</f>
        <v>429938.99999999994</v>
      </c>
      <c r="Y456" s="15">
        <f ca="1">OFFSET(Helper!$C$3,MATCH(Data!$N$4:$N$1003,Helper!$C$4:$C$9,0),MATCH(Data!$O$4:$O$1003,Helper!$D$3:$F$3,0))</f>
        <v>15000</v>
      </c>
      <c r="Z456" s="16">
        <f ca="1">Table1[[#This Row],[Order Total]]+Table1[[#This Row],[Shipping Cost]]</f>
        <v>444938.99999999994</v>
      </c>
    </row>
    <row r="457" spans="1:26" ht="15.75" customHeight="1" x14ac:dyDescent="0.3">
      <c r="A457" s="9" t="s">
        <v>1142</v>
      </c>
      <c r="B457" s="18">
        <v>43195</v>
      </c>
      <c r="C457" s="10">
        <f>YEAR(Table1[[#This Row],[Order Date]])</f>
        <v>2018</v>
      </c>
      <c r="D457" s="10" t="s">
        <v>1143</v>
      </c>
      <c r="E457" s="10" t="s">
        <v>145</v>
      </c>
      <c r="F457" s="10" t="s">
        <v>71</v>
      </c>
      <c r="G457" s="10" t="s">
        <v>72</v>
      </c>
      <c r="H457" s="10" t="s">
        <v>146</v>
      </c>
      <c r="I457" s="10" t="str">
        <f>VLOOKUP(Table1[[#This Row],[Account Manager ID]],Table2[[Employee ID]:[Full Name]],4,FALSE)</f>
        <v>Kenari Rajasa</v>
      </c>
      <c r="J457" s="10" t="str">
        <f>INDEX(Employee!$D$4:$D$47,MATCH($H$4:$H$1003,Employee!$A$4:$A$47,0))</f>
        <v>Kenari Rajasa</v>
      </c>
      <c r="K457" s="10" t="s">
        <v>117</v>
      </c>
      <c r="L457" s="10" t="s">
        <v>963</v>
      </c>
      <c r="M457" s="10" t="s">
        <v>59</v>
      </c>
      <c r="N457" s="10" t="s">
        <v>67</v>
      </c>
      <c r="O457" s="10" t="s">
        <v>61</v>
      </c>
      <c r="P457" s="10">
        <v>43196</v>
      </c>
      <c r="Q457" s="15">
        <v>13800</v>
      </c>
      <c r="R457" s="15">
        <v>27150</v>
      </c>
      <c r="S457" s="15">
        <f>Table1[[#This Row],[Retail Price]]-Table1[[#This Row],[Cost Price]]</f>
        <v>13350</v>
      </c>
      <c r="T457" s="10">
        <v>48</v>
      </c>
      <c r="U457" s="15">
        <f>Table1[[#This Row],[Profit Margin]]*Table1[[#This Row],[Order Quantity]]</f>
        <v>640800</v>
      </c>
      <c r="V457" s="11">
        <v>0.1</v>
      </c>
      <c r="W457" s="15">
        <f t="shared" si="7"/>
        <v>64080</v>
      </c>
      <c r="X457" s="15">
        <f>Table1[[#This Row],[Sub Total]]-Table1[[#This Row],[Discount Rp]]</f>
        <v>576720</v>
      </c>
      <c r="Y457" s="15">
        <f ca="1">OFFSET(Helper!$C$3,MATCH(Data!$N$4:$N$1003,Helper!$C$4:$C$9,0),MATCH(Data!$O$4:$O$1003,Helper!$D$3:$F$3,0))</f>
        <v>5000</v>
      </c>
      <c r="Z457" s="16">
        <f ca="1">Table1[[#This Row],[Order Total]]+Table1[[#This Row],[Shipping Cost]]</f>
        <v>581720</v>
      </c>
    </row>
    <row r="458" spans="1:26" ht="15.75" customHeight="1" x14ac:dyDescent="0.3">
      <c r="A458" s="9" t="s">
        <v>1144</v>
      </c>
      <c r="B458" s="18">
        <v>43198</v>
      </c>
      <c r="C458" s="10">
        <f>YEAR(Table1[[#This Row],[Order Date]])</f>
        <v>2018</v>
      </c>
      <c r="D458" s="10" t="s">
        <v>852</v>
      </c>
      <c r="E458" s="10" t="s">
        <v>853</v>
      </c>
      <c r="F458" s="10" t="s">
        <v>71</v>
      </c>
      <c r="G458" s="10" t="s">
        <v>87</v>
      </c>
      <c r="H458" s="10" t="s">
        <v>185</v>
      </c>
      <c r="I458" s="10" t="str">
        <f>VLOOKUP(Table1[[#This Row],[Account Manager ID]],Table2[[Employee ID]:[Full Name]],4,FALSE)</f>
        <v>Clara Prasetyo</v>
      </c>
      <c r="J458" s="10" t="str">
        <f>INDEX(Employee!$D$4:$D$47,MATCH($H$4:$H$1003,Employee!$A$4:$A$47,0))</f>
        <v>Clara Prasetyo</v>
      </c>
      <c r="K458" s="10" t="s">
        <v>117</v>
      </c>
      <c r="L458" s="10" t="s">
        <v>406</v>
      </c>
      <c r="M458" s="10" t="s">
        <v>81</v>
      </c>
      <c r="N458" s="10" t="s">
        <v>459</v>
      </c>
      <c r="O458" s="10" t="s">
        <v>61</v>
      </c>
      <c r="P458" s="10">
        <v>43200</v>
      </c>
      <c r="Q458" s="15">
        <v>3240000</v>
      </c>
      <c r="R458" s="15">
        <v>6749850</v>
      </c>
      <c r="S458" s="15">
        <f>Table1[[#This Row],[Retail Price]]-Table1[[#This Row],[Cost Price]]</f>
        <v>3509850</v>
      </c>
      <c r="T458" s="10">
        <v>10</v>
      </c>
      <c r="U458" s="15">
        <f>Table1[[#This Row],[Profit Margin]]*Table1[[#This Row],[Order Quantity]]</f>
        <v>35098500</v>
      </c>
      <c r="V458" s="11">
        <v>0.01</v>
      </c>
      <c r="W458" s="15">
        <f t="shared" si="7"/>
        <v>350985</v>
      </c>
      <c r="X458" s="15">
        <f>Table1[[#This Row],[Sub Total]]-Table1[[#This Row],[Discount Rp]]</f>
        <v>34747515</v>
      </c>
      <c r="Y458" s="15">
        <f ca="1">OFFSET(Helper!$C$3,MATCH(Data!$N$4:$N$1003,Helper!$C$4:$C$9,0),MATCH(Data!$O$4:$O$1003,Helper!$D$3:$F$3,0))</f>
        <v>50000</v>
      </c>
      <c r="Z458" s="16">
        <f ca="1">Table1[[#This Row],[Order Total]]+Table1[[#This Row],[Shipping Cost]]</f>
        <v>34797515</v>
      </c>
    </row>
    <row r="459" spans="1:26" ht="15.75" customHeight="1" x14ac:dyDescent="0.3">
      <c r="A459" s="9" t="s">
        <v>1145</v>
      </c>
      <c r="B459" s="18">
        <v>43199</v>
      </c>
      <c r="C459" s="10">
        <f>YEAR(Table1[[#This Row],[Order Date]])</f>
        <v>2018</v>
      </c>
      <c r="D459" s="10" t="s">
        <v>891</v>
      </c>
      <c r="E459" s="10" t="s">
        <v>892</v>
      </c>
      <c r="F459" s="10" t="s">
        <v>54</v>
      </c>
      <c r="G459" s="10" t="s">
        <v>87</v>
      </c>
      <c r="H459" s="10" t="s">
        <v>65</v>
      </c>
      <c r="I459" s="10" t="str">
        <f>VLOOKUP(Table1[[#This Row],[Account Manager ID]],Table2[[Employee ID]:[Full Name]],4,FALSE)</f>
        <v>Laras Nuraini</v>
      </c>
      <c r="J459" s="10" t="str">
        <f>INDEX(Employee!$D$4:$D$47,MATCH($H$4:$H$1003,Employee!$A$4:$A$47,0))</f>
        <v>Laras Nuraini</v>
      </c>
      <c r="K459" s="10" t="s">
        <v>57</v>
      </c>
      <c r="L459" s="10" t="s">
        <v>341</v>
      </c>
      <c r="M459" s="10" t="s">
        <v>59</v>
      </c>
      <c r="N459" s="10" t="s">
        <v>67</v>
      </c>
      <c r="O459" s="10" t="s">
        <v>61</v>
      </c>
      <c r="P459" s="10">
        <v>43202</v>
      </c>
      <c r="Q459" s="15">
        <v>24000</v>
      </c>
      <c r="R459" s="15">
        <v>39300</v>
      </c>
      <c r="S459" s="15">
        <f>Table1[[#This Row],[Retail Price]]-Table1[[#This Row],[Cost Price]]</f>
        <v>15300</v>
      </c>
      <c r="T459" s="10">
        <v>37</v>
      </c>
      <c r="U459" s="15">
        <f>Table1[[#This Row],[Profit Margin]]*Table1[[#This Row],[Order Quantity]]</f>
        <v>566100</v>
      </c>
      <c r="V459" s="11">
        <v>0.01</v>
      </c>
      <c r="W459" s="15">
        <f t="shared" si="7"/>
        <v>5661</v>
      </c>
      <c r="X459" s="15">
        <f>Table1[[#This Row],[Sub Total]]-Table1[[#This Row],[Discount Rp]]</f>
        <v>560439</v>
      </c>
      <c r="Y459" s="15">
        <f ca="1">OFFSET(Helper!$C$3,MATCH(Data!$N$4:$N$1003,Helper!$C$4:$C$9,0),MATCH(Data!$O$4:$O$1003,Helper!$D$3:$F$3,0))</f>
        <v>5000</v>
      </c>
      <c r="Z459" s="16">
        <f ca="1">Table1[[#This Row],[Order Total]]+Table1[[#This Row],[Shipping Cost]]</f>
        <v>565439</v>
      </c>
    </row>
    <row r="460" spans="1:26" ht="15.75" customHeight="1" x14ac:dyDescent="0.3">
      <c r="A460" s="9" t="s">
        <v>1146</v>
      </c>
      <c r="B460" s="18">
        <v>43199</v>
      </c>
      <c r="C460" s="10">
        <f>YEAR(Table1[[#This Row],[Order Date]])</f>
        <v>2018</v>
      </c>
      <c r="D460" s="10" t="s">
        <v>1147</v>
      </c>
      <c r="E460" s="10" t="s">
        <v>154</v>
      </c>
      <c r="F460" s="10" t="s">
        <v>71</v>
      </c>
      <c r="G460" s="10" t="s">
        <v>106</v>
      </c>
      <c r="H460" s="10" t="s">
        <v>155</v>
      </c>
      <c r="I460" s="10" t="str">
        <f>VLOOKUP(Table1[[#This Row],[Account Manager ID]],Table2[[Employee ID]:[Full Name]],4,FALSE)</f>
        <v>Puti Nadine Prakasa</v>
      </c>
      <c r="J460" s="10" t="str">
        <f>INDEX(Employee!$D$4:$D$47,MATCH($H$4:$H$1003,Employee!$A$4:$A$47,0))</f>
        <v>Puti Nadine Prakasa</v>
      </c>
      <c r="K460" s="10" t="s">
        <v>57</v>
      </c>
      <c r="L460" s="10" t="s">
        <v>162</v>
      </c>
      <c r="M460" s="10" t="s">
        <v>59</v>
      </c>
      <c r="N460" s="10" t="s">
        <v>60</v>
      </c>
      <c r="O460" s="10" t="s">
        <v>61</v>
      </c>
      <c r="P460" s="10">
        <v>43202</v>
      </c>
      <c r="Q460" s="15">
        <v>52800</v>
      </c>
      <c r="R460" s="15">
        <v>85200</v>
      </c>
      <c r="S460" s="15">
        <f>Table1[[#This Row],[Retail Price]]-Table1[[#This Row],[Cost Price]]</f>
        <v>32400</v>
      </c>
      <c r="T460" s="10">
        <v>42</v>
      </c>
      <c r="U460" s="15">
        <f>Table1[[#This Row],[Profit Margin]]*Table1[[#This Row],[Order Quantity]]</f>
        <v>1360800</v>
      </c>
      <c r="V460" s="11">
        <v>0.05</v>
      </c>
      <c r="W460" s="15">
        <f t="shared" si="7"/>
        <v>68040</v>
      </c>
      <c r="X460" s="15">
        <f>Table1[[#This Row],[Sub Total]]-Table1[[#This Row],[Discount Rp]]</f>
        <v>1292760</v>
      </c>
      <c r="Y460" s="15">
        <f ca="1">OFFSET(Helper!$C$3,MATCH(Data!$N$4:$N$1003,Helper!$C$4:$C$9,0),MATCH(Data!$O$4:$O$1003,Helper!$D$3:$F$3,0))</f>
        <v>15000</v>
      </c>
      <c r="Z460" s="16">
        <f ca="1">Table1[[#This Row],[Order Total]]+Table1[[#This Row],[Shipping Cost]]</f>
        <v>1307760</v>
      </c>
    </row>
    <row r="461" spans="1:26" ht="15.75" customHeight="1" x14ac:dyDescent="0.3">
      <c r="A461" s="9" t="s">
        <v>1148</v>
      </c>
      <c r="B461" s="18">
        <v>43200</v>
      </c>
      <c r="C461" s="10">
        <f>YEAR(Table1[[#This Row],[Order Date]])</f>
        <v>2018</v>
      </c>
      <c r="D461" s="10" t="s">
        <v>1149</v>
      </c>
      <c r="E461" s="10" t="s">
        <v>1150</v>
      </c>
      <c r="F461" s="10" t="s">
        <v>71</v>
      </c>
      <c r="G461" s="10" t="s">
        <v>106</v>
      </c>
      <c r="H461" s="10" t="s">
        <v>185</v>
      </c>
      <c r="I461" s="10" t="str">
        <f>VLOOKUP(Table1[[#This Row],[Account Manager ID]],Table2[[Employee ID]:[Full Name]],4,FALSE)</f>
        <v>Clara Prasetyo</v>
      </c>
      <c r="J461" s="10" t="str">
        <f>INDEX(Employee!$D$4:$D$47,MATCH($H$4:$H$1003,Employee!$A$4:$A$47,0))</f>
        <v>Clara Prasetyo</v>
      </c>
      <c r="K461" s="10" t="s">
        <v>74</v>
      </c>
      <c r="L461" s="10" t="s">
        <v>181</v>
      </c>
      <c r="M461" s="10" t="s">
        <v>59</v>
      </c>
      <c r="N461" s="10" t="s">
        <v>60</v>
      </c>
      <c r="O461" s="10" t="s">
        <v>76</v>
      </c>
      <c r="P461" s="10">
        <v>43201</v>
      </c>
      <c r="Q461" s="15">
        <v>23850</v>
      </c>
      <c r="R461" s="15">
        <v>39150</v>
      </c>
      <c r="S461" s="15">
        <f>Table1[[#This Row],[Retail Price]]-Table1[[#This Row],[Cost Price]]</f>
        <v>15300</v>
      </c>
      <c r="T461" s="10">
        <v>37</v>
      </c>
      <c r="U461" s="15">
        <f>Table1[[#This Row],[Profit Margin]]*Table1[[#This Row],[Order Quantity]]</f>
        <v>566100</v>
      </c>
      <c r="V461" s="11">
        <v>0.09</v>
      </c>
      <c r="W461" s="15">
        <f t="shared" si="7"/>
        <v>50949</v>
      </c>
      <c r="X461" s="15">
        <f>Table1[[#This Row],[Sub Total]]-Table1[[#This Row],[Discount Rp]]</f>
        <v>515151</v>
      </c>
      <c r="Y461" s="15">
        <f ca="1">OFFSET(Helper!$C$3,MATCH(Data!$N$4:$N$1003,Helper!$C$4:$C$9,0),MATCH(Data!$O$4:$O$1003,Helper!$D$3:$F$3,0))</f>
        <v>30000</v>
      </c>
      <c r="Z461" s="16">
        <f ca="1">Table1[[#This Row],[Order Total]]+Table1[[#This Row],[Shipping Cost]]</f>
        <v>545151</v>
      </c>
    </row>
    <row r="462" spans="1:26" ht="15.75" customHeight="1" x14ac:dyDescent="0.3">
      <c r="A462" s="9" t="s">
        <v>1151</v>
      </c>
      <c r="B462" s="18">
        <v>43200</v>
      </c>
      <c r="C462" s="10">
        <f>YEAR(Table1[[#This Row],[Order Date]])</f>
        <v>2018</v>
      </c>
      <c r="D462" s="10" t="s">
        <v>1152</v>
      </c>
      <c r="E462" s="10" t="s">
        <v>628</v>
      </c>
      <c r="F462" s="10" t="s">
        <v>71</v>
      </c>
      <c r="G462" s="10" t="s">
        <v>106</v>
      </c>
      <c r="H462" s="10" t="s">
        <v>304</v>
      </c>
      <c r="I462" s="10" t="str">
        <f>VLOOKUP(Table1[[#This Row],[Account Manager ID]],Table2[[Employee ID]:[Full Name]],4,FALSE)</f>
        <v>Sutan Tirtayasa Wasita</v>
      </c>
      <c r="J462" s="10" t="str">
        <f>INDEX(Employee!$D$4:$D$47,MATCH($H$4:$H$1003,Employee!$A$4:$A$47,0))</f>
        <v>Sutan Tirtayasa Wasita</v>
      </c>
      <c r="K462" s="10" t="s">
        <v>57</v>
      </c>
      <c r="L462" s="10" t="s">
        <v>546</v>
      </c>
      <c r="M462" s="10" t="s">
        <v>59</v>
      </c>
      <c r="N462" s="10" t="s">
        <v>60</v>
      </c>
      <c r="O462" s="10" t="s">
        <v>61</v>
      </c>
      <c r="P462" s="10">
        <v>43200</v>
      </c>
      <c r="Q462" s="15">
        <v>224250</v>
      </c>
      <c r="R462" s="15">
        <v>521399.99999999994</v>
      </c>
      <c r="S462" s="15">
        <f>Table1[[#This Row],[Retail Price]]-Table1[[#This Row],[Cost Price]]</f>
        <v>297149.99999999994</v>
      </c>
      <c r="T462" s="10">
        <v>10</v>
      </c>
      <c r="U462" s="15">
        <f>Table1[[#This Row],[Profit Margin]]*Table1[[#This Row],[Order Quantity]]</f>
        <v>2971499.9999999995</v>
      </c>
      <c r="V462" s="11">
        <v>0.03</v>
      </c>
      <c r="W462" s="15">
        <f t="shared" si="7"/>
        <v>89144.999999999985</v>
      </c>
      <c r="X462" s="15">
        <f>Table1[[#This Row],[Sub Total]]-Table1[[#This Row],[Discount Rp]]</f>
        <v>2882354.9999999995</v>
      </c>
      <c r="Y462" s="15">
        <f ca="1">OFFSET(Helper!$C$3,MATCH(Data!$N$4:$N$1003,Helper!$C$4:$C$9,0),MATCH(Data!$O$4:$O$1003,Helper!$D$3:$F$3,0))</f>
        <v>15000</v>
      </c>
      <c r="Z462" s="16">
        <f ca="1">Table1[[#This Row],[Order Total]]+Table1[[#This Row],[Shipping Cost]]</f>
        <v>2897354.9999999995</v>
      </c>
    </row>
    <row r="463" spans="1:26" ht="15.75" customHeight="1" x14ac:dyDescent="0.3">
      <c r="A463" s="9" t="s">
        <v>1153</v>
      </c>
      <c r="B463" s="18">
        <v>43200</v>
      </c>
      <c r="C463" s="10">
        <f>YEAR(Table1[[#This Row],[Order Date]])</f>
        <v>2018</v>
      </c>
      <c r="D463" s="10" t="s">
        <v>1152</v>
      </c>
      <c r="E463" s="10" t="s">
        <v>628</v>
      </c>
      <c r="F463" s="10" t="s">
        <v>71</v>
      </c>
      <c r="G463" s="10" t="s">
        <v>106</v>
      </c>
      <c r="H463" s="10" t="s">
        <v>304</v>
      </c>
      <c r="I463" s="10" t="str">
        <f>VLOOKUP(Table1[[#This Row],[Account Manager ID]],Table2[[Employee ID]:[Full Name]],4,FALSE)</f>
        <v>Sutan Tirtayasa Wasita</v>
      </c>
      <c r="J463" s="10" t="str">
        <f>INDEX(Employee!$D$4:$D$47,MATCH($H$4:$H$1003,Employee!$A$4:$A$47,0))</f>
        <v>Sutan Tirtayasa Wasita</v>
      </c>
      <c r="K463" s="10" t="s">
        <v>57</v>
      </c>
      <c r="L463" s="10" t="s">
        <v>700</v>
      </c>
      <c r="M463" s="10" t="s">
        <v>59</v>
      </c>
      <c r="N463" s="10" t="s">
        <v>67</v>
      </c>
      <c r="O463" s="10" t="s">
        <v>61</v>
      </c>
      <c r="P463" s="10">
        <v>43202</v>
      </c>
      <c r="Q463" s="15">
        <v>34650</v>
      </c>
      <c r="R463" s="15">
        <v>56700</v>
      </c>
      <c r="S463" s="15">
        <f>Table1[[#This Row],[Retail Price]]-Table1[[#This Row],[Cost Price]]</f>
        <v>22050</v>
      </c>
      <c r="T463" s="10">
        <v>41</v>
      </c>
      <c r="U463" s="15">
        <f>Table1[[#This Row],[Profit Margin]]*Table1[[#This Row],[Order Quantity]]</f>
        <v>904050</v>
      </c>
      <c r="V463" s="11">
        <v>0.02</v>
      </c>
      <c r="W463" s="15">
        <f t="shared" si="7"/>
        <v>18081</v>
      </c>
      <c r="X463" s="15">
        <f>Table1[[#This Row],[Sub Total]]-Table1[[#This Row],[Discount Rp]]</f>
        <v>885969</v>
      </c>
      <c r="Y463" s="15">
        <f ca="1">OFFSET(Helper!$C$3,MATCH(Data!$N$4:$N$1003,Helper!$C$4:$C$9,0),MATCH(Data!$O$4:$O$1003,Helper!$D$3:$F$3,0))</f>
        <v>5000</v>
      </c>
      <c r="Z463" s="16">
        <f ca="1">Table1[[#This Row],[Order Total]]+Table1[[#This Row],[Shipping Cost]]</f>
        <v>890969</v>
      </c>
    </row>
    <row r="464" spans="1:26" ht="15.75" customHeight="1" x14ac:dyDescent="0.3">
      <c r="A464" s="9" t="s">
        <v>1154</v>
      </c>
      <c r="B464" s="18">
        <v>43201</v>
      </c>
      <c r="C464" s="10">
        <f>YEAR(Table1[[#This Row],[Order Date]])</f>
        <v>2018</v>
      </c>
      <c r="D464" s="10" t="s">
        <v>1155</v>
      </c>
      <c r="E464" s="10" t="s">
        <v>101</v>
      </c>
      <c r="F464" s="10" t="s">
        <v>71</v>
      </c>
      <c r="G464" s="10" t="s">
        <v>87</v>
      </c>
      <c r="H464" s="10" t="s">
        <v>97</v>
      </c>
      <c r="I464" s="10" t="str">
        <f>VLOOKUP(Table1[[#This Row],[Account Manager ID]],Table2[[Employee ID]:[Full Name]],4,FALSE)</f>
        <v>Violet Mentari</v>
      </c>
      <c r="J464" s="10" t="str">
        <f>INDEX(Employee!$D$4:$D$47,MATCH($H$4:$H$1003,Employee!$A$4:$A$47,0))</f>
        <v>Violet Mentari</v>
      </c>
      <c r="K464" s="10" t="s">
        <v>57</v>
      </c>
      <c r="L464" s="10" t="s">
        <v>823</v>
      </c>
      <c r="M464" s="10" t="s">
        <v>59</v>
      </c>
      <c r="N464" s="10" t="s">
        <v>60</v>
      </c>
      <c r="O464" s="10" t="s">
        <v>61</v>
      </c>
      <c r="P464" s="10">
        <v>43203</v>
      </c>
      <c r="Q464" s="15">
        <v>106950</v>
      </c>
      <c r="R464" s="15">
        <v>314700</v>
      </c>
      <c r="S464" s="15">
        <f>Table1[[#This Row],[Retail Price]]-Table1[[#This Row],[Cost Price]]</f>
        <v>207750</v>
      </c>
      <c r="T464" s="10">
        <v>47</v>
      </c>
      <c r="U464" s="15">
        <f>Table1[[#This Row],[Profit Margin]]*Table1[[#This Row],[Order Quantity]]</f>
        <v>9764250</v>
      </c>
      <c r="V464" s="11">
        <v>0.01</v>
      </c>
      <c r="W464" s="15">
        <f t="shared" si="7"/>
        <v>97642.5</v>
      </c>
      <c r="X464" s="15">
        <f>Table1[[#This Row],[Sub Total]]-Table1[[#This Row],[Discount Rp]]</f>
        <v>9666607.5</v>
      </c>
      <c r="Y464" s="15">
        <f ca="1">OFFSET(Helper!$C$3,MATCH(Data!$N$4:$N$1003,Helper!$C$4:$C$9,0),MATCH(Data!$O$4:$O$1003,Helper!$D$3:$F$3,0))</f>
        <v>15000</v>
      </c>
      <c r="Z464" s="16">
        <f ca="1">Table1[[#This Row],[Order Total]]+Table1[[#This Row],[Shipping Cost]]</f>
        <v>9681607.5</v>
      </c>
    </row>
    <row r="465" spans="1:26" ht="15.75" customHeight="1" x14ac:dyDescent="0.3">
      <c r="A465" s="9" t="s">
        <v>1156</v>
      </c>
      <c r="B465" s="18">
        <v>43201</v>
      </c>
      <c r="C465" s="10">
        <f>YEAR(Table1[[#This Row],[Order Date]])</f>
        <v>2018</v>
      </c>
      <c r="D465" s="10" t="s">
        <v>1157</v>
      </c>
      <c r="E465" s="10" t="s">
        <v>145</v>
      </c>
      <c r="F465" s="10" t="s">
        <v>71</v>
      </c>
      <c r="G465" s="10" t="s">
        <v>72</v>
      </c>
      <c r="H465" s="10" t="s">
        <v>146</v>
      </c>
      <c r="I465" s="10" t="str">
        <f>VLOOKUP(Table1[[#This Row],[Account Manager ID]],Table2[[Employee ID]:[Full Name]],4,FALSE)</f>
        <v>Kenari Rajasa</v>
      </c>
      <c r="J465" s="10" t="str">
        <f>INDEX(Employee!$D$4:$D$47,MATCH($H$4:$H$1003,Employee!$A$4:$A$47,0))</f>
        <v>Kenari Rajasa</v>
      </c>
      <c r="K465" s="10" t="s">
        <v>107</v>
      </c>
      <c r="L465" s="10" t="s">
        <v>548</v>
      </c>
      <c r="M465" s="10" t="s">
        <v>59</v>
      </c>
      <c r="N465" s="10" t="s">
        <v>60</v>
      </c>
      <c r="O465" s="10" t="s">
        <v>61</v>
      </c>
      <c r="P465" s="10">
        <v>43201</v>
      </c>
      <c r="Q465" s="15">
        <v>332700</v>
      </c>
      <c r="R465" s="15">
        <v>811500</v>
      </c>
      <c r="S465" s="15">
        <f>Table1[[#This Row],[Retail Price]]-Table1[[#This Row],[Cost Price]]</f>
        <v>478800</v>
      </c>
      <c r="T465" s="10">
        <v>5</v>
      </c>
      <c r="U465" s="15">
        <f>Table1[[#This Row],[Profit Margin]]*Table1[[#This Row],[Order Quantity]]</f>
        <v>2394000</v>
      </c>
      <c r="V465" s="11">
        <v>0.04</v>
      </c>
      <c r="W465" s="15">
        <f t="shared" si="7"/>
        <v>95760</v>
      </c>
      <c r="X465" s="15">
        <f>Table1[[#This Row],[Sub Total]]-Table1[[#This Row],[Discount Rp]]</f>
        <v>2298240</v>
      </c>
      <c r="Y465" s="15">
        <f ca="1">OFFSET(Helper!$C$3,MATCH(Data!$N$4:$N$1003,Helper!$C$4:$C$9,0),MATCH(Data!$O$4:$O$1003,Helper!$D$3:$F$3,0))</f>
        <v>15000</v>
      </c>
      <c r="Z465" s="16">
        <f ca="1">Table1[[#This Row],[Order Total]]+Table1[[#This Row],[Shipping Cost]]</f>
        <v>2313240</v>
      </c>
    </row>
    <row r="466" spans="1:26" ht="15.75" customHeight="1" x14ac:dyDescent="0.3">
      <c r="A466" s="9" t="s">
        <v>1158</v>
      </c>
      <c r="B466" s="18">
        <v>43203</v>
      </c>
      <c r="C466" s="10">
        <f>YEAR(Table1[[#This Row],[Order Date]])</f>
        <v>2018</v>
      </c>
      <c r="D466" s="10" t="s">
        <v>1159</v>
      </c>
      <c r="E466" s="10" t="s">
        <v>1160</v>
      </c>
      <c r="F466" s="10" t="s">
        <v>71</v>
      </c>
      <c r="G466" s="10" t="s">
        <v>106</v>
      </c>
      <c r="H466" s="10" t="s">
        <v>304</v>
      </c>
      <c r="I466" s="10" t="str">
        <f>VLOOKUP(Table1[[#This Row],[Account Manager ID]],Table2[[Employee ID]:[Full Name]],4,FALSE)</f>
        <v>Sutan Tirtayasa Wasita</v>
      </c>
      <c r="J466" s="10" t="str">
        <f>INDEX(Employee!$D$4:$D$47,MATCH($H$4:$H$1003,Employee!$A$4:$A$47,0))</f>
        <v>Sutan Tirtayasa Wasita</v>
      </c>
      <c r="K466" s="10" t="s">
        <v>107</v>
      </c>
      <c r="L466" s="10" t="s">
        <v>954</v>
      </c>
      <c r="M466" s="10" t="s">
        <v>59</v>
      </c>
      <c r="N466" s="10" t="s">
        <v>60</v>
      </c>
      <c r="O466" s="10" t="s">
        <v>61</v>
      </c>
      <c r="P466" s="10">
        <v>43204</v>
      </c>
      <c r="Q466" s="15">
        <v>27300</v>
      </c>
      <c r="R466" s="15">
        <v>42600</v>
      </c>
      <c r="S466" s="15">
        <f>Table1[[#This Row],[Retail Price]]-Table1[[#This Row],[Cost Price]]</f>
        <v>15300</v>
      </c>
      <c r="T466" s="10">
        <v>27</v>
      </c>
      <c r="U466" s="15">
        <f>Table1[[#This Row],[Profit Margin]]*Table1[[#This Row],[Order Quantity]]</f>
        <v>413100</v>
      </c>
      <c r="V466" s="11">
        <v>0.03</v>
      </c>
      <c r="W466" s="15">
        <f t="shared" si="7"/>
        <v>12393</v>
      </c>
      <c r="X466" s="15">
        <f>Table1[[#This Row],[Sub Total]]-Table1[[#This Row],[Discount Rp]]</f>
        <v>400707</v>
      </c>
      <c r="Y466" s="15">
        <f ca="1">OFFSET(Helper!$C$3,MATCH(Data!$N$4:$N$1003,Helper!$C$4:$C$9,0),MATCH(Data!$O$4:$O$1003,Helper!$D$3:$F$3,0))</f>
        <v>15000</v>
      </c>
      <c r="Z466" s="16">
        <f ca="1">Table1[[#This Row],[Order Total]]+Table1[[#This Row],[Shipping Cost]]</f>
        <v>415707</v>
      </c>
    </row>
    <row r="467" spans="1:26" ht="15.75" customHeight="1" x14ac:dyDescent="0.3">
      <c r="A467" s="9" t="s">
        <v>1161</v>
      </c>
      <c r="B467" s="18">
        <v>43205</v>
      </c>
      <c r="C467" s="10">
        <f>YEAR(Table1[[#This Row],[Order Date]])</f>
        <v>2018</v>
      </c>
      <c r="D467" s="10" t="s">
        <v>1162</v>
      </c>
      <c r="E467" s="10" t="s">
        <v>180</v>
      </c>
      <c r="F467" s="10" t="s">
        <v>54</v>
      </c>
      <c r="G467" s="10" t="s">
        <v>106</v>
      </c>
      <c r="H467" s="10" t="s">
        <v>65</v>
      </c>
      <c r="I467" s="10" t="str">
        <f>VLOOKUP(Table1[[#This Row],[Account Manager ID]],Table2[[Employee ID]:[Full Name]],4,FALSE)</f>
        <v>Laras Nuraini</v>
      </c>
      <c r="J467" s="10" t="str">
        <f>INDEX(Employee!$D$4:$D$47,MATCH($H$4:$H$1003,Employee!$A$4:$A$47,0))</f>
        <v>Laras Nuraini</v>
      </c>
      <c r="K467" s="10" t="s">
        <v>107</v>
      </c>
      <c r="L467" s="10" t="s">
        <v>1163</v>
      </c>
      <c r="M467" s="10" t="s">
        <v>59</v>
      </c>
      <c r="N467" s="10" t="s">
        <v>136</v>
      </c>
      <c r="O467" s="10" t="s">
        <v>61</v>
      </c>
      <c r="P467" s="10">
        <v>43207</v>
      </c>
      <c r="Q467" s="15">
        <v>43050</v>
      </c>
      <c r="R467" s="15">
        <v>102600</v>
      </c>
      <c r="S467" s="15">
        <f>Table1[[#This Row],[Retail Price]]-Table1[[#This Row],[Cost Price]]</f>
        <v>59550</v>
      </c>
      <c r="T467" s="10">
        <v>35</v>
      </c>
      <c r="U467" s="15">
        <f>Table1[[#This Row],[Profit Margin]]*Table1[[#This Row],[Order Quantity]]</f>
        <v>2084250</v>
      </c>
      <c r="V467" s="11">
        <v>0.01</v>
      </c>
      <c r="W467" s="15">
        <f t="shared" si="7"/>
        <v>20842.5</v>
      </c>
      <c r="X467" s="15">
        <f>Table1[[#This Row],[Sub Total]]-Table1[[#This Row],[Discount Rp]]</f>
        <v>2063407.5</v>
      </c>
      <c r="Y467" s="15">
        <f ca="1">OFFSET(Helper!$C$3,MATCH(Data!$N$4:$N$1003,Helper!$C$4:$C$9,0),MATCH(Data!$O$4:$O$1003,Helper!$D$3:$F$3,0))</f>
        <v>10000</v>
      </c>
      <c r="Z467" s="16">
        <f ca="1">Table1[[#This Row],[Order Total]]+Table1[[#This Row],[Shipping Cost]]</f>
        <v>2073407.5</v>
      </c>
    </row>
    <row r="468" spans="1:26" ht="15.75" customHeight="1" x14ac:dyDescent="0.3">
      <c r="A468" s="9" t="s">
        <v>1164</v>
      </c>
      <c r="B468" s="18">
        <v>43206</v>
      </c>
      <c r="C468" s="10">
        <f>YEAR(Table1[[#This Row],[Order Date]])</f>
        <v>2018</v>
      </c>
      <c r="D468" s="10" t="s">
        <v>1165</v>
      </c>
      <c r="E468" s="10" t="s">
        <v>539</v>
      </c>
      <c r="F468" s="10" t="s">
        <v>71</v>
      </c>
      <c r="G468" s="10" t="s">
        <v>72</v>
      </c>
      <c r="H468" s="10" t="s">
        <v>146</v>
      </c>
      <c r="I468" s="10" t="str">
        <f>VLOOKUP(Table1[[#This Row],[Account Manager ID]],Table2[[Employee ID]:[Full Name]],4,FALSE)</f>
        <v>Kenari Rajasa</v>
      </c>
      <c r="J468" s="10" t="str">
        <f>INDEX(Employee!$D$4:$D$47,MATCH($H$4:$H$1003,Employee!$A$4:$A$47,0))</f>
        <v>Kenari Rajasa</v>
      </c>
      <c r="K468" s="10" t="s">
        <v>92</v>
      </c>
      <c r="L468" s="10" t="s">
        <v>242</v>
      </c>
      <c r="M468" s="10" t="s">
        <v>81</v>
      </c>
      <c r="N468" s="10" t="s">
        <v>60</v>
      </c>
      <c r="O468" s="10" t="s">
        <v>61</v>
      </c>
      <c r="P468" s="10">
        <v>43208</v>
      </c>
      <c r="Q468" s="15">
        <v>296700</v>
      </c>
      <c r="R468" s="15">
        <v>689850</v>
      </c>
      <c r="S468" s="15">
        <f>Table1[[#This Row],[Retail Price]]-Table1[[#This Row],[Cost Price]]</f>
        <v>393150</v>
      </c>
      <c r="T468" s="10">
        <v>50</v>
      </c>
      <c r="U468" s="15">
        <f>Table1[[#This Row],[Profit Margin]]*Table1[[#This Row],[Order Quantity]]</f>
        <v>19657500</v>
      </c>
      <c r="V468" s="11">
        <v>0</v>
      </c>
      <c r="W468" s="15">
        <f t="shared" si="7"/>
        <v>0</v>
      </c>
      <c r="X468" s="15">
        <f>Table1[[#This Row],[Sub Total]]-Table1[[#This Row],[Discount Rp]]</f>
        <v>19657500</v>
      </c>
      <c r="Y468" s="15">
        <f ca="1">OFFSET(Helper!$C$3,MATCH(Data!$N$4:$N$1003,Helper!$C$4:$C$9,0),MATCH(Data!$O$4:$O$1003,Helper!$D$3:$F$3,0))</f>
        <v>15000</v>
      </c>
      <c r="Z468" s="16">
        <f ca="1">Table1[[#This Row],[Order Total]]+Table1[[#This Row],[Shipping Cost]]</f>
        <v>19672500</v>
      </c>
    </row>
    <row r="469" spans="1:26" ht="15.75" customHeight="1" x14ac:dyDescent="0.3">
      <c r="A469" s="9" t="s">
        <v>1166</v>
      </c>
      <c r="B469" s="18">
        <v>43206</v>
      </c>
      <c r="C469" s="10">
        <f>YEAR(Table1[[#This Row],[Order Date]])</f>
        <v>2018</v>
      </c>
      <c r="D469" s="10" t="s">
        <v>1167</v>
      </c>
      <c r="E469" s="10" t="s">
        <v>485</v>
      </c>
      <c r="F469" s="10" t="s">
        <v>71</v>
      </c>
      <c r="G469" s="10" t="s">
        <v>55</v>
      </c>
      <c r="H469" s="10" t="s">
        <v>185</v>
      </c>
      <c r="I469" s="10" t="str">
        <f>VLOOKUP(Table1[[#This Row],[Account Manager ID]],Table2[[Employee ID]:[Full Name]],4,FALSE)</f>
        <v>Clara Prasetyo</v>
      </c>
      <c r="J469" s="10" t="str">
        <f>INDEX(Employee!$D$4:$D$47,MATCH($H$4:$H$1003,Employee!$A$4:$A$47,0))</f>
        <v>Clara Prasetyo</v>
      </c>
      <c r="K469" s="10" t="s">
        <v>117</v>
      </c>
      <c r="L469" s="10" t="s">
        <v>1168</v>
      </c>
      <c r="M469" s="10" t="s">
        <v>59</v>
      </c>
      <c r="N469" s="10" t="s">
        <v>67</v>
      </c>
      <c r="O469" s="10" t="s">
        <v>61</v>
      </c>
      <c r="P469" s="10">
        <v>43208</v>
      </c>
      <c r="Q469" s="15">
        <v>40200</v>
      </c>
      <c r="R469" s="15">
        <v>91200</v>
      </c>
      <c r="S469" s="15">
        <f>Table1[[#This Row],[Retail Price]]-Table1[[#This Row],[Cost Price]]</f>
        <v>51000</v>
      </c>
      <c r="T469" s="10">
        <v>30</v>
      </c>
      <c r="U469" s="15">
        <f>Table1[[#This Row],[Profit Margin]]*Table1[[#This Row],[Order Quantity]]</f>
        <v>1530000</v>
      </c>
      <c r="V469" s="11">
        <v>0.04</v>
      </c>
      <c r="W469" s="15">
        <f t="shared" si="7"/>
        <v>61200</v>
      </c>
      <c r="X469" s="15">
        <f>Table1[[#This Row],[Sub Total]]-Table1[[#This Row],[Discount Rp]]</f>
        <v>1468800</v>
      </c>
      <c r="Y469" s="15">
        <f ca="1">OFFSET(Helper!$C$3,MATCH(Data!$N$4:$N$1003,Helper!$C$4:$C$9,0),MATCH(Data!$O$4:$O$1003,Helper!$D$3:$F$3,0))</f>
        <v>5000</v>
      </c>
      <c r="Z469" s="16">
        <f ca="1">Table1[[#This Row],[Order Total]]+Table1[[#This Row],[Shipping Cost]]</f>
        <v>1473800</v>
      </c>
    </row>
    <row r="470" spans="1:26" ht="15.75" customHeight="1" x14ac:dyDescent="0.3">
      <c r="A470" s="9" t="s">
        <v>1169</v>
      </c>
      <c r="B470" s="18">
        <v>43211</v>
      </c>
      <c r="C470" s="10">
        <f>YEAR(Table1[[#This Row],[Order Date]])</f>
        <v>2018</v>
      </c>
      <c r="D470" s="10" t="s">
        <v>1072</v>
      </c>
      <c r="E470" s="10" t="s">
        <v>1073</v>
      </c>
      <c r="F470" s="10" t="s">
        <v>54</v>
      </c>
      <c r="G470" s="10" t="s">
        <v>72</v>
      </c>
      <c r="H470" s="10" t="s">
        <v>56</v>
      </c>
      <c r="I470" s="10" t="str">
        <f>VLOOKUP(Table1[[#This Row],[Account Manager ID]],Table2[[Employee ID]:[Full Name]],4,FALSE)</f>
        <v>Gaduh Pratama</v>
      </c>
      <c r="J470" s="10" t="str">
        <f>INDEX(Employee!$D$4:$D$47,MATCH($H$4:$H$1003,Employee!$A$4:$A$47,0))</f>
        <v>Gaduh Pratama</v>
      </c>
      <c r="K470" s="10" t="s">
        <v>117</v>
      </c>
      <c r="L470" s="10" t="s">
        <v>113</v>
      </c>
      <c r="M470" s="10" t="s">
        <v>59</v>
      </c>
      <c r="N470" s="10" t="s">
        <v>60</v>
      </c>
      <c r="O470" s="10" t="s">
        <v>61</v>
      </c>
      <c r="P470" s="10">
        <v>43213</v>
      </c>
      <c r="Q470" s="15">
        <v>79950</v>
      </c>
      <c r="R470" s="15">
        <v>129000</v>
      </c>
      <c r="S470" s="15">
        <f>Table1[[#This Row],[Retail Price]]-Table1[[#This Row],[Cost Price]]</f>
        <v>49050</v>
      </c>
      <c r="T470" s="10">
        <v>48</v>
      </c>
      <c r="U470" s="15">
        <f>Table1[[#This Row],[Profit Margin]]*Table1[[#This Row],[Order Quantity]]</f>
        <v>2354400</v>
      </c>
      <c r="V470" s="11">
        <v>0.02</v>
      </c>
      <c r="W470" s="15">
        <f t="shared" si="7"/>
        <v>47088</v>
      </c>
      <c r="X470" s="15">
        <f>Table1[[#This Row],[Sub Total]]-Table1[[#This Row],[Discount Rp]]</f>
        <v>2307312</v>
      </c>
      <c r="Y470" s="15">
        <f ca="1">OFFSET(Helper!$C$3,MATCH(Data!$N$4:$N$1003,Helper!$C$4:$C$9,0),MATCH(Data!$O$4:$O$1003,Helper!$D$3:$F$3,0))</f>
        <v>15000</v>
      </c>
      <c r="Z470" s="16">
        <f ca="1">Table1[[#This Row],[Order Total]]+Table1[[#This Row],[Shipping Cost]]</f>
        <v>2322312</v>
      </c>
    </row>
    <row r="471" spans="1:26" ht="15.75" customHeight="1" x14ac:dyDescent="0.3">
      <c r="A471" s="9" t="s">
        <v>1170</v>
      </c>
      <c r="B471" s="18">
        <v>43211</v>
      </c>
      <c r="C471" s="10">
        <f>YEAR(Table1[[#This Row],[Order Date]])</f>
        <v>2018</v>
      </c>
      <c r="D471" s="10" t="s">
        <v>523</v>
      </c>
      <c r="E471" s="10" t="s">
        <v>222</v>
      </c>
      <c r="F471" s="10" t="s">
        <v>71</v>
      </c>
      <c r="G471" s="10" t="s">
        <v>87</v>
      </c>
      <c r="H471" s="10" t="s">
        <v>155</v>
      </c>
      <c r="I471" s="10" t="str">
        <f>VLOOKUP(Table1[[#This Row],[Account Manager ID]],Table2[[Employee ID]:[Full Name]],4,FALSE)</f>
        <v>Puti Nadine Prakasa</v>
      </c>
      <c r="J471" s="10" t="str">
        <f>INDEX(Employee!$D$4:$D$47,MATCH($H$4:$H$1003,Employee!$A$4:$A$47,0))</f>
        <v>Puti Nadine Prakasa</v>
      </c>
      <c r="K471" s="10" t="s">
        <v>107</v>
      </c>
      <c r="L471" s="10" t="s">
        <v>419</v>
      </c>
      <c r="M471" s="10" t="s">
        <v>59</v>
      </c>
      <c r="N471" s="10" t="s">
        <v>60</v>
      </c>
      <c r="O471" s="10" t="s">
        <v>76</v>
      </c>
      <c r="P471" s="10">
        <v>43213</v>
      </c>
      <c r="Q471" s="15">
        <v>66900</v>
      </c>
      <c r="R471" s="15">
        <v>163350</v>
      </c>
      <c r="S471" s="15">
        <f>Table1[[#This Row],[Retail Price]]-Table1[[#This Row],[Cost Price]]</f>
        <v>96450</v>
      </c>
      <c r="T471" s="10">
        <v>37</v>
      </c>
      <c r="U471" s="15">
        <f>Table1[[#This Row],[Profit Margin]]*Table1[[#This Row],[Order Quantity]]</f>
        <v>3568650</v>
      </c>
      <c r="V471" s="11">
        <v>0</v>
      </c>
      <c r="W471" s="15">
        <f t="shared" si="7"/>
        <v>0</v>
      </c>
      <c r="X471" s="15">
        <f>Table1[[#This Row],[Sub Total]]-Table1[[#This Row],[Discount Rp]]</f>
        <v>3568650</v>
      </c>
      <c r="Y471" s="15">
        <f ca="1">OFFSET(Helper!$C$3,MATCH(Data!$N$4:$N$1003,Helper!$C$4:$C$9,0),MATCH(Data!$O$4:$O$1003,Helper!$D$3:$F$3,0))</f>
        <v>30000</v>
      </c>
      <c r="Z471" s="16">
        <f ca="1">Table1[[#This Row],[Order Total]]+Table1[[#This Row],[Shipping Cost]]</f>
        <v>3598650</v>
      </c>
    </row>
    <row r="472" spans="1:26" ht="15.75" customHeight="1" x14ac:dyDescent="0.3">
      <c r="A472" s="9" t="s">
        <v>1171</v>
      </c>
      <c r="B472" s="18">
        <v>43213</v>
      </c>
      <c r="C472" s="10">
        <f>YEAR(Table1[[#This Row],[Order Date]])</f>
        <v>2018</v>
      </c>
      <c r="D472" s="10" t="s">
        <v>1172</v>
      </c>
      <c r="E472" s="10" t="s">
        <v>116</v>
      </c>
      <c r="F472" s="10" t="s">
        <v>54</v>
      </c>
      <c r="G472" s="10" t="s">
        <v>87</v>
      </c>
      <c r="H472" s="10" t="s">
        <v>56</v>
      </c>
      <c r="I472" s="10" t="str">
        <f>VLOOKUP(Table1[[#This Row],[Account Manager ID]],Table2[[Employee ID]:[Full Name]],4,FALSE)</f>
        <v>Gaduh Pratama</v>
      </c>
      <c r="J472" s="10" t="str">
        <f>INDEX(Employee!$D$4:$D$47,MATCH($H$4:$H$1003,Employee!$A$4:$A$47,0))</f>
        <v>Gaduh Pratama</v>
      </c>
      <c r="K472" s="10" t="s">
        <v>57</v>
      </c>
      <c r="L472" s="10" t="s">
        <v>863</v>
      </c>
      <c r="M472" s="10" t="s">
        <v>59</v>
      </c>
      <c r="N472" s="10" t="s">
        <v>67</v>
      </c>
      <c r="O472" s="10" t="s">
        <v>61</v>
      </c>
      <c r="P472" s="10">
        <v>43215</v>
      </c>
      <c r="Q472" s="15">
        <v>13050</v>
      </c>
      <c r="R472" s="15">
        <v>27150</v>
      </c>
      <c r="S472" s="15">
        <f>Table1[[#This Row],[Retail Price]]-Table1[[#This Row],[Cost Price]]</f>
        <v>14100</v>
      </c>
      <c r="T472" s="10">
        <v>9</v>
      </c>
      <c r="U472" s="15">
        <f>Table1[[#This Row],[Profit Margin]]*Table1[[#This Row],[Order Quantity]]</f>
        <v>126900</v>
      </c>
      <c r="V472" s="11">
        <v>0.09</v>
      </c>
      <c r="W472" s="15">
        <f t="shared" si="7"/>
        <v>11421</v>
      </c>
      <c r="X472" s="15">
        <f>Table1[[#This Row],[Sub Total]]-Table1[[#This Row],[Discount Rp]]</f>
        <v>115479</v>
      </c>
      <c r="Y472" s="15">
        <f ca="1">OFFSET(Helper!$C$3,MATCH(Data!$N$4:$N$1003,Helper!$C$4:$C$9,0),MATCH(Data!$O$4:$O$1003,Helper!$D$3:$F$3,0))</f>
        <v>5000</v>
      </c>
      <c r="Z472" s="16">
        <f ca="1">Table1[[#This Row],[Order Total]]+Table1[[#This Row],[Shipping Cost]]</f>
        <v>120479</v>
      </c>
    </row>
    <row r="473" spans="1:26" ht="15.75" customHeight="1" x14ac:dyDescent="0.3">
      <c r="A473" s="9" t="s">
        <v>1173</v>
      </c>
      <c r="B473" s="18">
        <v>43214</v>
      </c>
      <c r="C473" s="10">
        <f>YEAR(Table1[[#This Row],[Order Date]])</f>
        <v>2018</v>
      </c>
      <c r="D473" s="10" t="s">
        <v>1174</v>
      </c>
      <c r="E473" s="10" t="s">
        <v>172</v>
      </c>
      <c r="F473" s="10" t="s">
        <v>54</v>
      </c>
      <c r="G473" s="10" t="s">
        <v>55</v>
      </c>
      <c r="H473" s="10" t="s">
        <v>65</v>
      </c>
      <c r="I473" s="10" t="str">
        <f>VLOOKUP(Table1[[#This Row],[Account Manager ID]],Table2[[Employee ID]:[Full Name]],4,FALSE)</f>
        <v>Laras Nuraini</v>
      </c>
      <c r="J473" s="10" t="str">
        <f>INDEX(Employee!$D$4:$D$47,MATCH($H$4:$H$1003,Employee!$A$4:$A$47,0))</f>
        <v>Laras Nuraini</v>
      </c>
      <c r="K473" s="10" t="s">
        <v>117</v>
      </c>
      <c r="L473" s="10" t="s">
        <v>234</v>
      </c>
      <c r="M473" s="10" t="s">
        <v>59</v>
      </c>
      <c r="N473" s="10" t="s">
        <v>60</v>
      </c>
      <c r="O473" s="10" t="s">
        <v>61</v>
      </c>
      <c r="P473" s="10">
        <v>43216</v>
      </c>
      <c r="Q473" s="15">
        <v>208200</v>
      </c>
      <c r="R473" s="15">
        <v>335700</v>
      </c>
      <c r="S473" s="15">
        <f>Table1[[#This Row],[Retail Price]]-Table1[[#This Row],[Cost Price]]</f>
        <v>127500</v>
      </c>
      <c r="T473" s="10">
        <v>50</v>
      </c>
      <c r="U473" s="15">
        <f>Table1[[#This Row],[Profit Margin]]*Table1[[#This Row],[Order Quantity]]</f>
        <v>6375000</v>
      </c>
      <c r="V473" s="11">
        <v>7.0000000000000007E-2</v>
      </c>
      <c r="W473" s="15">
        <f t="shared" si="7"/>
        <v>446250.00000000006</v>
      </c>
      <c r="X473" s="15">
        <f>Table1[[#This Row],[Sub Total]]-Table1[[#This Row],[Discount Rp]]</f>
        <v>5928750</v>
      </c>
      <c r="Y473" s="15">
        <f ca="1">OFFSET(Helper!$C$3,MATCH(Data!$N$4:$N$1003,Helper!$C$4:$C$9,0),MATCH(Data!$O$4:$O$1003,Helper!$D$3:$F$3,0))</f>
        <v>15000</v>
      </c>
      <c r="Z473" s="16">
        <f ca="1">Table1[[#This Row],[Order Total]]+Table1[[#This Row],[Shipping Cost]]</f>
        <v>5943750</v>
      </c>
    </row>
    <row r="474" spans="1:26" ht="15.75" customHeight="1" x14ac:dyDescent="0.3">
      <c r="A474" s="9" t="s">
        <v>1175</v>
      </c>
      <c r="B474" s="18">
        <v>43214</v>
      </c>
      <c r="C474" s="10">
        <f>YEAR(Table1[[#This Row],[Order Date]])</f>
        <v>2018</v>
      </c>
      <c r="D474" s="10" t="s">
        <v>296</v>
      </c>
      <c r="E474" s="10" t="s">
        <v>53</v>
      </c>
      <c r="F474" s="10" t="s">
        <v>54</v>
      </c>
      <c r="G474" s="10" t="s">
        <v>87</v>
      </c>
      <c r="H474" s="10" t="s">
        <v>56</v>
      </c>
      <c r="I474" s="10" t="str">
        <f>VLOOKUP(Table1[[#This Row],[Account Manager ID]],Table2[[Employee ID]:[Full Name]],4,FALSE)</f>
        <v>Gaduh Pratama</v>
      </c>
      <c r="J474" s="10" t="str">
        <f>INDEX(Employee!$D$4:$D$47,MATCH($H$4:$H$1003,Employee!$A$4:$A$47,0))</f>
        <v>Gaduh Pratama</v>
      </c>
      <c r="K474" s="10" t="s">
        <v>92</v>
      </c>
      <c r="L474" s="10" t="s">
        <v>390</v>
      </c>
      <c r="M474" s="10" t="s">
        <v>59</v>
      </c>
      <c r="N474" s="10" t="s">
        <v>67</v>
      </c>
      <c r="O474" s="10" t="s">
        <v>61</v>
      </c>
      <c r="P474" s="10">
        <v>43214</v>
      </c>
      <c r="Q474" s="15">
        <v>19650</v>
      </c>
      <c r="R474" s="15">
        <v>42600</v>
      </c>
      <c r="S474" s="15">
        <f>Table1[[#This Row],[Retail Price]]-Table1[[#This Row],[Cost Price]]</f>
        <v>22950</v>
      </c>
      <c r="T474" s="10">
        <v>21</v>
      </c>
      <c r="U474" s="15">
        <f>Table1[[#This Row],[Profit Margin]]*Table1[[#This Row],[Order Quantity]]</f>
        <v>481950</v>
      </c>
      <c r="V474" s="11">
        <v>0</v>
      </c>
      <c r="W474" s="15">
        <f t="shared" si="7"/>
        <v>0</v>
      </c>
      <c r="X474" s="15">
        <f>Table1[[#This Row],[Sub Total]]-Table1[[#This Row],[Discount Rp]]</f>
        <v>481950</v>
      </c>
      <c r="Y474" s="15">
        <f ca="1">OFFSET(Helper!$C$3,MATCH(Data!$N$4:$N$1003,Helper!$C$4:$C$9,0),MATCH(Data!$O$4:$O$1003,Helper!$D$3:$F$3,0))</f>
        <v>5000</v>
      </c>
      <c r="Z474" s="16">
        <f ca="1">Table1[[#This Row],[Order Total]]+Table1[[#This Row],[Shipping Cost]]</f>
        <v>486950</v>
      </c>
    </row>
    <row r="475" spans="1:26" ht="15.75" customHeight="1" x14ac:dyDescent="0.3">
      <c r="A475" s="9" t="s">
        <v>1176</v>
      </c>
      <c r="B475" s="18">
        <v>43215</v>
      </c>
      <c r="C475" s="10">
        <f>YEAR(Table1[[#This Row],[Order Date]])</f>
        <v>2018</v>
      </c>
      <c r="D475" s="10" t="s">
        <v>1177</v>
      </c>
      <c r="E475" s="10" t="s">
        <v>449</v>
      </c>
      <c r="F475" s="10" t="s">
        <v>54</v>
      </c>
      <c r="G475" s="10" t="s">
        <v>72</v>
      </c>
      <c r="H475" s="10" t="s">
        <v>56</v>
      </c>
      <c r="I475" s="10" t="str">
        <f>VLOOKUP(Table1[[#This Row],[Account Manager ID]],Table2[[Employee ID]:[Full Name]],4,FALSE)</f>
        <v>Gaduh Pratama</v>
      </c>
      <c r="J475" s="10" t="str">
        <f>INDEX(Employee!$D$4:$D$47,MATCH($H$4:$H$1003,Employee!$A$4:$A$47,0))</f>
        <v>Gaduh Pratama</v>
      </c>
      <c r="K475" s="10" t="s">
        <v>107</v>
      </c>
      <c r="L475" s="10" t="s">
        <v>300</v>
      </c>
      <c r="M475" s="10" t="s">
        <v>81</v>
      </c>
      <c r="N475" s="10" t="s">
        <v>136</v>
      </c>
      <c r="O475" s="10" t="s">
        <v>61</v>
      </c>
      <c r="P475" s="10">
        <v>43216</v>
      </c>
      <c r="Q475" s="15">
        <v>302700</v>
      </c>
      <c r="R475" s="15">
        <v>531150</v>
      </c>
      <c r="S475" s="15">
        <f>Table1[[#This Row],[Retail Price]]-Table1[[#This Row],[Cost Price]]</f>
        <v>228450</v>
      </c>
      <c r="T475" s="10">
        <v>1</v>
      </c>
      <c r="U475" s="15">
        <f>Table1[[#This Row],[Profit Margin]]*Table1[[#This Row],[Order Quantity]]</f>
        <v>228450</v>
      </c>
      <c r="V475" s="11">
        <v>0</v>
      </c>
      <c r="W475" s="15">
        <f t="shared" si="7"/>
        <v>0</v>
      </c>
      <c r="X475" s="15">
        <f>Table1[[#This Row],[Sub Total]]-Table1[[#This Row],[Discount Rp]]</f>
        <v>228450</v>
      </c>
      <c r="Y475" s="15">
        <f ca="1">OFFSET(Helper!$C$3,MATCH(Data!$N$4:$N$1003,Helper!$C$4:$C$9,0),MATCH(Data!$O$4:$O$1003,Helper!$D$3:$F$3,0))</f>
        <v>10000</v>
      </c>
      <c r="Z475" s="16">
        <f ca="1">Table1[[#This Row],[Order Total]]+Table1[[#This Row],[Shipping Cost]]</f>
        <v>238450</v>
      </c>
    </row>
    <row r="476" spans="1:26" ht="15.75" customHeight="1" x14ac:dyDescent="0.3">
      <c r="A476" s="9" t="s">
        <v>1178</v>
      </c>
      <c r="B476" s="18">
        <v>43215</v>
      </c>
      <c r="C476" s="10">
        <f>YEAR(Table1[[#This Row],[Order Date]])</f>
        <v>2018</v>
      </c>
      <c r="D476" s="10" t="s">
        <v>805</v>
      </c>
      <c r="E476" s="10" t="s">
        <v>594</v>
      </c>
      <c r="F476" s="10" t="s">
        <v>71</v>
      </c>
      <c r="G476" s="10" t="s">
        <v>55</v>
      </c>
      <c r="H476" s="10" t="s">
        <v>194</v>
      </c>
      <c r="I476" s="10" t="str">
        <f>VLOOKUP(Table1[[#This Row],[Account Manager ID]],Table2[[Employee ID]:[Full Name]],4,FALSE)</f>
        <v>Nabila Prakasa</v>
      </c>
      <c r="J476" s="10" t="str">
        <f>INDEX(Employee!$D$4:$D$47,MATCH($H$4:$H$1003,Employee!$A$4:$A$47,0))</f>
        <v>Nabila Prakasa</v>
      </c>
      <c r="K476" s="10" t="s">
        <v>107</v>
      </c>
      <c r="L476" s="10" t="s">
        <v>89</v>
      </c>
      <c r="M476" s="10" t="s">
        <v>59</v>
      </c>
      <c r="N476" s="10" t="s">
        <v>67</v>
      </c>
      <c r="O476" s="10" t="s">
        <v>61</v>
      </c>
      <c r="P476" s="10">
        <v>43217</v>
      </c>
      <c r="Q476" s="15">
        <v>13500</v>
      </c>
      <c r="R476" s="15">
        <v>31500</v>
      </c>
      <c r="S476" s="15">
        <f>Table1[[#This Row],[Retail Price]]-Table1[[#This Row],[Cost Price]]</f>
        <v>18000</v>
      </c>
      <c r="T476" s="10">
        <v>23</v>
      </c>
      <c r="U476" s="15">
        <f>Table1[[#This Row],[Profit Margin]]*Table1[[#This Row],[Order Quantity]]</f>
        <v>414000</v>
      </c>
      <c r="V476" s="11">
        <v>0.06</v>
      </c>
      <c r="W476" s="15">
        <f t="shared" si="7"/>
        <v>24840</v>
      </c>
      <c r="X476" s="15">
        <f>Table1[[#This Row],[Sub Total]]-Table1[[#This Row],[Discount Rp]]</f>
        <v>389160</v>
      </c>
      <c r="Y476" s="15">
        <f ca="1">OFFSET(Helper!$C$3,MATCH(Data!$N$4:$N$1003,Helper!$C$4:$C$9,0),MATCH(Data!$O$4:$O$1003,Helper!$D$3:$F$3,0))</f>
        <v>5000</v>
      </c>
      <c r="Z476" s="16">
        <f ca="1">Table1[[#This Row],[Order Total]]+Table1[[#This Row],[Shipping Cost]]</f>
        <v>394160</v>
      </c>
    </row>
    <row r="477" spans="1:26" ht="15.75" customHeight="1" x14ac:dyDescent="0.3">
      <c r="A477" s="9" t="s">
        <v>1179</v>
      </c>
      <c r="B477" s="18">
        <v>43216</v>
      </c>
      <c r="C477" s="10">
        <f>YEAR(Table1[[#This Row],[Order Date]])</f>
        <v>2018</v>
      </c>
      <c r="D477" s="10" t="s">
        <v>1180</v>
      </c>
      <c r="E477" s="10" t="s">
        <v>628</v>
      </c>
      <c r="F477" s="10" t="s">
        <v>71</v>
      </c>
      <c r="G477" s="10" t="s">
        <v>72</v>
      </c>
      <c r="H477" s="10" t="s">
        <v>304</v>
      </c>
      <c r="I477" s="10" t="str">
        <f>VLOOKUP(Table1[[#This Row],[Account Manager ID]],Table2[[Employee ID]:[Full Name]],4,FALSE)</f>
        <v>Sutan Tirtayasa Wasita</v>
      </c>
      <c r="J477" s="10" t="str">
        <f>INDEX(Employee!$D$4:$D$47,MATCH($H$4:$H$1003,Employee!$A$4:$A$47,0))</f>
        <v>Sutan Tirtayasa Wasita</v>
      </c>
      <c r="K477" s="10" t="s">
        <v>107</v>
      </c>
      <c r="L477" s="10" t="s">
        <v>162</v>
      </c>
      <c r="M477" s="10" t="s">
        <v>59</v>
      </c>
      <c r="N477" s="10" t="s">
        <v>60</v>
      </c>
      <c r="O477" s="10" t="s">
        <v>61</v>
      </c>
      <c r="P477" s="10">
        <v>43218</v>
      </c>
      <c r="Q477" s="15">
        <v>52800</v>
      </c>
      <c r="R477" s="15">
        <v>85200</v>
      </c>
      <c r="S477" s="15">
        <f>Table1[[#This Row],[Retail Price]]-Table1[[#This Row],[Cost Price]]</f>
        <v>32400</v>
      </c>
      <c r="T477" s="10">
        <v>18</v>
      </c>
      <c r="U477" s="15">
        <f>Table1[[#This Row],[Profit Margin]]*Table1[[#This Row],[Order Quantity]]</f>
        <v>583200</v>
      </c>
      <c r="V477" s="11">
        <v>0.06</v>
      </c>
      <c r="W477" s="15">
        <f t="shared" si="7"/>
        <v>34992</v>
      </c>
      <c r="X477" s="15">
        <f>Table1[[#This Row],[Sub Total]]-Table1[[#This Row],[Discount Rp]]</f>
        <v>548208</v>
      </c>
      <c r="Y477" s="15">
        <f ca="1">OFFSET(Helper!$C$3,MATCH(Data!$N$4:$N$1003,Helper!$C$4:$C$9,0),MATCH(Data!$O$4:$O$1003,Helper!$D$3:$F$3,0))</f>
        <v>15000</v>
      </c>
      <c r="Z477" s="16">
        <f ca="1">Table1[[#This Row],[Order Total]]+Table1[[#This Row],[Shipping Cost]]</f>
        <v>563208</v>
      </c>
    </row>
    <row r="478" spans="1:26" ht="15.75" customHeight="1" x14ac:dyDescent="0.3">
      <c r="A478" s="9" t="s">
        <v>1181</v>
      </c>
      <c r="B478" s="18">
        <v>43216</v>
      </c>
      <c r="C478" s="10">
        <f>YEAR(Table1[[#This Row],[Order Date]])</f>
        <v>2018</v>
      </c>
      <c r="D478" s="10" t="s">
        <v>240</v>
      </c>
      <c r="E478" s="10" t="s">
        <v>241</v>
      </c>
      <c r="F478" s="10" t="s">
        <v>71</v>
      </c>
      <c r="G478" s="10" t="s">
        <v>87</v>
      </c>
      <c r="H478" s="10" t="s">
        <v>146</v>
      </c>
      <c r="I478" s="10" t="str">
        <f>VLOOKUP(Table1[[#This Row],[Account Manager ID]],Table2[[Employee ID]:[Full Name]],4,FALSE)</f>
        <v>Kenari Rajasa</v>
      </c>
      <c r="J478" s="10" t="str">
        <f>INDEX(Employee!$D$4:$D$47,MATCH($H$4:$H$1003,Employee!$A$4:$A$47,0))</f>
        <v>Kenari Rajasa</v>
      </c>
      <c r="K478" s="10" t="s">
        <v>74</v>
      </c>
      <c r="L478" s="10" t="s">
        <v>331</v>
      </c>
      <c r="M478" s="10" t="s">
        <v>59</v>
      </c>
      <c r="N478" s="10" t="s">
        <v>67</v>
      </c>
      <c r="O478" s="10" t="s">
        <v>61</v>
      </c>
      <c r="P478" s="10">
        <v>43217</v>
      </c>
      <c r="Q478" s="15">
        <v>43500</v>
      </c>
      <c r="R478" s="15">
        <v>71400</v>
      </c>
      <c r="S478" s="15">
        <f>Table1[[#This Row],[Retail Price]]-Table1[[#This Row],[Cost Price]]</f>
        <v>27900</v>
      </c>
      <c r="T478" s="10">
        <v>42</v>
      </c>
      <c r="U478" s="15">
        <f>Table1[[#This Row],[Profit Margin]]*Table1[[#This Row],[Order Quantity]]</f>
        <v>1171800</v>
      </c>
      <c r="V478" s="11">
        <v>7.0000000000000007E-2</v>
      </c>
      <c r="W478" s="15">
        <f t="shared" si="7"/>
        <v>82026.000000000015</v>
      </c>
      <c r="X478" s="15">
        <f>Table1[[#This Row],[Sub Total]]-Table1[[#This Row],[Discount Rp]]</f>
        <v>1089774</v>
      </c>
      <c r="Y478" s="15">
        <f ca="1">OFFSET(Helper!$C$3,MATCH(Data!$N$4:$N$1003,Helper!$C$4:$C$9,0),MATCH(Data!$O$4:$O$1003,Helper!$D$3:$F$3,0))</f>
        <v>5000</v>
      </c>
      <c r="Z478" s="16">
        <f ca="1">Table1[[#This Row],[Order Total]]+Table1[[#This Row],[Shipping Cost]]</f>
        <v>1094774</v>
      </c>
    </row>
    <row r="479" spans="1:26" ht="15.75" customHeight="1" x14ac:dyDescent="0.3">
      <c r="A479" s="9" t="s">
        <v>1182</v>
      </c>
      <c r="B479" s="18">
        <v>43217</v>
      </c>
      <c r="C479" s="10">
        <f>YEAR(Table1[[#This Row],[Order Date]])</f>
        <v>2018</v>
      </c>
      <c r="D479" s="10" t="s">
        <v>566</v>
      </c>
      <c r="E479" s="10" t="s">
        <v>129</v>
      </c>
      <c r="F479" s="10" t="s">
        <v>54</v>
      </c>
      <c r="G479" s="10" t="s">
        <v>87</v>
      </c>
      <c r="H479" s="10" t="s">
        <v>56</v>
      </c>
      <c r="I479" s="10" t="str">
        <f>VLOOKUP(Table1[[#This Row],[Account Manager ID]],Table2[[Employee ID]:[Full Name]],4,FALSE)</f>
        <v>Gaduh Pratama</v>
      </c>
      <c r="J479" s="10" t="str">
        <f>INDEX(Employee!$D$4:$D$47,MATCH($H$4:$H$1003,Employee!$A$4:$A$47,0))</f>
        <v>Gaduh Pratama</v>
      </c>
      <c r="K479" s="10" t="s">
        <v>57</v>
      </c>
      <c r="L479" s="10" t="s">
        <v>1163</v>
      </c>
      <c r="M479" s="10" t="s">
        <v>59</v>
      </c>
      <c r="N479" s="10" t="s">
        <v>136</v>
      </c>
      <c r="O479" s="10" t="s">
        <v>61</v>
      </c>
      <c r="P479" s="10">
        <v>43218</v>
      </c>
      <c r="Q479" s="15">
        <v>43050</v>
      </c>
      <c r="R479" s="15">
        <v>102600</v>
      </c>
      <c r="S479" s="15">
        <f>Table1[[#This Row],[Retail Price]]-Table1[[#This Row],[Cost Price]]</f>
        <v>59550</v>
      </c>
      <c r="T479" s="10">
        <v>26</v>
      </c>
      <c r="U479" s="15">
        <f>Table1[[#This Row],[Profit Margin]]*Table1[[#This Row],[Order Quantity]]</f>
        <v>1548300</v>
      </c>
      <c r="V479" s="11">
        <v>0.08</v>
      </c>
      <c r="W479" s="15">
        <f t="shared" si="7"/>
        <v>123864</v>
      </c>
      <c r="X479" s="15">
        <f>Table1[[#This Row],[Sub Total]]-Table1[[#This Row],[Discount Rp]]</f>
        <v>1424436</v>
      </c>
      <c r="Y479" s="15">
        <f ca="1">OFFSET(Helper!$C$3,MATCH(Data!$N$4:$N$1003,Helper!$C$4:$C$9,0),MATCH(Data!$O$4:$O$1003,Helper!$D$3:$F$3,0))</f>
        <v>10000</v>
      </c>
      <c r="Z479" s="16">
        <f ca="1">Table1[[#This Row],[Order Total]]+Table1[[#This Row],[Shipping Cost]]</f>
        <v>1434436</v>
      </c>
    </row>
    <row r="480" spans="1:26" ht="15.75" customHeight="1" x14ac:dyDescent="0.3">
      <c r="A480" s="9" t="s">
        <v>1183</v>
      </c>
      <c r="B480" s="18">
        <v>43217</v>
      </c>
      <c r="C480" s="10">
        <f>YEAR(Table1[[#This Row],[Order Date]])</f>
        <v>2018</v>
      </c>
      <c r="D480" s="10" t="s">
        <v>1174</v>
      </c>
      <c r="E480" s="10" t="s">
        <v>172</v>
      </c>
      <c r="F480" s="10" t="s">
        <v>54</v>
      </c>
      <c r="G480" s="10" t="s">
        <v>55</v>
      </c>
      <c r="H480" s="10" t="s">
        <v>65</v>
      </c>
      <c r="I480" s="10" t="str">
        <f>VLOOKUP(Table1[[#This Row],[Account Manager ID]],Table2[[Employee ID]:[Full Name]],4,FALSE)</f>
        <v>Laras Nuraini</v>
      </c>
      <c r="J480" s="10" t="str">
        <f>INDEX(Employee!$D$4:$D$47,MATCH($H$4:$H$1003,Employee!$A$4:$A$47,0))</f>
        <v>Laras Nuraini</v>
      </c>
      <c r="K480" s="10" t="s">
        <v>107</v>
      </c>
      <c r="L480" s="10" t="s">
        <v>89</v>
      </c>
      <c r="M480" s="10" t="s">
        <v>59</v>
      </c>
      <c r="N480" s="10" t="s">
        <v>67</v>
      </c>
      <c r="O480" s="10" t="s">
        <v>61</v>
      </c>
      <c r="P480" s="10">
        <v>43219</v>
      </c>
      <c r="Q480" s="15">
        <v>13500</v>
      </c>
      <c r="R480" s="15">
        <v>31500</v>
      </c>
      <c r="S480" s="15">
        <f>Table1[[#This Row],[Retail Price]]-Table1[[#This Row],[Cost Price]]</f>
        <v>18000</v>
      </c>
      <c r="T480" s="10">
        <v>34</v>
      </c>
      <c r="U480" s="15">
        <f>Table1[[#This Row],[Profit Margin]]*Table1[[#This Row],[Order Quantity]]</f>
        <v>612000</v>
      </c>
      <c r="V480" s="11">
        <v>0.02</v>
      </c>
      <c r="W480" s="15">
        <f t="shared" si="7"/>
        <v>12240</v>
      </c>
      <c r="X480" s="15">
        <f>Table1[[#This Row],[Sub Total]]-Table1[[#This Row],[Discount Rp]]</f>
        <v>599760</v>
      </c>
      <c r="Y480" s="15">
        <f ca="1">OFFSET(Helper!$C$3,MATCH(Data!$N$4:$N$1003,Helper!$C$4:$C$9,0),MATCH(Data!$O$4:$O$1003,Helper!$D$3:$F$3,0))</f>
        <v>5000</v>
      </c>
      <c r="Z480" s="16">
        <f ca="1">Table1[[#This Row],[Order Total]]+Table1[[#This Row],[Shipping Cost]]</f>
        <v>604760</v>
      </c>
    </row>
    <row r="481" spans="1:26" ht="15.75" customHeight="1" x14ac:dyDescent="0.3">
      <c r="A481" s="9" t="s">
        <v>1184</v>
      </c>
      <c r="B481" s="18">
        <v>43218</v>
      </c>
      <c r="C481" s="10">
        <f>YEAR(Table1[[#This Row],[Order Date]])</f>
        <v>2018</v>
      </c>
      <c r="D481" s="10" t="s">
        <v>654</v>
      </c>
      <c r="E481" s="10" t="s">
        <v>105</v>
      </c>
      <c r="F481" s="10" t="s">
        <v>71</v>
      </c>
      <c r="G481" s="10" t="s">
        <v>72</v>
      </c>
      <c r="H481" s="10" t="s">
        <v>73</v>
      </c>
      <c r="I481" s="10" t="str">
        <f>VLOOKUP(Table1[[#This Row],[Account Manager ID]],Table2[[Employee ID]:[Full Name]],4,FALSE)</f>
        <v>Cinthia Gunawan</v>
      </c>
      <c r="J481" s="10" t="str">
        <f>INDEX(Employee!$D$4:$D$47,MATCH($H$4:$H$1003,Employee!$A$4:$A$47,0))</f>
        <v>Cinthia Gunawan</v>
      </c>
      <c r="K481" s="10" t="s">
        <v>74</v>
      </c>
      <c r="L481" s="10" t="s">
        <v>234</v>
      </c>
      <c r="M481" s="10" t="s">
        <v>59</v>
      </c>
      <c r="N481" s="10" t="s">
        <v>60</v>
      </c>
      <c r="O481" s="10" t="s">
        <v>61</v>
      </c>
      <c r="P481" s="10">
        <v>43219</v>
      </c>
      <c r="Q481" s="15">
        <v>208200</v>
      </c>
      <c r="R481" s="15">
        <v>335700</v>
      </c>
      <c r="S481" s="15">
        <f>Table1[[#This Row],[Retail Price]]-Table1[[#This Row],[Cost Price]]</f>
        <v>127500</v>
      </c>
      <c r="T481" s="10">
        <v>39</v>
      </c>
      <c r="U481" s="15">
        <f>Table1[[#This Row],[Profit Margin]]*Table1[[#This Row],[Order Quantity]]</f>
        <v>4972500</v>
      </c>
      <c r="V481" s="11">
        <v>7.0000000000000007E-2</v>
      </c>
      <c r="W481" s="15">
        <f t="shared" si="7"/>
        <v>348075.00000000006</v>
      </c>
      <c r="X481" s="15">
        <f>Table1[[#This Row],[Sub Total]]-Table1[[#This Row],[Discount Rp]]</f>
        <v>4624425</v>
      </c>
      <c r="Y481" s="15">
        <f ca="1">OFFSET(Helper!$C$3,MATCH(Data!$N$4:$N$1003,Helper!$C$4:$C$9,0),MATCH(Data!$O$4:$O$1003,Helper!$D$3:$F$3,0))</f>
        <v>15000</v>
      </c>
      <c r="Z481" s="16">
        <f ca="1">Table1[[#This Row],[Order Total]]+Table1[[#This Row],[Shipping Cost]]</f>
        <v>4639425</v>
      </c>
    </row>
    <row r="482" spans="1:26" ht="15.75" customHeight="1" x14ac:dyDescent="0.3">
      <c r="A482" s="9" t="s">
        <v>1185</v>
      </c>
      <c r="B482" s="18">
        <v>43219</v>
      </c>
      <c r="C482" s="10">
        <f>YEAR(Table1[[#This Row],[Order Date]])</f>
        <v>2018</v>
      </c>
      <c r="D482" s="10" t="s">
        <v>1186</v>
      </c>
      <c r="E482" s="10" t="s">
        <v>180</v>
      </c>
      <c r="F482" s="10" t="s">
        <v>54</v>
      </c>
      <c r="G482" s="10" t="s">
        <v>72</v>
      </c>
      <c r="H482" s="10" t="s">
        <v>65</v>
      </c>
      <c r="I482" s="10" t="str">
        <f>VLOOKUP(Table1[[#This Row],[Account Manager ID]],Table2[[Employee ID]:[Full Name]],4,FALSE)</f>
        <v>Laras Nuraini</v>
      </c>
      <c r="J482" s="10" t="str">
        <f>INDEX(Employee!$D$4:$D$47,MATCH($H$4:$H$1003,Employee!$A$4:$A$47,0))</f>
        <v>Laras Nuraini</v>
      </c>
      <c r="K482" s="10" t="s">
        <v>74</v>
      </c>
      <c r="L482" s="10" t="s">
        <v>931</v>
      </c>
      <c r="M482" s="10" t="s">
        <v>59</v>
      </c>
      <c r="N482" s="10" t="s">
        <v>60</v>
      </c>
      <c r="O482" s="10" t="s">
        <v>61</v>
      </c>
      <c r="P482" s="10">
        <v>43221</v>
      </c>
      <c r="Q482" s="15">
        <v>27600</v>
      </c>
      <c r="R482" s="15">
        <v>43200</v>
      </c>
      <c r="S482" s="15">
        <f>Table1[[#This Row],[Retail Price]]-Table1[[#This Row],[Cost Price]]</f>
        <v>15600</v>
      </c>
      <c r="T482" s="10">
        <v>27</v>
      </c>
      <c r="U482" s="15">
        <f>Table1[[#This Row],[Profit Margin]]*Table1[[#This Row],[Order Quantity]]</f>
        <v>421200</v>
      </c>
      <c r="V482" s="11">
        <v>0.06</v>
      </c>
      <c r="W482" s="15">
        <f t="shared" si="7"/>
        <v>25272</v>
      </c>
      <c r="X482" s="15">
        <f>Table1[[#This Row],[Sub Total]]-Table1[[#This Row],[Discount Rp]]</f>
        <v>395928</v>
      </c>
      <c r="Y482" s="15">
        <f ca="1">OFFSET(Helper!$C$3,MATCH(Data!$N$4:$N$1003,Helper!$C$4:$C$9,0),MATCH(Data!$O$4:$O$1003,Helper!$D$3:$F$3,0))</f>
        <v>15000</v>
      </c>
      <c r="Z482" s="16">
        <f ca="1">Table1[[#This Row],[Order Total]]+Table1[[#This Row],[Shipping Cost]]</f>
        <v>410928</v>
      </c>
    </row>
    <row r="483" spans="1:26" ht="15.75" customHeight="1" x14ac:dyDescent="0.3">
      <c r="A483" s="9" t="s">
        <v>1187</v>
      </c>
      <c r="B483" s="18">
        <v>43220</v>
      </c>
      <c r="C483" s="10">
        <f>YEAR(Table1[[#This Row],[Order Date]])</f>
        <v>2018</v>
      </c>
      <c r="D483" s="10" t="s">
        <v>971</v>
      </c>
      <c r="E483" s="10" t="s">
        <v>189</v>
      </c>
      <c r="F483" s="10" t="s">
        <v>54</v>
      </c>
      <c r="G483" s="10" t="s">
        <v>72</v>
      </c>
      <c r="H483" s="10" t="s">
        <v>56</v>
      </c>
      <c r="I483" s="10" t="str">
        <f>VLOOKUP(Table1[[#This Row],[Account Manager ID]],Table2[[Employee ID]:[Full Name]],4,FALSE)</f>
        <v>Gaduh Pratama</v>
      </c>
      <c r="J483" s="10" t="str">
        <f>INDEX(Employee!$D$4:$D$47,MATCH($H$4:$H$1003,Employee!$A$4:$A$47,0))</f>
        <v>Gaduh Pratama</v>
      </c>
      <c r="K483" s="10" t="s">
        <v>57</v>
      </c>
      <c r="L483" s="10" t="s">
        <v>837</v>
      </c>
      <c r="M483" s="10" t="s">
        <v>81</v>
      </c>
      <c r="N483" s="10" t="s">
        <v>82</v>
      </c>
      <c r="O483" s="10" t="s">
        <v>83</v>
      </c>
      <c r="P483" s="10">
        <v>43221</v>
      </c>
      <c r="Q483" s="15">
        <v>4734150</v>
      </c>
      <c r="R483" s="15">
        <v>7514550</v>
      </c>
      <c r="S483" s="15">
        <f>Table1[[#This Row],[Retail Price]]-Table1[[#This Row],[Cost Price]]</f>
        <v>2780400</v>
      </c>
      <c r="T483" s="10">
        <v>37</v>
      </c>
      <c r="U483" s="15">
        <f>Table1[[#This Row],[Profit Margin]]*Table1[[#This Row],[Order Quantity]]</f>
        <v>102874800</v>
      </c>
      <c r="V483" s="11">
        <v>0</v>
      </c>
      <c r="W483" s="15">
        <f t="shared" si="7"/>
        <v>0</v>
      </c>
      <c r="X483" s="15">
        <f>Table1[[#This Row],[Sub Total]]-Table1[[#This Row],[Discount Rp]]</f>
        <v>102874800</v>
      </c>
      <c r="Y483" s="15">
        <f ca="1">OFFSET(Helper!$C$3,MATCH(Data!$N$4:$N$1003,Helper!$C$4:$C$9,0),MATCH(Data!$O$4:$O$1003,Helper!$D$3:$F$3,0))</f>
        <v>500000</v>
      </c>
      <c r="Z483" s="16">
        <f ca="1">Table1[[#This Row],[Order Total]]+Table1[[#This Row],[Shipping Cost]]</f>
        <v>103374800</v>
      </c>
    </row>
    <row r="484" spans="1:26" ht="15.75" customHeight="1" x14ac:dyDescent="0.3">
      <c r="A484" s="9" t="s">
        <v>1188</v>
      </c>
      <c r="B484" s="18">
        <v>43221</v>
      </c>
      <c r="C484" s="10">
        <f>YEAR(Table1[[#This Row],[Order Date]])</f>
        <v>2018</v>
      </c>
      <c r="D484" s="10" t="s">
        <v>1189</v>
      </c>
      <c r="E484" s="10" t="s">
        <v>551</v>
      </c>
      <c r="F484" s="10" t="s">
        <v>71</v>
      </c>
      <c r="G484" s="10" t="s">
        <v>55</v>
      </c>
      <c r="H484" s="10" t="s">
        <v>112</v>
      </c>
      <c r="I484" s="10" t="str">
        <f>VLOOKUP(Table1[[#This Row],[Account Manager ID]],Table2[[Employee ID]:[Full Name]],4,FALSE)</f>
        <v>Paiman Firgantoro</v>
      </c>
      <c r="J484" s="10" t="str">
        <f>INDEX(Employee!$D$4:$D$47,MATCH($H$4:$H$1003,Employee!$A$4:$A$47,0))</f>
        <v>Paiman Firgantoro</v>
      </c>
      <c r="K484" s="10" t="s">
        <v>117</v>
      </c>
      <c r="L484" s="10" t="s">
        <v>98</v>
      </c>
      <c r="M484" s="10" t="s">
        <v>59</v>
      </c>
      <c r="N484" s="10" t="s">
        <v>60</v>
      </c>
      <c r="O484" s="10" t="s">
        <v>76</v>
      </c>
      <c r="P484" s="10">
        <v>43223</v>
      </c>
      <c r="Q484" s="15">
        <v>1490850</v>
      </c>
      <c r="R484" s="15">
        <v>2443950</v>
      </c>
      <c r="S484" s="15">
        <f>Table1[[#This Row],[Retail Price]]-Table1[[#This Row],[Cost Price]]</f>
        <v>953100</v>
      </c>
      <c r="T484" s="10">
        <v>48</v>
      </c>
      <c r="U484" s="15">
        <f>Table1[[#This Row],[Profit Margin]]*Table1[[#This Row],[Order Quantity]]</f>
        <v>45748800</v>
      </c>
      <c r="V484" s="11">
        <v>0.04</v>
      </c>
      <c r="W484" s="15">
        <f t="shared" si="7"/>
        <v>1829952</v>
      </c>
      <c r="X484" s="15">
        <f>Table1[[#This Row],[Sub Total]]-Table1[[#This Row],[Discount Rp]]</f>
        <v>43918848</v>
      </c>
      <c r="Y484" s="15">
        <f ca="1">OFFSET(Helper!$C$3,MATCH(Data!$N$4:$N$1003,Helper!$C$4:$C$9,0),MATCH(Data!$O$4:$O$1003,Helper!$D$3:$F$3,0))</f>
        <v>30000</v>
      </c>
      <c r="Z484" s="16">
        <f ca="1">Table1[[#This Row],[Order Total]]+Table1[[#This Row],[Shipping Cost]]</f>
        <v>43948848</v>
      </c>
    </row>
    <row r="485" spans="1:26" ht="15.75" customHeight="1" x14ac:dyDescent="0.3">
      <c r="A485" s="9" t="s">
        <v>1190</v>
      </c>
      <c r="B485" s="18">
        <v>43224</v>
      </c>
      <c r="C485" s="10">
        <f>YEAR(Table1[[#This Row],[Order Date]])</f>
        <v>2018</v>
      </c>
      <c r="D485" s="10" t="s">
        <v>694</v>
      </c>
      <c r="E485" s="10" t="s">
        <v>628</v>
      </c>
      <c r="F485" s="10" t="s">
        <v>71</v>
      </c>
      <c r="G485" s="10" t="s">
        <v>87</v>
      </c>
      <c r="H485" s="10" t="s">
        <v>304</v>
      </c>
      <c r="I485" s="10" t="str">
        <f>VLOOKUP(Table1[[#This Row],[Account Manager ID]],Table2[[Employee ID]:[Full Name]],4,FALSE)</f>
        <v>Sutan Tirtayasa Wasita</v>
      </c>
      <c r="J485" s="10" t="str">
        <f>INDEX(Employee!$D$4:$D$47,MATCH($H$4:$H$1003,Employee!$A$4:$A$47,0))</f>
        <v>Sutan Tirtayasa Wasita</v>
      </c>
      <c r="K485" s="10" t="s">
        <v>107</v>
      </c>
      <c r="L485" s="10" t="s">
        <v>1078</v>
      </c>
      <c r="M485" s="10" t="s">
        <v>59</v>
      </c>
      <c r="N485" s="10" t="s">
        <v>67</v>
      </c>
      <c r="O485" s="10" t="s">
        <v>61</v>
      </c>
      <c r="P485" s="10">
        <v>43225</v>
      </c>
      <c r="Q485" s="15">
        <v>67200</v>
      </c>
      <c r="R485" s="15">
        <v>122100.00000000001</v>
      </c>
      <c r="S485" s="15">
        <f>Table1[[#This Row],[Retail Price]]-Table1[[#This Row],[Cost Price]]</f>
        <v>54900.000000000015</v>
      </c>
      <c r="T485" s="10">
        <v>23</v>
      </c>
      <c r="U485" s="15">
        <f>Table1[[#This Row],[Profit Margin]]*Table1[[#This Row],[Order Quantity]]</f>
        <v>1262700.0000000002</v>
      </c>
      <c r="V485" s="11">
        <v>7.0000000000000007E-2</v>
      </c>
      <c r="W485" s="15">
        <f t="shared" si="7"/>
        <v>88389.000000000029</v>
      </c>
      <c r="X485" s="15">
        <f>Table1[[#This Row],[Sub Total]]-Table1[[#This Row],[Discount Rp]]</f>
        <v>1174311.0000000002</v>
      </c>
      <c r="Y485" s="15">
        <f ca="1">OFFSET(Helper!$C$3,MATCH(Data!$N$4:$N$1003,Helper!$C$4:$C$9,0),MATCH(Data!$O$4:$O$1003,Helper!$D$3:$F$3,0))</f>
        <v>5000</v>
      </c>
      <c r="Z485" s="16">
        <f ca="1">Table1[[#This Row],[Order Total]]+Table1[[#This Row],[Shipping Cost]]</f>
        <v>1179311.0000000002</v>
      </c>
    </row>
    <row r="486" spans="1:26" ht="15.75" customHeight="1" x14ac:dyDescent="0.3">
      <c r="A486" s="9" t="s">
        <v>1191</v>
      </c>
      <c r="B486" s="18">
        <v>43224</v>
      </c>
      <c r="C486" s="10">
        <f>YEAR(Table1[[#This Row],[Order Date]])</f>
        <v>2018</v>
      </c>
      <c r="D486" s="10" t="s">
        <v>694</v>
      </c>
      <c r="E486" s="10" t="s">
        <v>628</v>
      </c>
      <c r="F486" s="10" t="s">
        <v>71</v>
      </c>
      <c r="G486" s="10" t="s">
        <v>87</v>
      </c>
      <c r="H486" s="10" t="s">
        <v>304</v>
      </c>
      <c r="I486" s="10" t="str">
        <f>VLOOKUP(Table1[[#This Row],[Account Manager ID]],Table2[[Employee ID]:[Full Name]],4,FALSE)</f>
        <v>Sutan Tirtayasa Wasita</v>
      </c>
      <c r="J486" s="10" t="str">
        <f>INDEX(Employee!$D$4:$D$47,MATCH($H$4:$H$1003,Employee!$A$4:$A$47,0))</f>
        <v>Sutan Tirtayasa Wasita</v>
      </c>
      <c r="K486" s="10" t="s">
        <v>107</v>
      </c>
      <c r="L486" s="10" t="s">
        <v>265</v>
      </c>
      <c r="M486" s="10" t="s">
        <v>59</v>
      </c>
      <c r="N486" s="10" t="s">
        <v>60</v>
      </c>
      <c r="O486" s="10" t="s">
        <v>61</v>
      </c>
      <c r="P486" s="10">
        <v>43225</v>
      </c>
      <c r="Q486" s="15">
        <v>17700</v>
      </c>
      <c r="R486" s="15">
        <v>28200</v>
      </c>
      <c r="S486" s="15">
        <f>Table1[[#This Row],[Retail Price]]-Table1[[#This Row],[Cost Price]]</f>
        <v>10500</v>
      </c>
      <c r="T486" s="10">
        <v>33</v>
      </c>
      <c r="U486" s="15">
        <f>Table1[[#This Row],[Profit Margin]]*Table1[[#This Row],[Order Quantity]]</f>
        <v>346500</v>
      </c>
      <c r="V486" s="11">
        <v>0.05</v>
      </c>
      <c r="W486" s="15">
        <f t="shared" si="7"/>
        <v>17325</v>
      </c>
      <c r="X486" s="15">
        <f>Table1[[#This Row],[Sub Total]]-Table1[[#This Row],[Discount Rp]]</f>
        <v>329175</v>
      </c>
      <c r="Y486" s="15">
        <f ca="1">OFFSET(Helper!$C$3,MATCH(Data!$N$4:$N$1003,Helper!$C$4:$C$9,0),MATCH(Data!$O$4:$O$1003,Helper!$D$3:$F$3,0))</f>
        <v>15000</v>
      </c>
      <c r="Z486" s="16">
        <f ca="1">Table1[[#This Row],[Order Total]]+Table1[[#This Row],[Shipping Cost]]</f>
        <v>344175</v>
      </c>
    </row>
    <row r="487" spans="1:26" ht="15.75" customHeight="1" x14ac:dyDescent="0.3">
      <c r="A487" s="9" t="s">
        <v>1192</v>
      </c>
      <c r="B487" s="18">
        <v>43225</v>
      </c>
      <c r="C487" s="10">
        <f>YEAR(Table1[[#This Row],[Order Date]])</f>
        <v>2018</v>
      </c>
      <c r="D487" s="10" t="s">
        <v>1193</v>
      </c>
      <c r="E487" s="10" t="s">
        <v>154</v>
      </c>
      <c r="F487" s="10" t="s">
        <v>71</v>
      </c>
      <c r="G487" s="10" t="s">
        <v>106</v>
      </c>
      <c r="H487" s="10" t="s">
        <v>155</v>
      </c>
      <c r="I487" s="10" t="str">
        <f>VLOOKUP(Table1[[#This Row],[Account Manager ID]],Table2[[Employee ID]:[Full Name]],4,FALSE)</f>
        <v>Puti Nadine Prakasa</v>
      </c>
      <c r="J487" s="10" t="str">
        <f>INDEX(Employee!$D$4:$D$47,MATCH($H$4:$H$1003,Employee!$A$4:$A$47,0))</f>
        <v>Puti Nadine Prakasa</v>
      </c>
      <c r="K487" s="10" t="s">
        <v>57</v>
      </c>
      <c r="L487" s="10" t="s">
        <v>284</v>
      </c>
      <c r="M487" s="10" t="s">
        <v>59</v>
      </c>
      <c r="N487" s="10" t="s">
        <v>60</v>
      </c>
      <c r="O487" s="10" t="s">
        <v>61</v>
      </c>
      <c r="P487" s="10">
        <v>43227</v>
      </c>
      <c r="Q487" s="15">
        <v>33750</v>
      </c>
      <c r="R487" s="15">
        <v>55350</v>
      </c>
      <c r="S487" s="15">
        <f>Table1[[#This Row],[Retail Price]]-Table1[[#This Row],[Cost Price]]</f>
        <v>21600</v>
      </c>
      <c r="T487" s="10">
        <v>13</v>
      </c>
      <c r="U487" s="15">
        <f>Table1[[#This Row],[Profit Margin]]*Table1[[#This Row],[Order Quantity]]</f>
        <v>280800</v>
      </c>
      <c r="V487" s="11">
        <v>0.05</v>
      </c>
      <c r="W487" s="15">
        <f t="shared" si="7"/>
        <v>14040</v>
      </c>
      <c r="X487" s="15">
        <f>Table1[[#This Row],[Sub Total]]-Table1[[#This Row],[Discount Rp]]</f>
        <v>266760</v>
      </c>
      <c r="Y487" s="15">
        <f ca="1">OFFSET(Helper!$C$3,MATCH(Data!$N$4:$N$1003,Helper!$C$4:$C$9,0),MATCH(Data!$O$4:$O$1003,Helper!$D$3:$F$3,0))</f>
        <v>15000</v>
      </c>
      <c r="Z487" s="16">
        <f ca="1">Table1[[#This Row],[Order Total]]+Table1[[#This Row],[Shipping Cost]]</f>
        <v>281760</v>
      </c>
    </row>
    <row r="488" spans="1:26" ht="15.75" customHeight="1" x14ac:dyDescent="0.3">
      <c r="A488" s="9" t="s">
        <v>1194</v>
      </c>
      <c r="B488" s="18">
        <v>43226</v>
      </c>
      <c r="C488" s="10">
        <f>YEAR(Table1[[#This Row],[Order Date]])</f>
        <v>2018</v>
      </c>
      <c r="D488" s="10" t="s">
        <v>914</v>
      </c>
      <c r="E488" s="10" t="s">
        <v>915</v>
      </c>
      <c r="F488" s="10" t="s">
        <v>261</v>
      </c>
      <c r="G488" s="10" t="s">
        <v>72</v>
      </c>
      <c r="H488" s="10" t="s">
        <v>97</v>
      </c>
      <c r="I488" s="10" t="str">
        <f>VLOOKUP(Table1[[#This Row],[Account Manager ID]],Table2[[Employee ID]:[Full Name]],4,FALSE)</f>
        <v>Violet Mentari</v>
      </c>
      <c r="J488" s="10" t="str">
        <f>INDEX(Employee!$D$4:$D$47,MATCH($H$4:$H$1003,Employee!$A$4:$A$47,0))</f>
        <v>Violet Mentari</v>
      </c>
      <c r="K488" s="10" t="s">
        <v>74</v>
      </c>
      <c r="L488" s="10" t="s">
        <v>226</v>
      </c>
      <c r="M488" s="10" t="s">
        <v>81</v>
      </c>
      <c r="N488" s="10" t="s">
        <v>227</v>
      </c>
      <c r="O488" s="10" t="s">
        <v>61</v>
      </c>
      <c r="P488" s="10">
        <v>43227</v>
      </c>
      <c r="Q488" s="15">
        <v>132300</v>
      </c>
      <c r="R488" s="15">
        <v>314850</v>
      </c>
      <c r="S488" s="15">
        <f>Table1[[#This Row],[Retail Price]]-Table1[[#This Row],[Cost Price]]</f>
        <v>182550</v>
      </c>
      <c r="T488" s="10">
        <v>3</v>
      </c>
      <c r="U488" s="15">
        <f>Table1[[#This Row],[Profit Margin]]*Table1[[#This Row],[Order Quantity]]</f>
        <v>547650</v>
      </c>
      <c r="V488" s="11">
        <v>0.01</v>
      </c>
      <c r="W488" s="15">
        <f t="shared" si="7"/>
        <v>5476.5</v>
      </c>
      <c r="X488" s="15">
        <f>Table1[[#This Row],[Sub Total]]-Table1[[#This Row],[Discount Rp]]</f>
        <v>542173.5</v>
      </c>
      <c r="Y488" s="15">
        <f ca="1">OFFSET(Helper!$C$3,MATCH(Data!$N$4:$N$1003,Helper!$C$4:$C$9,0),MATCH(Data!$O$4:$O$1003,Helper!$D$3:$F$3,0))</f>
        <v>20000</v>
      </c>
      <c r="Z488" s="16">
        <f ca="1">Table1[[#This Row],[Order Total]]+Table1[[#This Row],[Shipping Cost]]</f>
        <v>562173.5</v>
      </c>
    </row>
    <row r="489" spans="1:26" ht="15.75" customHeight="1" x14ac:dyDescent="0.3">
      <c r="A489" s="9" t="s">
        <v>1195</v>
      </c>
      <c r="B489" s="18">
        <v>43226</v>
      </c>
      <c r="C489" s="10">
        <f>YEAR(Table1[[#This Row],[Order Date]])</f>
        <v>2018</v>
      </c>
      <c r="D489" s="10" t="s">
        <v>914</v>
      </c>
      <c r="E489" s="10" t="s">
        <v>915</v>
      </c>
      <c r="F489" s="10" t="s">
        <v>261</v>
      </c>
      <c r="G489" s="10" t="s">
        <v>72</v>
      </c>
      <c r="H489" s="10" t="s">
        <v>97</v>
      </c>
      <c r="I489" s="10" t="str">
        <f>VLOOKUP(Table1[[#This Row],[Account Manager ID]],Table2[[Employee ID]:[Full Name]],4,FALSE)</f>
        <v>Violet Mentari</v>
      </c>
      <c r="J489" s="10" t="str">
        <f>INDEX(Employee!$D$4:$D$47,MATCH($H$4:$H$1003,Employee!$A$4:$A$47,0))</f>
        <v>Violet Mentari</v>
      </c>
      <c r="K489" s="10" t="s">
        <v>74</v>
      </c>
      <c r="L489" s="10" t="s">
        <v>234</v>
      </c>
      <c r="M489" s="10" t="s">
        <v>59</v>
      </c>
      <c r="N489" s="10" t="s">
        <v>60</v>
      </c>
      <c r="O489" s="10" t="s">
        <v>76</v>
      </c>
      <c r="P489" s="10">
        <v>43226</v>
      </c>
      <c r="Q489" s="15">
        <v>208200</v>
      </c>
      <c r="R489" s="15">
        <v>335700</v>
      </c>
      <c r="S489" s="15">
        <f>Table1[[#This Row],[Retail Price]]-Table1[[#This Row],[Cost Price]]</f>
        <v>127500</v>
      </c>
      <c r="T489" s="10">
        <v>42</v>
      </c>
      <c r="U489" s="15">
        <f>Table1[[#This Row],[Profit Margin]]*Table1[[#This Row],[Order Quantity]]</f>
        <v>5355000</v>
      </c>
      <c r="V489" s="11">
        <v>7.0000000000000007E-2</v>
      </c>
      <c r="W489" s="15">
        <f t="shared" si="7"/>
        <v>374850.00000000006</v>
      </c>
      <c r="X489" s="15">
        <f>Table1[[#This Row],[Sub Total]]-Table1[[#This Row],[Discount Rp]]</f>
        <v>4980150</v>
      </c>
      <c r="Y489" s="15">
        <f ca="1">OFFSET(Helper!$C$3,MATCH(Data!$N$4:$N$1003,Helper!$C$4:$C$9,0),MATCH(Data!$O$4:$O$1003,Helper!$D$3:$F$3,0))</f>
        <v>30000</v>
      </c>
      <c r="Z489" s="16">
        <f ca="1">Table1[[#This Row],[Order Total]]+Table1[[#This Row],[Shipping Cost]]</f>
        <v>5010150</v>
      </c>
    </row>
    <row r="490" spans="1:26" ht="15.75" customHeight="1" x14ac:dyDescent="0.3">
      <c r="A490" s="9" t="s">
        <v>1195</v>
      </c>
      <c r="B490" s="18">
        <v>43226</v>
      </c>
      <c r="C490" s="10">
        <f>YEAR(Table1[[#This Row],[Order Date]])</f>
        <v>2018</v>
      </c>
      <c r="D490" s="10" t="s">
        <v>914</v>
      </c>
      <c r="E490" s="10" t="s">
        <v>915</v>
      </c>
      <c r="F490" s="10" t="s">
        <v>261</v>
      </c>
      <c r="G490" s="10" t="s">
        <v>72</v>
      </c>
      <c r="H490" s="10" t="s">
        <v>97</v>
      </c>
      <c r="I490" s="10" t="str">
        <f>VLOOKUP(Table1[[#This Row],[Account Manager ID]],Table2[[Employee ID]:[Full Name]],4,FALSE)</f>
        <v>Violet Mentari</v>
      </c>
      <c r="J490" s="10" t="str">
        <f>INDEX(Employee!$D$4:$D$47,MATCH($H$4:$H$1003,Employee!$A$4:$A$47,0))</f>
        <v>Violet Mentari</v>
      </c>
      <c r="K490" s="10" t="s">
        <v>74</v>
      </c>
      <c r="L490" s="10" t="s">
        <v>186</v>
      </c>
      <c r="M490" s="10" t="s">
        <v>81</v>
      </c>
      <c r="N490" s="10" t="s">
        <v>60</v>
      </c>
      <c r="O490" s="10" t="s">
        <v>61</v>
      </c>
      <c r="P490" s="10">
        <v>43228</v>
      </c>
      <c r="Q490" s="15">
        <v>95850</v>
      </c>
      <c r="R490" s="15">
        <v>299700</v>
      </c>
      <c r="S490" s="15">
        <f>Table1[[#This Row],[Retail Price]]-Table1[[#This Row],[Cost Price]]</f>
        <v>203850</v>
      </c>
      <c r="T490" s="10">
        <v>45</v>
      </c>
      <c r="U490" s="15">
        <f>Table1[[#This Row],[Profit Margin]]*Table1[[#This Row],[Order Quantity]]</f>
        <v>9173250</v>
      </c>
      <c r="V490" s="11">
        <v>0.06</v>
      </c>
      <c r="W490" s="15">
        <f t="shared" si="7"/>
        <v>550395</v>
      </c>
      <c r="X490" s="15">
        <f>Table1[[#This Row],[Sub Total]]-Table1[[#This Row],[Discount Rp]]</f>
        <v>8622855</v>
      </c>
      <c r="Y490" s="15">
        <f ca="1">OFFSET(Helper!$C$3,MATCH(Data!$N$4:$N$1003,Helper!$C$4:$C$9,0),MATCH(Data!$O$4:$O$1003,Helper!$D$3:$F$3,0))</f>
        <v>15000</v>
      </c>
      <c r="Z490" s="16">
        <f ca="1">Table1[[#This Row],[Order Total]]+Table1[[#This Row],[Shipping Cost]]</f>
        <v>8637855</v>
      </c>
    </row>
    <row r="491" spans="1:26" ht="15.75" customHeight="1" x14ac:dyDescent="0.3">
      <c r="A491" s="9" t="s">
        <v>1196</v>
      </c>
      <c r="B491" s="18">
        <v>43227</v>
      </c>
      <c r="C491" s="10">
        <f>YEAR(Table1[[#This Row],[Order Date]])</f>
        <v>2018</v>
      </c>
      <c r="D491" s="10" t="s">
        <v>386</v>
      </c>
      <c r="E491" s="10" t="s">
        <v>387</v>
      </c>
      <c r="F491" s="10" t="s">
        <v>71</v>
      </c>
      <c r="G491" s="10" t="s">
        <v>87</v>
      </c>
      <c r="H491" s="10" t="s">
        <v>194</v>
      </c>
      <c r="I491" s="10" t="str">
        <f>VLOOKUP(Table1[[#This Row],[Account Manager ID]],Table2[[Employee ID]:[Full Name]],4,FALSE)</f>
        <v>Nabila Prakasa</v>
      </c>
      <c r="J491" s="10" t="str">
        <f>INDEX(Employee!$D$4:$D$47,MATCH($H$4:$H$1003,Employee!$A$4:$A$47,0))</f>
        <v>Nabila Prakasa</v>
      </c>
      <c r="K491" s="10" t="s">
        <v>107</v>
      </c>
      <c r="L491" s="10" t="s">
        <v>75</v>
      </c>
      <c r="M491" s="10" t="s">
        <v>59</v>
      </c>
      <c r="N491" s="10" t="s">
        <v>67</v>
      </c>
      <c r="O491" s="10" t="s">
        <v>61</v>
      </c>
      <c r="P491" s="10">
        <v>43229</v>
      </c>
      <c r="Q491" s="15">
        <v>36150</v>
      </c>
      <c r="R491" s="15">
        <v>55650</v>
      </c>
      <c r="S491" s="15">
        <f>Table1[[#This Row],[Retail Price]]-Table1[[#This Row],[Cost Price]]</f>
        <v>19500</v>
      </c>
      <c r="T491" s="10">
        <v>14</v>
      </c>
      <c r="U491" s="15">
        <f>Table1[[#This Row],[Profit Margin]]*Table1[[#This Row],[Order Quantity]]</f>
        <v>273000</v>
      </c>
      <c r="V491" s="11">
        <v>0.09</v>
      </c>
      <c r="W491" s="15">
        <f t="shared" si="7"/>
        <v>24570</v>
      </c>
      <c r="X491" s="15">
        <f>Table1[[#This Row],[Sub Total]]-Table1[[#This Row],[Discount Rp]]</f>
        <v>248430</v>
      </c>
      <c r="Y491" s="15">
        <f ca="1">OFFSET(Helper!$C$3,MATCH(Data!$N$4:$N$1003,Helper!$C$4:$C$9,0),MATCH(Data!$O$4:$O$1003,Helper!$D$3:$F$3,0))</f>
        <v>5000</v>
      </c>
      <c r="Z491" s="16">
        <f ca="1">Table1[[#This Row],[Order Total]]+Table1[[#This Row],[Shipping Cost]]</f>
        <v>253430</v>
      </c>
    </row>
    <row r="492" spans="1:26" ht="15.75" customHeight="1" x14ac:dyDescent="0.3">
      <c r="A492" s="9" t="s">
        <v>1197</v>
      </c>
      <c r="B492" s="18">
        <v>43230</v>
      </c>
      <c r="C492" s="10">
        <f>YEAR(Table1[[#This Row],[Order Date]])</f>
        <v>2018</v>
      </c>
      <c r="D492" s="10" t="s">
        <v>583</v>
      </c>
      <c r="E492" s="10" t="s">
        <v>101</v>
      </c>
      <c r="F492" s="10" t="s">
        <v>71</v>
      </c>
      <c r="G492" s="10" t="s">
        <v>87</v>
      </c>
      <c r="H492" s="10" t="s">
        <v>97</v>
      </c>
      <c r="I492" s="10" t="str">
        <f>VLOOKUP(Table1[[#This Row],[Account Manager ID]],Table2[[Employee ID]:[Full Name]],4,FALSE)</f>
        <v>Violet Mentari</v>
      </c>
      <c r="J492" s="10" t="str">
        <f>INDEX(Employee!$D$4:$D$47,MATCH($H$4:$H$1003,Employee!$A$4:$A$47,0))</f>
        <v>Violet Mentari</v>
      </c>
      <c r="K492" s="10" t="s">
        <v>107</v>
      </c>
      <c r="L492" s="10" t="s">
        <v>130</v>
      </c>
      <c r="M492" s="10" t="s">
        <v>59</v>
      </c>
      <c r="N492" s="10" t="s">
        <v>67</v>
      </c>
      <c r="O492" s="10" t="s">
        <v>61</v>
      </c>
      <c r="P492" s="10">
        <v>43232</v>
      </c>
      <c r="Q492" s="15">
        <v>10650</v>
      </c>
      <c r="R492" s="15">
        <v>17100</v>
      </c>
      <c r="S492" s="15">
        <f>Table1[[#This Row],[Retail Price]]-Table1[[#This Row],[Cost Price]]</f>
        <v>6450</v>
      </c>
      <c r="T492" s="10">
        <v>42</v>
      </c>
      <c r="U492" s="15">
        <f>Table1[[#This Row],[Profit Margin]]*Table1[[#This Row],[Order Quantity]]</f>
        <v>270900</v>
      </c>
      <c r="V492" s="11">
        <v>0.06</v>
      </c>
      <c r="W492" s="15">
        <f t="shared" si="7"/>
        <v>16254</v>
      </c>
      <c r="X492" s="15">
        <f>Table1[[#This Row],[Sub Total]]-Table1[[#This Row],[Discount Rp]]</f>
        <v>254646</v>
      </c>
      <c r="Y492" s="15">
        <f ca="1">OFFSET(Helper!$C$3,MATCH(Data!$N$4:$N$1003,Helper!$C$4:$C$9,0),MATCH(Data!$O$4:$O$1003,Helper!$D$3:$F$3,0))</f>
        <v>5000</v>
      </c>
      <c r="Z492" s="16">
        <f ca="1">Table1[[#This Row],[Order Total]]+Table1[[#This Row],[Shipping Cost]]</f>
        <v>259646</v>
      </c>
    </row>
    <row r="493" spans="1:26" ht="15.75" customHeight="1" x14ac:dyDescent="0.3">
      <c r="A493" s="9" t="s">
        <v>1198</v>
      </c>
      <c r="B493" s="18">
        <v>43232</v>
      </c>
      <c r="C493" s="10">
        <f>YEAR(Table1[[#This Row],[Order Date]])</f>
        <v>2018</v>
      </c>
      <c r="D493" s="10" t="s">
        <v>638</v>
      </c>
      <c r="E493" s="10" t="s">
        <v>165</v>
      </c>
      <c r="F493" s="10" t="s">
        <v>71</v>
      </c>
      <c r="G493" s="10" t="s">
        <v>106</v>
      </c>
      <c r="H493" s="10" t="s">
        <v>88</v>
      </c>
      <c r="I493" s="10" t="str">
        <f>VLOOKUP(Table1[[#This Row],[Account Manager ID]],Table2[[Employee ID]:[Full Name]],4,FALSE)</f>
        <v>Bagiya Sihombing</v>
      </c>
      <c r="J493" s="10" t="str">
        <f>INDEX(Employee!$D$4:$D$47,MATCH($H$4:$H$1003,Employee!$A$4:$A$47,0))</f>
        <v>Bagiya Sihombing</v>
      </c>
      <c r="K493" s="10" t="s">
        <v>117</v>
      </c>
      <c r="L493" s="10" t="s">
        <v>611</v>
      </c>
      <c r="M493" s="10" t="s">
        <v>59</v>
      </c>
      <c r="N493" s="10" t="s">
        <v>60</v>
      </c>
      <c r="O493" s="10" t="s">
        <v>61</v>
      </c>
      <c r="P493" s="10">
        <v>43233</v>
      </c>
      <c r="Q493" s="15">
        <v>34350</v>
      </c>
      <c r="R493" s="15">
        <v>55350</v>
      </c>
      <c r="S493" s="15">
        <f>Table1[[#This Row],[Retail Price]]-Table1[[#This Row],[Cost Price]]</f>
        <v>21000</v>
      </c>
      <c r="T493" s="10">
        <v>4</v>
      </c>
      <c r="U493" s="15">
        <f>Table1[[#This Row],[Profit Margin]]*Table1[[#This Row],[Order Quantity]]</f>
        <v>84000</v>
      </c>
      <c r="V493" s="11">
        <v>0.01</v>
      </c>
      <c r="W493" s="15">
        <f t="shared" si="7"/>
        <v>840</v>
      </c>
      <c r="X493" s="15">
        <f>Table1[[#This Row],[Sub Total]]-Table1[[#This Row],[Discount Rp]]</f>
        <v>83160</v>
      </c>
      <c r="Y493" s="15">
        <f ca="1">OFFSET(Helper!$C$3,MATCH(Data!$N$4:$N$1003,Helper!$C$4:$C$9,0),MATCH(Data!$O$4:$O$1003,Helper!$D$3:$F$3,0))</f>
        <v>15000</v>
      </c>
      <c r="Z493" s="16">
        <f ca="1">Table1[[#This Row],[Order Total]]+Table1[[#This Row],[Shipping Cost]]</f>
        <v>98160</v>
      </c>
    </row>
    <row r="494" spans="1:26" ht="15.75" customHeight="1" x14ac:dyDescent="0.3">
      <c r="A494" s="9" t="s">
        <v>1199</v>
      </c>
      <c r="B494" s="18">
        <v>43234</v>
      </c>
      <c r="C494" s="10">
        <f>YEAR(Table1[[#This Row],[Order Date]])</f>
        <v>2018</v>
      </c>
      <c r="D494" s="10" t="s">
        <v>431</v>
      </c>
      <c r="E494" s="10" t="s">
        <v>432</v>
      </c>
      <c r="F494" s="10" t="s">
        <v>71</v>
      </c>
      <c r="G494" s="10" t="s">
        <v>72</v>
      </c>
      <c r="H494" s="10" t="s">
        <v>88</v>
      </c>
      <c r="I494" s="10" t="str">
        <f>VLOOKUP(Table1[[#This Row],[Account Manager ID]],Table2[[Employee ID]:[Full Name]],4,FALSE)</f>
        <v>Bagiya Sihombing</v>
      </c>
      <c r="J494" s="10" t="str">
        <f>INDEX(Employee!$D$4:$D$47,MATCH($H$4:$H$1003,Employee!$A$4:$A$47,0))</f>
        <v>Bagiya Sihombing</v>
      </c>
      <c r="K494" s="10" t="s">
        <v>107</v>
      </c>
      <c r="L494" s="10" t="s">
        <v>190</v>
      </c>
      <c r="M494" s="10" t="s">
        <v>81</v>
      </c>
      <c r="N494" s="10" t="s">
        <v>60</v>
      </c>
      <c r="O494" s="10" t="s">
        <v>61</v>
      </c>
      <c r="P494" s="10">
        <v>43235</v>
      </c>
      <c r="Q494" s="15">
        <v>480300.00000000006</v>
      </c>
      <c r="R494" s="15">
        <v>2287200</v>
      </c>
      <c r="S494" s="15">
        <f>Table1[[#This Row],[Retail Price]]-Table1[[#This Row],[Cost Price]]</f>
        <v>1806900</v>
      </c>
      <c r="T494" s="10">
        <v>21</v>
      </c>
      <c r="U494" s="15">
        <f>Table1[[#This Row],[Profit Margin]]*Table1[[#This Row],[Order Quantity]]</f>
        <v>37944900</v>
      </c>
      <c r="V494" s="11">
        <v>0.03</v>
      </c>
      <c r="W494" s="15">
        <f t="shared" si="7"/>
        <v>1138347</v>
      </c>
      <c r="X494" s="15">
        <f>Table1[[#This Row],[Sub Total]]-Table1[[#This Row],[Discount Rp]]</f>
        <v>36806553</v>
      </c>
      <c r="Y494" s="15">
        <f ca="1">OFFSET(Helper!$C$3,MATCH(Data!$N$4:$N$1003,Helper!$C$4:$C$9,0),MATCH(Data!$O$4:$O$1003,Helper!$D$3:$F$3,0))</f>
        <v>15000</v>
      </c>
      <c r="Z494" s="16">
        <f ca="1">Table1[[#This Row],[Order Total]]+Table1[[#This Row],[Shipping Cost]]</f>
        <v>36821553</v>
      </c>
    </row>
    <row r="495" spans="1:26" ht="15.75" customHeight="1" x14ac:dyDescent="0.3">
      <c r="A495" s="9" t="s">
        <v>1200</v>
      </c>
      <c r="B495" s="18">
        <v>43235</v>
      </c>
      <c r="C495" s="10">
        <f>YEAR(Table1[[#This Row],[Order Date]])</f>
        <v>2018</v>
      </c>
      <c r="D495" s="10" t="s">
        <v>807</v>
      </c>
      <c r="E495" s="10" t="s">
        <v>579</v>
      </c>
      <c r="F495" s="10" t="s">
        <v>71</v>
      </c>
      <c r="G495" s="10" t="s">
        <v>72</v>
      </c>
      <c r="H495" s="10" t="s">
        <v>73</v>
      </c>
      <c r="I495" s="10" t="str">
        <f>VLOOKUP(Table1[[#This Row],[Account Manager ID]],Table2[[Employee ID]:[Full Name]],4,FALSE)</f>
        <v>Cinthia Gunawan</v>
      </c>
      <c r="J495" s="10" t="str">
        <f>INDEX(Employee!$D$4:$D$47,MATCH($H$4:$H$1003,Employee!$A$4:$A$47,0))</f>
        <v>Cinthia Gunawan</v>
      </c>
      <c r="K495" s="10" t="s">
        <v>57</v>
      </c>
      <c r="L495" s="10" t="s">
        <v>406</v>
      </c>
      <c r="M495" s="10" t="s">
        <v>81</v>
      </c>
      <c r="N495" s="10" t="s">
        <v>82</v>
      </c>
      <c r="O495" s="10" t="s">
        <v>83</v>
      </c>
      <c r="P495" s="10">
        <v>43237</v>
      </c>
      <c r="Q495" s="15">
        <v>4184850</v>
      </c>
      <c r="R495" s="15">
        <v>6749850</v>
      </c>
      <c r="S495" s="15">
        <f>Table1[[#This Row],[Retail Price]]-Table1[[#This Row],[Cost Price]]</f>
        <v>2565000</v>
      </c>
      <c r="T495" s="10">
        <v>25</v>
      </c>
      <c r="U495" s="15">
        <f>Table1[[#This Row],[Profit Margin]]*Table1[[#This Row],[Order Quantity]]</f>
        <v>64125000</v>
      </c>
      <c r="V495" s="11">
        <v>0.01</v>
      </c>
      <c r="W495" s="15">
        <f t="shared" si="7"/>
        <v>641250</v>
      </c>
      <c r="X495" s="15">
        <f>Table1[[#This Row],[Sub Total]]-Table1[[#This Row],[Discount Rp]]</f>
        <v>63483750</v>
      </c>
      <c r="Y495" s="15">
        <f ca="1">OFFSET(Helper!$C$3,MATCH(Data!$N$4:$N$1003,Helper!$C$4:$C$9,0),MATCH(Data!$O$4:$O$1003,Helper!$D$3:$F$3,0))</f>
        <v>500000</v>
      </c>
      <c r="Z495" s="16">
        <f ca="1">Table1[[#This Row],[Order Total]]+Table1[[#This Row],[Shipping Cost]]</f>
        <v>63983750</v>
      </c>
    </row>
    <row r="496" spans="1:26" ht="15.75" customHeight="1" x14ac:dyDescent="0.3">
      <c r="A496" s="9" t="s">
        <v>1201</v>
      </c>
      <c r="B496" s="18">
        <v>43236</v>
      </c>
      <c r="C496" s="10">
        <f>YEAR(Table1[[#This Row],[Order Date]])</f>
        <v>2018</v>
      </c>
      <c r="D496" s="10" t="s">
        <v>1202</v>
      </c>
      <c r="E496" s="10" t="s">
        <v>105</v>
      </c>
      <c r="F496" s="10" t="s">
        <v>71</v>
      </c>
      <c r="G496" s="10" t="s">
        <v>55</v>
      </c>
      <c r="H496" s="10" t="s">
        <v>73</v>
      </c>
      <c r="I496" s="10" t="str">
        <f>VLOOKUP(Table1[[#This Row],[Account Manager ID]],Table2[[Employee ID]:[Full Name]],4,FALSE)</f>
        <v>Cinthia Gunawan</v>
      </c>
      <c r="J496" s="10" t="str">
        <f>INDEX(Employee!$D$4:$D$47,MATCH($H$4:$H$1003,Employee!$A$4:$A$47,0))</f>
        <v>Cinthia Gunawan</v>
      </c>
      <c r="K496" s="10" t="s">
        <v>57</v>
      </c>
      <c r="L496" s="10" t="s">
        <v>480</v>
      </c>
      <c r="M496" s="10" t="s">
        <v>253</v>
      </c>
      <c r="N496" s="10" t="s">
        <v>459</v>
      </c>
      <c r="O496" s="10" t="s">
        <v>61</v>
      </c>
      <c r="P496" s="10">
        <v>43238</v>
      </c>
      <c r="Q496" s="15">
        <v>842400</v>
      </c>
      <c r="R496" s="15">
        <v>2054699.9999999998</v>
      </c>
      <c r="S496" s="15">
        <f>Table1[[#This Row],[Retail Price]]-Table1[[#This Row],[Cost Price]]</f>
        <v>1212299.9999999998</v>
      </c>
      <c r="T496" s="10">
        <v>2</v>
      </c>
      <c r="U496" s="15">
        <f>Table1[[#This Row],[Profit Margin]]*Table1[[#This Row],[Order Quantity]]</f>
        <v>2424599.9999999995</v>
      </c>
      <c r="V496" s="11">
        <v>0.08</v>
      </c>
      <c r="W496" s="15">
        <f t="shared" si="7"/>
        <v>193967.99999999997</v>
      </c>
      <c r="X496" s="15">
        <f>Table1[[#This Row],[Sub Total]]-Table1[[#This Row],[Discount Rp]]</f>
        <v>2230631.9999999995</v>
      </c>
      <c r="Y496" s="15">
        <f ca="1">OFFSET(Helper!$C$3,MATCH(Data!$N$4:$N$1003,Helper!$C$4:$C$9,0),MATCH(Data!$O$4:$O$1003,Helper!$D$3:$F$3,0))</f>
        <v>50000</v>
      </c>
      <c r="Z496" s="16">
        <f ca="1">Table1[[#This Row],[Order Total]]+Table1[[#This Row],[Shipping Cost]]</f>
        <v>2280631.9999999995</v>
      </c>
    </row>
    <row r="497" spans="1:26" ht="15.75" customHeight="1" x14ac:dyDescent="0.3">
      <c r="A497" s="9" t="s">
        <v>1203</v>
      </c>
      <c r="B497" s="18">
        <v>43236</v>
      </c>
      <c r="C497" s="10">
        <f>YEAR(Table1[[#This Row],[Order Date]])</f>
        <v>2018</v>
      </c>
      <c r="D497" s="10" t="s">
        <v>961</v>
      </c>
      <c r="E497" s="10" t="s">
        <v>962</v>
      </c>
      <c r="F497" s="10" t="s">
        <v>261</v>
      </c>
      <c r="G497" s="10" t="s">
        <v>87</v>
      </c>
      <c r="H497" s="10" t="s">
        <v>97</v>
      </c>
      <c r="I497" s="10" t="str">
        <f>VLOOKUP(Table1[[#This Row],[Account Manager ID]],Table2[[Employee ID]:[Full Name]],4,FALSE)</f>
        <v>Violet Mentari</v>
      </c>
      <c r="J497" s="10" t="str">
        <f>INDEX(Employee!$D$4:$D$47,MATCH($H$4:$H$1003,Employee!$A$4:$A$47,0))</f>
        <v>Violet Mentari</v>
      </c>
      <c r="K497" s="10" t="s">
        <v>74</v>
      </c>
      <c r="L497" s="10" t="s">
        <v>456</v>
      </c>
      <c r="M497" s="10" t="s">
        <v>59</v>
      </c>
      <c r="N497" s="10" t="s">
        <v>60</v>
      </c>
      <c r="O497" s="10" t="s">
        <v>61</v>
      </c>
      <c r="P497" s="10">
        <v>43238</v>
      </c>
      <c r="Q497" s="15">
        <v>275700</v>
      </c>
      <c r="R497" s="15">
        <v>437550</v>
      </c>
      <c r="S497" s="15">
        <f>Table1[[#This Row],[Retail Price]]-Table1[[#This Row],[Cost Price]]</f>
        <v>161850</v>
      </c>
      <c r="T497" s="10">
        <v>43</v>
      </c>
      <c r="U497" s="15">
        <f>Table1[[#This Row],[Profit Margin]]*Table1[[#This Row],[Order Quantity]]</f>
        <v>6959550</v>
      </c>
      <c r="V497" s="11">
        <v>0.05</v>
      </c>
      <c r="W497" s="15">
        <f t="shared" si="7"/>
        <v>347977.5</v>
      </c>
      <c r="X497" s="15">
        <f>Table1[[#This Row],[Sub Total]]-Table1[[#This Row],[Discount Rp]]</f>
        <v>6611572.5</v>
      </c>
      <c r="Y497" s="15">
        <f ca="1">OFFSET(Helper!$C$3,MATCH(Data!$N$4:$N$1003,Helper!$C$4:$C$9,0),MATCH(Data!$O$4:$O$1003,Helper!$D$3:$F$3,0))</f>
        <v>15000</v>
      </c>
      <c r="Z497" s="16">
        <f ca="1">Table1[[#This Row],[Order Total]]+Table1[[#This Row],[Shipping Cost]]</f>
        <v>6626572.5</v>
      </c>
    </row>
    <row r="498" spans="1:26" ht="15.75" customHeight="1" x14ac:dyDescent="0.3">
      <c r="A498" s="9" t="s">
        <v>1204</v>
      </c>
      <c r="B498" s="18">
        <v>43238</v>
      </c>
      <c r="C498" s="10">
        <f>YEAR(Table1[[#This Row],[Order Date]])</f>
        <v>2018</v>
      </c>
      <c r="D498" s="10" t="s">
        <v>1205</v>
      </c>
      <c r="E498" s="10" t="s">
        <v>405</v>
      </c>
      <c r="F498" s="10" t="s">
        <v>71</v>
      </c>
      <c r="G498" s="10" t="s">
        <v>106</v>
      </c>
      <c r="H498" s="10" t="s">
        <v>134</v>
      </c>
      <c r="I498" s="10" t="str">
        <f>VLOOKUP(Table1[[#This Row],[Account Manager ID]],Table2[[Employee ID]:[Full Name]],4,FALSE)</f>
        <v>Darmanto Laksita</v>
      </c>
      <c r="J498" s="10" t="str">
        <f>INDEX(Employee!$D$4:$D$47,MATCH($H$4:$H$1003,Employee!$A$4:$A$47,0))</f>
        <v>Darmanto Laksita</v>
      </c>
      <c r="K498" s="10" t="s">
        <v>57</v>
      </c>
      <c r="L498" s="10" t="s">
        <v>226</v>
      </c>
      <c r="M498" s="10" t="s">
        <v>81</v>
      </c>
      <c r="N498" s="10" t="s">
        <v>227</v>
      </c>
      <c r="O498" s="10" t="s">
        <v>61</v>
      </c>
      <c r="P498" s="10">
        <v>43241</v>
      </c>
      <c r="Q498" s="15">
        <v>132300</v>
      </c>
      <c r="R498" s="15">
        <v>314850</v>
      </c>
      <c r="S498" s="15">
        <f>Table1[[#This Row],[Retail Price]]-Table1[[#This Row],[Cost Price]]</f>
        <v>182550</v>
      </c>
      <c r="T498" s="10">
        <v>23</v>
      </c>
      <c r="U498" s="15">
        <f>Table1[[#This Row],[Profit Margin]]*Table1[[#This Row],[Order Quantity]]</f>
        <v>4198650</v>
      </c>
      <c r="V498" s="11">
        <v>0.1</v>
      </c>
      <c r="W498" s="15">
        <f t="shared" si="7"/>
        <v>419865</v>
      </c>
      <c r="X498" s="15">
        <f>Table1[[#This Row],[Sub Total]]-Table1[[#This Row],[Discount Rp]]</f>
        <v>3778785</v>
      </c>
      <c r="Y498" s="15">
        <f ca="1">OFFSET(Helper!$C$3,MATCH(Data!$N$4:$N$1003,Helper!$C$4:$C$9,0),MATCH(Data!$O$4:$O$1003,Helper!$D$3:$F$3,0))</f>
        <v>20000</v>
      </c>
      <c r="Z498" s="16">
        <f ca="1">Table1[[#This Row],[Order Total]]+Table1[[#This Row],[Shipping Cost]]</f>
        <v>3798785</v>
      </c>
    </row>
    <row r="499" spans="1:26" ht="15.75" customHeight="1" x14ac:dyDescent="0.3">
      <c r="A499" s="9" t="s">
        <v>1206</v>
      </c>
      <c r="B499" s="18">
        <v>43238</v>
      </c>
      <c r="C499" s="10">
        <f>YEAR(Table1[[#This Row],[Order Date]])</f>
        <v>2018</v>
      </c>
      <c r="D499" s="10" t="s">
        <v>1207</v>
      </c>
      <c r="E499" s="10" t="s">
        <v>542</v>
      </c>
      <c r="F499" s="10" t="s">
        <v>71</v>
      </c>
      <c r="G499" s="10" t="s">
        <v>55</v>
      </c>
      <c r="H499" s="10" t="s">
        <v>134</v>
      </c>
      <c r="I499" s="10" t="str">
        <f>VLOOKUP(Table1[[#This Row],[Account Manager ID]],Table2[[Employee ID]:[Full Name]],4,FALSE)</f>
        <v>Darmanto Laksita</v>
      </c>
      <c r="J499" s="10" t="str">
        <f>INDEX(Employee!$D$4:$D$47,MATCH($H$4:$H$1003,Employee!$A$4:$A$47,0))</f>
        <v>Darmanto Laksita</v>
      </c>
      <c r="K499" s="10" t="s">
        <v>117</v>
      </c>
      <c r="L499" s="10" t="s">
        <v>305</v>
      </c>
      <c r="M499" s="10" t="s">
        <v>59</v>
      </c>
      <c r="N499" s="10" t="s">
        <v>67</v>
      </c>
      <c r="O499" s="10" t="s">
        <v>76</v>
      </c>
      <c r="P499" s="10">
        <v>43238</v>
      </c>
      <c r="Q499" s="15">
        <v>26400</v>
      </c>
      <c r="R499" s="15">
        <v>50700</v>
      </c>
      <c r="S499" s="15">
        <f>Table1[[#This Row],[Retail Price]]-Table1[[#This Row],[Cost Price]]</f>
        <v>24300</v>
      </c>
      <c r="T499" s="10">
        <v>5</v>
      </c>
      <c r="U499" s="15">
        <f>Table1[[#This Row],[Profit Margin]]*Table1[[#This Row],[Order Quantity]]</f>
        <v>121500</v>
      </c>
      <c r="V499" s="11">
        <v>0.08</v>
      </c>
      <c r="W499" s="15">
        <f t="shared" si="7"/>
        <v>9720</v>
      </c>
      <c r="X499" s="15">
        <f>Table1[[#This Row],[Sub Total]]-Table1[[#This Row],[Discount Rp]]</f>
        <v>111780</v>
      </c>
      <c r="Y499" s="15">
        <f ca="1">OFFSET(Helper!$C$3,MATCH(Data!$N$4:$N$1003,Helper!$C$4:$C$9,0),MATCH(Data!$O$4:$O$1003,Helper!$D$3:$F$3,0))</f>
        <v>10000</v>
      </c>
      <c r="Z499" s="16">
        <f ca="1">Table1[[#This Row],[Order Total]]+Table1[[#This Row],[Shipping Cost]]</f>
        <v>121780</v>
      </c>
    </row>
    <row r="500" spans="1:26" ht="15.75" customHeight="1" x14ac:dyDescent="0.3">
      <c r="A500" s="9" t="s">
        <v>1208</v>
      </c>
      <c r="B500" s="18">
        <v>43238</v>
      </c>
      <c r="C500" s="10">
        <f>YEAR(Table1[[#This Row],[Order Date]])</f>
        <v>2018</v>
      </c>
      <c r="D500" s="10" t="s">
        <v>1209</v>
      </c>
      <c r="E500" s="10" t="s">
        <v>455</v>
      </c>
      <c r="F500" s="10" t="s">
        <v>71</v>
      </c>
      <c r="G500" s="10" t="s">
        <v>72</v>
      </c>
      <c r="H500" s="10" t="s">
        <v>155</v>
      </c>
      <c r="I500" s="10" t="str">
        <f>VLOOKUP(Table1[[#This Row],[Account Manager ID]],Table2[[Employee ID]:[Full Name]],4,FALSE)</f>
        <v>Puti Nadine Prakasa</v>
      </c>
      <c r="J500" s="10" t="str">
        <f>INDEX(Employee!$D$4:$D$47,MATCH($H$4:$H$1003,Employee!$A$4:$A$47,0))</f>
        <v>Puti Nadine Prakasa</v>
      </c>
      <c r="K500" s="10" t="s">
        <v>92</v>
      </c>
      <c r="L500" s="10" t="s">
        <v>200</v>
      </c>
      <c r="M500" s="10" t="s">
        <v>59</v>
      </c>
      <c r="N500" s="10" t="s">
        <v>136</v>
      </c>
      <c r="O500" s="10" t="s">
        <v>61</v>
      </c>
      <c r="P500" s="10">
        <v>43265</v>
      </c>
      <c r="Q500" s="15">
        <v>71850</v>
      </c>
      <c r="R500" s="15">
        <v>179550</v>
      </c>
      <c r="S500" s="15">
        <f>Table1[[#This Row],[Retail Price]]-Table1[[#This Row],[Cost Price]]</f>
        <v>107700</v>
      </c>
      <c r="T500" s="10">
        <v>17</v>
      </c>
      <c r="U500" s="15">
        <f>Table1[[#This Row],[Profit Margin]]*Table1[[#This Row],[Order Quantity]]</f>
        <v>1830900</v>
      </c>
      <c r="V500" s="11">
        <v>0.03</v>
      </c>
      <c r="W500" s="15">
        <f t="shared" si="7"/>
        <v>54927</v>
      </c>
      <c r="X500" s="15">
        <f>Table1[[#This Row],[Sub Total]]-Table1[[#This Row],[Discount Rp]]</f>
        <v>1775973</v>
      </c>
      <c r="Y500" s="15">
        <f ca="1">OFFSET(Helper!$C$3,MATCH(Data!$N$4:$N$1003,Helper!$C$4:$C$9,0),MATCH(Data!$O$4:$O$1003,Helper!$D$3:$F$3,0))</f>
        <v>10000</v>
      </c>
      <c r="Z500" s="16">
        <f ca="1">Table1[[#This Row],[Order Total]]+Table1[[#This Row],[Shipping Cost]]</f>
        <v>1785973</v>
      </c>
    </row>
    <row r="501" spans="1:26" ht="15.75" customHeight="1" x14ac:dyDescent="0.3">
      <c r="A501" s="9" t="s">
        <v>1210</v>
      </c>
      <c r="B501" s="18">
        <v>43239</v>
      </c>
      <c r="C501" s="10">
        <f>YEAR(Table1[[#This Row],[Order Date]])</f>
        <v>2018</v>
      </c>
      <c r="D501" s="10" t="s">
        <v>244</v>
      </c>
      <c r="E501" s="10" t="s">
        <v>245</v>
      </c>
      <c r="F501" s="10" t="s">
        <v>71</v>
      </c>
      <c r="G501" s="10" t="s">
        <v>55</v>
      </c>
      <c r="H501" s="10" t="s">
        <v>146</v>
      </c>
      <c r="I501" s="10" t="str">
        <f>VLOOKUP(Table1[[#This Row],[Account Manager ID]],Table2[[Employee ID]:[Full Name]],4,FALSE)</f>
        <v>Kenari Rajasa</v>
      </c>
      <c r="J501" s="10" t="str">
        <f>INDEX(Employee!$D$4:$D$47,MATCH($H$4:$H$1003,Employee!$A$4:$A$47,0))</f>
        <v>Kenari Rajasa</v>
      </c>
      <c r="K501" s="10" t="s">
        <v>117</v>
      </c>
      <c r="L501" s="10" t="s">
        <v>238</v>
      </c>
      <c r="M501" s="10" t="s">
        <v>59</v>
      </c>
      <c r="N501" s="10" t="s">
        <v>67</v>
      </c>
      <c r="O501" s="10" t="s">
        <v>61</v>
      </c>
      <c r="P501" s="10">
        <v>43241</v>
      </c>
      <c r="Q501" s="15">
        <v>323400</v>
      </c>
      <c r="R501" s="15">
        <v>548250</v>
      </c>
      <c r="S501" s="15">
        <f>Table1[[#This Row],[Retail Price]]-Table1[[#This Row],[Cost Price]]</f>
        <v>224850</v>
      </c>
      <c r="T501" s="10">
        <v>34</v>
      </c>
      <c r="U501" s="15">
        <f>Table1[[#This Row],[Profit Margin]]*Table1[[#This Row],[Order Quantity]]</f>
        <v>7644900</v>
      </c>
      <c r="V501" s="11">
        <v>0.03</v>
      </c>
      <c r="W501" s="15">
        <f t="shared" si="7"/>
        <v>229347</v>
      </c>
      <c r="X501" s="15">
        <f>Table1[[#This Row],[Sub Total]]-Table1[[#This Row],[Discount Rp]]</f>
        <v>7415553</v>
      </c>
      <c r="Y501" s="15">
        <f ca="1">OFFSET(Helper!$C$3,MATCH(Data!$N$4:$N$1003,Helper!$C$4:$C$9,0),MATCH(Data!$O$4:$O$1003,Helper!$D$3:$F$3,0))</f>
        <v>5000</v>
      </c>
      <c r="Z501" s="16">
        <f ca="1">Table1[[#This Row],[Order Total]]+Table1[[#This Row],[Shipping Cost]]</f>
        <v>7420553</v>
      </c>
    </row>
    <row r="502" spans="1:26" ht="15.75" customHeight="1" x14ac:dyDescent="0.3">
      <c r="A502" s="9" t="s">
        <v>1211</v>
      </c>
      <c r="B502" s="18">
        <v>43239</v>
      </c>
      <c r="C502" s="10">
        <f>YEAR(Table1[[#This Row],[Order Date]])</f>
        <v>2018</v>
      </c>
      <c r="D502" s="10" t="s">
        <v>1212</v>
      </c>
      <c r="E502" s="10" t="s">
        <v>323</v>
      </c>
      <c r="F502" s="10" t="s">
        <v>71</v>
      </c>
      <c r="G502" s="10" t="s">
        <v>106</v>
      </c>
      <c r="H502" s="10" t="s">
        <v>194</v>
      </c>
      <c r="I502" s="10" t="str">
        <f>VLOOKUP(Table1[[#This Row],[Account Manager ID]],Table2[[Employee ID]:[Full Name]],4,FALSE)</f>
        <v>Nabila Prakasa</v>
      </c>
      <c r="J502" s="10" t="str">
        <f>INDEX(Employee!$D$4:$D$47,MATCH($H$4:$H$1003,Employee!$A$4:$A$47,0))</f>
        <v>Nabila Prakasa</v>
      </c>
      <c r="K502" s="10" t="s">
        <v>74</v>
      </c>
      <c r="L502" s="10" t="s">
        <v>700</v>
      </c>
      <c r="M502" s="10" t="s">
        <v>59</v>
      </c>
      <c r="N502" s="10" t="s">
        <v>67</v>
      </c>
      <c r="O502" s="10" t="s">
        <v>61</v>
      </c>
      <c r="P502" s="10">
        <v>43241</v>
      </c>
      <c r="Q502" s="15">
        <v>34650</v>
      </c>
      <c r="R502" s="15">
        <v>56700</v>
      </c>
      <c r="S502" s="15">
        <f>Table1[[#This Row],[Retail Price]]-Table1[[#This Row],[Cost Price]]</f>
        <v>22050</v>
      </c>
      <c r="T502" s="10">
        <v>34</v>
      </c>
      <c r="U502" s="15">
        <f>Table1[[#This Row],[Profit Margin]]*Table1[[#This Row],[Order Quantity]]</f>
        <v>749700</v>
      </c>
      <c r="V502" s="11">
        <v>0.03</v>
      </c>
      <c r="W502" s="15">
        <f t="shared" si="7"/>
        <v>22491</v>
      </c>
      <c r="X502" s="15">
        <f>Table1[[#This Row],[Sub Total]]-Table1[[#This Row],[Discount Rp]]</f>
        <v>727209</v>
      </c>
      <c r="Y502" s="15">
        <f ca="1">OFFSET(Helper!$C$3,MATCH(Data!$N$4:$N$1003,Helper!$C$4:$C$9,0),MATCH(Data!$O$4:$O$1003,Helper!$D$3:$F$3,0))</f>
        <v>5000</v>
      </c>
      <c r="Z502" s="16">
        <f ca="1">Table1[[#This Row],[Order Total]]+Table1[[#This Row],[Shipping Cost]]</f>
        <v>732209</v>
      </c>
    </row>
    <row r="503" spans="1:26" ht="15.75" customHeight="1" x14ac:dyDescent="0.3">
      <c r="A503" s="9" t="s">
        <v>1213</v>
      </c>
      <c r="B503" s="18">
        <v>43242</v>
      </c>
      <c r="C503" s="10">
        <f>YEAR(Table1[[#This Row],[Order Date]])</f>
        <v>2018</v>
      </c>
      <c r="D503" s="10" t="s">
        <v>1214</v>
      </c>
      <c r="E503" s="10" t="s">
        <v>905</v>
      </c>
      <c r="F503" s="10" t="s">
        <v>71</v>
      </c>
      <c r="G503" s="10" t="s">
        <v>106</v>
      </c>
      <c r="H503" s="10" t="s">
        <v>185</v>
      </c>
      <c r="I503" s="10" t="str">
        <f>VLOOKUP(Table1[[#This Row],[Account Manager ID]],Table2[[Employee ID]:[Full Name]],4,FALSE)</f>
        <v>Clara Prasetyo</v>
      </c>
      <c r="J503" s="10" t="str">
        <f>INDEX(Employee!$D$4:$D$47,MATCH($H$4:$H$1003,Employee!$A$4:$A$47,0))</f>
        <v>Clara Prasetyo</v>
      </c>
      <c r="K503" s="10" t="s">
        <v>117</v>
      </c>
      <c r="L503" s="10" t="s">
        <v>294</v>
      </c>
      <c r="M503" s="10" t="s">
        <v>81</v>
      </c>
      <c r="N503" s="10" t="s">
        <v>60</v>
      </c>
      <c r="O503" s="10" t="s">
        <v>61</v>
      </c>
      <c r="P503" s="10">
        <v>43253</v>
      </c>
      <c r="Q503" s="15">
        <v>908850</v>
      </c>
      <c r="R503" s="15">
        <v>1514700</v>
      </c>
      <c r="S503" s="15">
        <f>Table1[[#This Row],[Retail Price]]-Table1[[#This Row],[Cost Price]]</f>
        <v>605850</v>
      </c>
      <c r="T503" s="10">
        <v>13</v>
      </c>
      <c r="U503" s="15">
        <f>Table1[[#This Row],[Profit Margin]]*Table1[[#This Row],[Order Quantity]]</f>
        <v>7876050</v>
      </c>
      <c r="V503" s="11">
        <v>0.04</v>
      </c>
      <c r="W503" s="15">
        <f t="shared" si="7"/>
        <v>315042</v>
      </c>
      <c r="X503" s="15">
        <f>Table1[[#This Row],[Sub Total]]-Table1[[#This Row],[Discount Rp]]</f>
        <v>7561008</v>
      </c>
      <c r="Y503" s="15">
        <f ca="1">OFFSET(Helper!$C$3,MATCH(Data!$N$4:$N$1003,Helper!$C$4:$C$9,0),MATCH(Data!$O$4:$O$1003,Helper!$D$3:$F$3,0))</f>
        <v>15000</v>
      </c>
      <c r="Z503" s="16">
        <f ca="1">Table1[[#This Row],[Order Total]]+Table1[[#This Row],[Shipping Cost]]</f>
        <v>7576008</v>
      </c>
    </row>
    <row r="504" spans="1:26" ht="15.75" customHeight="1" x14ac:dyDescent="0.3">
      <c r="A504" s="9" t="s">
        <v>1215</v>
      </c>
      <c r="B504" s="18">
        <v>43243</v>
      </c>
      <c r="C504" s="10">
        <f>YEAR(Table1[[#This Row],[Order Date]])</f>
        <v>2018</v>
      </c>
      <c r="D504" s="10" t="s">
        <v>1216</v>
      </c>
      <c r="E504" s="10" t="s">
        <v>53</v>
      </c>
      <c r="F504" s="10" t="s">
        <v>54</v>
      </c>
      <c r="G504" s="10" t="s">
        <v>106</v>
      </c>
      <c r="H504" s="10" t="s">
        <v>56</v>
      </c>
      <c r="I504" s="10" t="str">
        <f>VLOOKUP(Table1[[#This Row],[Account Manager ID]],Table2[[Employee ID]:[Full Name]],4,FALSE)</f>
        <v>Gaduh Pratama</v>
      </c>
      <c r="J504" s="10" t="str">
        <f>INDEX(Employee!$D$4:$D$47,MATCH($H$4:$H$1003,Employee!$A$4:$A$47,0))</f>
        <v>Gaduh Pratama</v>
      </c>
      <c r="K504" s="10" t="s">
        <v>117</v>
      </c>
      <c r="L504" s="10" t="s">
        <v>98</v>
      </c>
      <c r="M504" s="10" t="s">
        <v>59</v>
      </c>
      <c r="N504" s="10" t="s">
        <v>60</v>
      </c>
      <c r="O504" s="10" t="s">
        <v>61</v>
      </c>
      <c r="P504" s="10">
        <v>43245</v>
      </c>
      <c r="Q504" s="15">
        <v>1490850</v>
      </c>
      <c r="R504" s="15">
        <v>2443950</v>
      </c>
      <c r="S504" s="15">
        <f>Table1[[#This Row],[Retail Price]]-Table1[[#This Row],[Cost Price]]</f>
        <v>953100</v>
      </c>
      <c r="T504" s="10">
        <v>39</v>
      </c>
      <c r="U504" s="15">
        <f>Table1[[#This Row],[Profit Margin]]*Table1[[#This Row],[Order Quantity]]</f>
        <v>37170900</v>
      </c>
      <c r="V504" s="11">
        <v>0.03</v>
      </c>
      <c r="W504" s="15">
        <f t="shared" si="7"/>
        <v>1115127</v>
      </c>
      <c r="X504" s="15">
        <f>Table1[[#This Row],[Sub Total]]-Table1[[#This Row],[Discount Rp]]</f>
        <v>36055773</v>
      </c>
      <c r="Y504" s="15">
        <f ca="1">OFFSET(Helper!$C$3,MATCH(Data!$N$4:$N$1003,Helper!$C$4:$C$9,0),MATCH(Data!$O$4:$O$1003,Helper!$D$3:$F$3,0))</f>
        <v>15000</v>
      </c>
      <c r="Z504" s="16">
        <f ca="1">Table1[[#This Row],[Order Total]]+Table1[[#This Row],[Shipping Cost]]</f>
        <v>36070773</v>
      </c>
    </row>
    <row r="505" spans="1:26" ht="15.75" customHeight="1" x14ac:dyDescent="0.3">
      <c r="A505" s="9" t="s">
        <v>1217</v>
      </c>
      <c r="B505" s="18">
        <v>43244</v>
      </c>
      <c r="C505" s="10">
        <f>YEAR(Table1[[#This Row],[Order Date]])</f>
        <v>2018</v>
      </c>
      <c r="D505" s="10" t="s">
        <v>1135</v>
      </c>
      <c r="E505" s="10" t="s">
        <v>364</v>
      </c>
      <c r="F505" s="10" t="s">
        <v>71</v>
      </c>
      <c r="G505" s="10" t="s">
        <v>87</v>
      </c>
      <c r="H505" s="10" t="s">
        <v>97</v>
      </c>
      <c r="I505" s="10" t="str">
        <f>VLOOKUP(Table1[[#This Row],[Account Manager ID]],Table2[[Employee ID]:[Full Name]],4,FALSE)</f>
        <v>Violet Mentari</v>
      </c>
      <c r="J505" s="10" t="str">
        <f>INDEX(Employee!$D$4:$D$47,MATCH($H$4:$H$1003,Employee!$A$4:$A$47,0))</f>
        <v>Violet Mentari</v>
      </c>
      <c r="K505" s="10" t="s">
        <v>92</v>
      </c>
      <c r="L505" s="10" t="s">
        <v>510</v>
      </c>
      <c r="M505" s="10" t="s">
        <v>59</v>
      </c>
      <c r="N505" s="10" t="s">
        <v>67</v>
      </c>
      <c r="O505" s="10" t="s">
        <v>76</v>
      </c>
      <c r="P505" s="10">
        <v>43251</v>
      </c>
      <c r="Q505" s="15">
        <v>49800</v>
      </c>
      <c r="R505" s="15">
        <v>77700</v>
      </c>
      <c r="S505" s="15">
        <f>Table1[[#This Row],[Retail Price]]-Table1[[#This Row],[Cost Price]]</f>
        <v>27900</v>
      </c>
      <c r="T505" s="10">
        <v>11</v>
      </c>
      <c r="U505" s="15">
        <f>Table1[[#This Row],[Profit Margin]]*Table1[[#This Row],[Order Quantity]]</f>
        <v>306900</v>
      </c>
      <c r="V505" s="11">
        <v>0.06</v>
      </c>
      <c r="W505" s="15">
        <f t="shared" si="7"/>
        <v>18414</v>
      </c>
      <c r="X505" s="15">
        <f>Table1[[#This Row],[Sub Total]]-Table1[[#This Row],[Discount Rp]]</f>
        <v>288486</v>
      </c>
      <c r="Y505" s="15">
        <f ca="1">OFFSET(Helper!$C$3,MATCH(Data!$N$4:$N$1003,Helper!$C$4:$C$9,0),MATCH(Data!$O$4:$O$1003,Helper!$D$3:$F$3,0))</f>
        <v>10000</v>
      </c>
      <c r="Z505" s="16">
        <f ca="1">Table1[[#This Row],[Order Total]]+Table1[[#This Row],[Shipping Cost]]</f>
        <v>298486</v>
      </c>
    </row>
    <row r="506" spans="1:26" ht="15.75" customHeight="1" x14ac:dyDescent="0.3">
      <c r="A506" s="9" t="s">
        <v>1218</v>
      </c>
      <c r="B506" s="18">
        <v>43247</v>
      </c>
      <c r="C506" s="10">
        <f>YEAR(Table1[[#This Row],[Order Date]])</f>
        <v>2018</v>
      </c>
      <c r="D506" s="10" t="s">
        <v>868</v>
      </c>
      <c r="E506" s="10" t="s">
        <v>279</v>
      </c>
      <c r="F506" s="10" t="s">
        <v>71</v>
      </c>
      <c r="G506" s="10" t="s">
        <v>72</v>
      </c>
      <c r="H506" s="10" t="s">
        <v>155</v>
      </c>
      <c r="I506" s="10" t="str">
        <f>VLOOKUP(Table1[[#This Row],[Account Manager ID]],Table2[[Employee ID]:[Full Name]],4,FALSE)</f>
        <v>Puti Nadine Prakasa</v>
      </c>
      <c r="J506" s="10" t="str">
        <f>INDEX(Employee!$D$4:$D$47,MATCH($H$4:$H$1003,Employee!$A$4:$A$47,0))</f>
        <v>Puti Nadine Prakasa</v>
      </c>
      <c r="K506" s="10" t="s">
        <v>92</v>
      </c>
      <c r="L506" s="10" t="s">
        <v>488</v>
      </c>
      <c r="M506" s="10" t="s">
        <v>59</v>
      </c>
      <c r="N506" s="10" t="s">
        <v>136</v>
      </c>
      <c r="O506" s="10" t="s">
        <v>61</v>
      </c>
      <c r="P506" s="10">
        <v>43247</v>
      </c>
      <c r="Q506" s="15">
        <v>77850</v>
      </c>
      <c r="R506" s="15">
        <v>194700</v>
      </c>
      <c r="S506" s="15">
        <f>Table1[[#This Row],[Retail Price]]-Table1[[#This Row],[Cost Price]]</f>
        <v>116850</v>
      </c>
      <c r="T506" s="10">
        <v>50</v>
      </c>
      <c r="U506" s="15">
        <f>Table1[[#This Row],[Profit Margin]]*Table1[[#This Row],[Order Quantity]]</f>
        <v>5842500</v>
      </c>
      <c r="V506" s="11">
        <v>0.08</v>
      </c>
      <c r="W506" s="15">
        <f t="shared" si="7"/>
        <v>467400</v>
      </c>
      <c r="X506" s="15">
        <f>Table1[[#This Row],[Sub Total]]-Table1[[#This Row],[Discount Rp]]</f>
        <v>5375100</v>
      </c>
      <c r="Y506" s="15">
        <f ca="1">OFFSET(Helper!$C$3,MATCH(Data!$N$4:$N$1003,Helper!$C$4:$C$9,0),MATCH(Data!$O$4:$O$1003,Helper!$D$3:$F$3,0))</f>
        <v>10000</v>
      </c>
      <c r="Z506" s="16">
        <f ca="1">Table1[[#This Row],[Order Total]]+Table1[[#This Row],[Shipping Cost]]</f>
        <v>5385100</v>
      </c>
    </row>
    <row r="507" spans="1:26" ht="15.75" customHeight="1" x14ac:dyDescent="0.3">
      <c r="A507" s="9" t="s">
        <v>1219</v>
      </c>
      <c r="B507" s="18">
        <v>43247</v>
      </c>
      <c r="C507" s="10">
        <f>YEAR(Table1[[#This Row],[Order Date]])</f>
        <v>2018</v>
      </c>
      <c r="D507" s="10" t="s">
        <v>1002</v>
      </c>
      <c r="E507" s="10" t="s">
        <v>364</v>
      </c>
      <c r="F507" s="10" t="s">
        <v>71</v>
      </c>
      <c r="G507" s="10" t="s">
        <v>55</v>
      </c>
      <c r="H507" s="10" t="s">
        <v>97</v>
      </c>
      <c r="I507" s="10" t="str">
        <f>VLOOKUP(Table1[[#This Row],[Account Manager ID]],Table2[[Employee ID]:[Full Name]],4,FALSE)</f>
        <v>Violet Mentari</v>
      </c>
      <c r="J507" s="10" t="str">
        <f>INDEX(Employee!$D$4:$D$47,MATCH($H$4:$H$1003,Employee!$A$4:$A$47,0))</f>
        <v>Violet Mentari</v>
      </c>
      <c r="K507" s="10" t="s">
        <v>107</v>
      </c>
      <c r="L507" s="10" t="s">
        <v>276</v>
      </c>
      <c r="M507" s="10" t="s">
        <v>81</v>
      </c>
      <c r="N507" s="10" t="s">
        <v>60</v>
      </c>
      <c r="O507" s="10" t="s">
        <v>61</v>
      </c>
      <c r="P507" s="10">
        <v>43248</v>
      </c>
      <c r="Q507" s="15">
        <v>2347500</v>
      </c>
      <c r="R507" s="15">
        <v>4514550</v>
      </c>
      <c r="S507" s="15">
        <f>Table1[[#This Row],[Retail Price]]-Table1[[#This Row],[Cost Price]]</f>
        <v>2167050</v>
      </c>
      <c r="T507" s="10">
        <v>41</v>
      </c>
      <c r="U507" s="15">
        <f>Table1[[#This Row],[Profit Margin]]*Table1[[#This Row],[Order Quantity]]</f>
        <v>88849050</v>
      </c>
      <c r="V507" s="11">
        <v>0.1</v>
      </c>
      <c r="W507" s="15">
        <f t="shared" si="7"/>
        <v>8884905</v>
      </c>
      <c r="X507" s="15">
        <f>Table1[[#This Row],[Sub Total]]-Table1[[#This Row],[Discount Rp]]</f>
        <v>79964145</v>
      </c>
      <c r="Y507" s="15">
        <f ca="1">OFFSET(Helper!$C$3,MATCH(Data!$N$4:$N$1003,Helper!$C$4:$C$9,0),MATCH(Data!$O$4:$O$1003,Helper!$D$3:$F$3,0))</f>
        <v>15000</v>
      </c>
      <c r="Z507" s="16">
        <f ca="1">Table1[[#This Row],[Order Total]]+Table1[[#This Row],[Shipping Cost]]</f>
        <v>79979145</v>
      </c>
    </row>
    <row r="508" spans="1:26" ht="15.75" customHeight="1" x14ac:dyDescent="0.3">
      <c r="A508" s="9" t="s">
        <v>1220</v>
      </c>
      <c r="B508" s="18">
        <v>43249</v>
      </c>
      <c r="C508" s="10">
        <f>YEAR(Table1[[#This Row],[Order Date]])</f>
        <v>2018</v>
      </c>
      <c r="D508" s="10" t="s">
        <v>1221</v>
      </c>
      <c r="E508" s="10" t="s">
        <v>853</v>
      </c>
      <c r="F508" s="10" t="s">
        <v>71</v>
      </c>
      <c r="G508" s="10" t="s">
        <v>87</v>
      </c>
      <c r="H508" s="10" t="s">
        <v>185</v>
      </c>
      <c r="I508" s="10" t="str">
        <f>VLOOKUP(Table1[[#This Row],[Account Manager ID]],Table2[[Employee ID]:[Full Name]],4,FALSE)</f>
        <v>Clara Prasetyo</v>
      </c>
      <c r="J508" s="10" t="str">
        <f>INDEX(Employee!$D$4:$D$47,MATCH($H$4:$H$1003,Employee!$A$4:$A$47,0))</f>
        <v>Clara Prasetyo</v>
      </c>
      <c r="K508" s="10" t="s">
        <v>117</v>
      </c>
      <c r="L508" s="10" t="s">
        <v>142</v>
      </c>
      <c r="M508" s="10" t="s">
        <v>59</v>
      </c>
      <c r="N508" s="10" t="s">
        <v>60</v>
      </c>
      <c r="O508" s="10" t="s">
        <v>76</v>
      </c>
      <c r="P508" s="10">
        <v>43250</v>
      </c>
      <c r="Q508" s="15">
        <v>68850</v>
      </c>
      <c r="R508" s="15">
        <v>109200</v>
      </c>
      <c r="S508" s="15">
        <f>Table1[[#This Row],[Retail Price]]-Table1[[#This Row],[Cost Price]]</f>
        <v>40350</v>
      </c>
      <c r="T508" s="10">
        <v>5</v>
      </c>
      <c r="U508" s="15">
        <f>Table1[[#This Row],[Profit Margin]]*Table1[[#This Row],[Order Quantity]]</f>
        <v>201750</v>
      </c>
      <c r="V508" s="11">
        <v>0.05</v>
      </c>
      <c r="W508" s="15">
        <f t="shared" si="7"/>
        <v>10087.5</v>
      </c>
      <c r="X508" s="15">
        <f>Table1[[#This Row],[Sub Total]]-Table1[[#This Row],[Discount Rp]]</f>
        <v>191662.5</v>
      </c>
      <c r="Y508" s="15">
        <f ca="1">OFFSET(Helper!$C$3,MATCH(Data!$N$4:$N$1003,Helper!$C$4:$C$9,0),MATCH(Data!$O$4:$O$1003,Helper!$D$3:$F$3,0))</f>
        <v>30000</v>
      </c>
      <c r="Z508" s="16">
        <f ca="1">Table1[[#This Row],[Order Total]]+Table1[[#This Row],[Shipping Cost]]</f>
        <v>221662.5</v>
      </c>
    </row>
    <row r="509" spans="1:26" ht="15.75" customHeight="1" x14ac:dyDescent="0.3">
      <c r="A509" s="12" t="s">
        <v>1222</v>
      </c>
      <c r="B509" s="18">
        <v>43250</v>
      </c>
      <c r="C509" s="10">
        <f>YEAR(Table1[[#This Row],[Order Date]])</f>
        <v>2018</v>
      </c>
      <c r="D509" s="10" t="s">
        <v>528</v>
      </c>
      <c r="E509" s="10" t="s">
        <v>529</v>
      </c>
      <c r="F509" s="10" t="s">
        <v>261</v>
      </c>
      <c r="G509" s="10" t="s">
        <v>55</v>
      </c>
      <c r="H509" s="10" t="s">
        <v>316</v>
      </c>
      <c r="I509" s="10" t="str">
        <f>VLOOKUP(Table1[[#This Row],[Account Manager ID]],Table2[[Employee ID]:[Full Name]],4,FALSE)</f>
        <v>Sari Winarno</v>
      </c>
      <c r="J509" s="10" t="str">
        <f>INDEX(Employee!$D$4:$D$47,MATCH($H$4:$H$1003,Employee!$A$4:$A$47,0))</f>
        <v>Sari Winarno</v>
      </c>
      <c r="K509" s="10" t="s">
        <v>117</v>
      </c>
      <c r="L509" s="10" t="s">
        <v>1061</v>
      </c>
      <c r="M509" s="10" t="s">
        <v>59</v>
      </c>
      <c r="N509" s="10" t="s">
        <v>60</v>
      </c>
      <c r="O509" s="10" t="s">
        <v>61</v>
      </c>
      <c r="P509" s="10">
        <v>43251</v>
      </c>
      <c r="Q509" s="15">
        <v>17850</v>
      </c>
      <c r="R509" s="15">
        <v>29700</v>
      </c>
      <c r="S509" s="15">
        <f>Table1[[#This Row],[Retail Price]]-Table1[[#This Row],[Cost Price]]</f>
        <v>11850</v>
      </c>
      <c r="T509" s="10">
        <v>3</v>
      </c>
      <c r="U509" s="15">
        <f>Table1[[#This Row],[Profit Margin]]*Table1[[#This Row],[Order Quantity]]</f>
        <v>35550</v>
      </c>
      <c r="V509" s="11">
        <v>0.05</v>
      </c>
      <c r="W509" s="15">
        <f t="shared" si="7"/>
        <v>1777.5</v>
      </c>
      <c r="X509" s="15">
        <f>Table1[[#This Row],[Sub Total]]-Table1[[#This Row],[Discount Rp]]</f>
        <v>33772.5</v>
      </c>
      <c r="Y509" s="15">
        <f ca="1">OFFSET(Helper!$C$3,MATCH(Data!$N$4:$N$1003,Helper!$C$4:$C$9,0),MATCH(Data!$O$4:$O$1003,Helper!$D$3:$F$3,0))</f>
        <v>15000</v>
      </c>
      <c r="Z509" s="16">
        <f ca="1">Table1[[#This Row],[Order Total]]+Table1[[#This Row],[Shipping Cost]]</f>
        <v>48772.5</v>
      </c>
    </row>
    <row r="510" spans="1:26" ht="15.75" customHeight="1" x14ac:dyDescent="0.3">
      <c r="A510" s="9" t="s">
        <v>1223</v>
      </c>
      <c r="B510" s="18">
        <v>43252</v>
      </c>
      <c r="C510" s="10">
        <f>YEAR(Table1[[#This Row],[Order Date]])</f>
        <v>2018</v>
      </c>
      <c r="D510" s="10" t="s">
        <v>593</v>
      </c>
      <c r="E510" s="10" t="s">
        <v>594</v>
      </c>
      <c r="F510" s="10" t="s">
        <v>71</v>
      </c>
      <c r="G510" s="10" t="s">
        <v>72</v>
      </c>
      <c r="H510" s="10" t="s">
        <v>194</v>
      </c>
      <c r="I510" s="10" t="str">
        <f>VLOOKUP(Table1[[#This Row],[Account Manager ID]],Table2[[Employee ID]:[Full Name]],4,FALSE)</f>
        <v>Nabila Prakasa</v>
      </c>
      <c r="J510" s="10" t="str">
        <f>INDEX(Employee!$D$4:$D$47,MATCH($H$4:$H$1003,Employee!$A$4:$A$47,0))</f>
        <v>Nabila Prakasa</v>
      </c>
      <c r="K510" s="10" t="s">
        <v>117</v>
      </c>
      <c r="L510" s="10" t="s">
        <v>200</v>
      </c>
      <c r="M510" s="10" t="s">
        <v>59</v>
      </c>
      <c r="N510" s="10" t="s">
        <v>136</v>
      </c>
      <c r="O510" s="10" t="s">
        <v>61</v>
      </c>
      <c r="P510" s="10">
        <v>43254</v>
      </c>
      <c r="Q510" s="15">
        <v>71850</v>
      </c>
      <c r="R510" s="15">
        <v>179550</v>
      </c>
      <c r="S510" s="15">
        <f>Table1[[#This Row],[Retail Price]]-Table1[[#This Row],[Cost Price]]</f>
        <v>107700</v>
      </c>
      <c r="T510" s="10">
        <v>30</v>
      </c>
      <c r="U510" s="15">
        <f>Table1[[#This Row],[Profit Margin]]*Table1[[#This Row],[Order Quantity]]</f>
        <v>3231000</v>
      </c>
      <c r="V510" s="11">
        <v>0.08</v>
      </c>
      <c r="W510" s="15">
        <f t="shared" si="7"/>
        <v>258480</v>
      </c>
      <c r="X510" s="15">
        <f>Table1[[#This Row],[Sub Total]]-Table1[[#This Row],[Discount Rp]]</f>
        <v>2972520</v>
      </c>
      <c r="Y510" s="15">
        <f ca="1">OFFSET(Helper!$C$3,MATCH(Data!$N$4:$N$1003,Helper!$C$4:$C$9,0),MATCH(Data!$O$4:$O$1003,Helper!$D$3:$F$3,0))</f>
        <v>10000</v>
      </c>
      <c r="Z510" s="16">
        <f ca="1">Table1[[#This Row],[Order Total]]+Table1[[#This Row],[Shipping Cost]]</f>
        <v>2982520</v>
      </c>
    </row>
    <row r="511" spans="1:26" ht="15.75" customHeight="1" x14ac:dyDescent="0.3">
      <c r="A511" s="9" t="s">
        <v>1224</v>
      </c>
      <c r="B511" s="18">
        <v>43253</v>
      </c>
      <c r="C511" s="10">
        <f>YEAR(Table1[[#This Row],[Order Date]])</f>
        <v>2018</v>
      </c>
      <c r="D511" s="10" t="s">
        <v>1225</v>
      </c>
      <c r="E511" s="10" t="s">
        <v>323</v>
      </c>
      <c r="F511" s="10" t="s">
        <v>71</v>
      </c>
      <c r="G511" s="10" t="s">
        <v>72</v>
      </c>
      <c r="H511" s="10" t="s">
        <v>194</v>
      </c>
      <c r="I511" s="10" t="str">
        <f>VLOOKUP(Table1[[#This Row],[Account Manager ID]],Table2[[Employee ID]:[Full Name]],4,FALSE)</f>
        <v>Nabila Prakasa</v>
      </c>
      <c r="J511" s="10" t="str">
        <f>INDEX(Employee!$D$4:$D$47,MATCH($H$4:$H$1003,Employee!$A$4:$A$47,0))</f>
        <v>Nabila Prakasa</v>
      </c>
      <c r="K511" s="10" t="s">
        <v>57</v>
      </c>
      <c r="L511" s="10" t="s">
        <v>437</v>
      </c>
      <c r="M511" s="10" t="s">
        <v>59</v>
      </c>
      <c r="N511" s="10" t="s">
        <v>60</v>
      </c>
      <c r="O511" s="10" t="s">
        <v>61</v>
      </c>
      <c r="P511" s="10">
        <v>43255</v>
      </c>
      <c r="Q511" s="15">
        <v>27600</v>
      </c>
      <c r="R511" s="15">
        <v>43200</v>
      </c>
      <c r="S511" s="15">
        <f>Table1[[#This Row],[Retail Price]]-Table1[[#This Row],[Cost Price]]</f>
        <v>15600</v>
      </c>
      <c r="T511" s="10">
        <v>22</v>
      </c>
      <c r="U511" s="15">
        <f>Table1[[#This Row],[Profit Margin]]*Table1[[#This Row],[Order Quantity]]</f>
        <v>343200</v>
      </c>
      <c r="V511" s="11">
        <v>0.1</v>
      </c>
      <c r="W511" s="15">
        <f t="shared" si="7"/>
        <v>34320</v>
      </c>
      <c r="X511" s="15">
        <f>Table1[[#This Row],[Sub Total]]-Table1[[#This Row],[Discount Rp]]</f>
        <v>308880</v>
      </c>
      <c r="Y511" s="15">
        <f ca="1">OFFSET(Helper!$C$3,MATCH(Data!$N$4:$N$1003,Helper!$C$4:$C$9,0),MATCH(Data!$O$4:$O$1003,Helper!$D$3:$F$3,0))</f>
        <v>15000</v>
      </c>
      <c r="Z511" s="16">
        <f ca="1">Table1[[#This Row],[Order Total]]+Table1[[#This Row],[Shipping Cost]]</f>
        <v>323880</v>
      </c>
    </row>
    <row r="512" spans="1:26" ht="15.75" customHeight="1" x14ac:dyDescent="0.3">
      <c r="A512" s="9" t="s">
        <v>1226</v>
      </c>
      <c r="B512" s="18">
        <v>43253</v>
      </c>
      <c r="C512" s="10">
        <f>YEAR(Table1[[#This Row],[Order Date]])</f>
        <v>2018</v>
      </c>
      <c r="D512" s="10" t="s">
        <v>767</v>
      </c>
      <c r="E512" s="10" t="s">
        <v>334</v>
      </c>
      <c r="F512" s="10" t="s">
        <v>54</v>
      </c>
      <c r="G512" s="10" t="s">
        <v>55</v>
      </c>
      <c r="H512" s="10" t="s">
        <v>65</v>
      </c>
      <c r="I512" s="10" t="str">
        <f>VLOOKUP(Table1[[#This Row],[Account Manager ID]],Table2[[Employee ID]:[Full Name]],4,FALSE)</f>
        <v>Laras Nuraini</v>
      </c>
      <c r="J512" s="10" t="str">
        <f>INDEX(Employee!$D$4:$D$47,MATCH($H$4:$H$1003,Employee!$A$4:$A$47,0))</f>
        <v>Laras Nuraini</v>
      </c>
      <c r="K512" s="10" t="s">
        <v>57</v>
      </c>
      <c r="L512" s="10" t="s">
        <v>623</v>
      </c>
      <c r="M512" s="10" t="s">
        <v>59</v>
      </c>
      <c r="N512" s="10" t="s">
        <v>60</v>
      </c>
      <c r="O512" s="10" t="s">
        <v>61</v>
      </c>
      <c r="P512" s="10">
        <v>43256</v>
      </c>
      <c r="Q512" s="15">
        <v>50550</v>
      </c>
      <c r="R512" s="15">
        <v>82950</v>
      </c>
      <c r="S512" s="15">
        <f>Table1[[#This Row],[Retail Price]]-Table1[[#This Row],[Cost Price]]</f>
        <v>32400</v>
      </c>
      <c r="T512" s="10">
        <v>12</v>
      </c>
      <c r="U512" s="15">
        <f>Table1[[#This Row],[Profit Margin]]*Table1[[#This Row],[Order Quantity]]</f>
        <v>388800</v>
      </c>
      <c r="V512" s="11">
        <v>0.06</v>
      </c>
      <c r="W512" s="15">
        <f t="shared" si="7"/>
        <v>23328</v>
      </c>
      <c r="X512" s="15">
        <f>Table1[[#This Row],[Sub Total]]-Table1[[#This Row],[Discount Rp]]</f>
        <v>365472</v>
      </c>
      <c r="Y512" s="15">
        <f ca="1">OFFSET(Helper!$C$3,MATCH(Data!$N$4:$N$1003,Helper!$C$4:$C$9,0),MATCH(Data!$O$4:$O$1003,Helper!$D$3:$F$3,0))</f>
        <v>15000</v>
      </c>
      <c r="Z512" s="16">
        <f ca="1">Table1[[#This Row],[Order Total]]+Table1[[#This Row],[Shipping Cost]]</f>
        <v>380472</v>
      </c>
    </row>
    <row r="513" spans="1:26" ht="15.75" customHeight="1" x14ac:dyDescent="0.3">
      <c r="A513" s="9" t="s">
        <v>1227</v>
      </c>
      <c r="B513" s="18">
        <v>43253</v>
      </c>
      <c r="C513" s="10">
        <f>YEAR(Table1[[#This Row],[Order Date]])</f>
        <v>2018</v>
      </c>
      <c r="D513" s="10" t="s">
        <v>767</v>
      </c>
      <c r="E513" s="10" t="s">
        <v>334</v>
      </c>
      <c r="F513" s="10" t="s">
        <v>54</v>
      </c>
      <c r="G513" s="10" t="s">
        <v>55</v>
      </c>
      <c r="H513" s="10" t="s">
        <v>65</v>
      </c>
      <c r="I513" s="10" t="str">
        <f>VLOOKUP(Table1[[#This Row],[Account Manager ID]],Table2[[Employee ID]:[Full Name]],4,FALSE)</f>
        <v>Laras Nuraini</v>
      </c>
      <c r="J513" s="10" t="str">
        <f>INDEX(Employee!$D$4:$D$47,MATCH($H$4:$H$1003,Employee!$A$4:$A$47,0))</f>
        <v>Laras Nuraini</v>
      </c>
      <c r="K513" s="10" t="s">
        <v>57</v>
      </c>
      <c r="L513" s="10" t="s">
        <v>765</v>
      </c>
      <c r="M513" s="10" t="s">
        <v>59</v>
      </c>
      <c r="N513" s="10" t="s">
        <v>67</v>
      </c>
      <c r="O513" s="10" t="s">
        <v>61</v>
      </c>
      <c r="P513" s="10">
        <v>43254</v>
      </c>
      <c r="Q513" s="15">
        <v>32400.000000000004</v>
      </c>
      <c r="R513" s="15">
        <v>57750</v>
      </c>
      <c r="S513" s="15">
        <f>Table1[[#This Row],[Retail Price]]-Table1[[#This Row],[Cost Price]]</f>
        <v>25349.999999999996</v>
      </c>
      <c r="T513" s="10">
        <v>12</v>
      </c>
      <c r="U513" s="15">
        <f>Table1[[#This Row],[Profit Margin]]*Table1[[#This Row],[Order Quantity]]</f>
        <v>304199.99999999994</v>
      </c>
      <c r="V513" s="11">
        <v>0.1</v>
      </c>
      <c r="W513" s="15">
        <f t="shared" si="7"/>
        <v>30419.999999999996</v>
      </c>
      <c r="X513" s="15">
        <f>Table1[[#This Row],[Sub Total]]-Table1[[#This Row],[Discount Rp]]</f>
        <v>273779.99999999994</v>
      </c>
      <c r="Y513" s="15">
        <f ca="1">OFFSET(Helper!$C$3,MATCH(Data!$N$4:$N$1003,Helper!$C$4:$C$9,0),MATCH(Data!$O$4:$O$1003,Helper!$D$3:$F$3,0))</f>
        <v>5000</v>
      </c>
      <c r="Z513" s="16">
        <f ca="1">Table1[[#This Row],[Order Total]]+Table1[[#This Row],[Shipping Cost]]</f>
        <v>278779.99999999994</v>
      </c>
    </row>
    <row r="514" spans="1:26" ht="15.75" customHeight="1" x14ac:dyDescent="0.3">
      <c r="A514" s="12" t="s">
        <v>1228</v>
      </c>
      <c r="B514" s="18">
        <v>43258</v>
      </c>
      <c r="C514" s="10">
        <f>YEAR(Table1[[#This Row],[Order Date]])</f>
        <v>2018</v>
      </c>
      <c r="D514" s="10" t="s">
        <v>1229</v>
      </c>
      <c r="E514" s="10" t="s">
        <v>1230</v>
      </c>
      <c r="F514" s="10" t="s">
        <v>71</v>
      </c>
      <c r="G514" s="10" t="s">
        <v>55</v>
      </c>
      <c r="H514" s="10" t="s">
        <v>122</v>
      </c>
      <c r="I514" s="10" t="str">
        <f>VLOOKUP(Table1[[#This Row],[Account Manager ID]],Table2[[Employee ID]:[Full Name]],4,FALSE)</f>
        <v>Ophelia Mustofa</v>
      </c>
      <c r="J514" s="10" t="str">
        <f>INDEX(Employee!$D$4:$D$47,MATCH($H$4:$H$1003,Employee!$A$4:$A$47,0))</f>
        <v>Ophelia Mustofa</v>
      </c>
      <c r="K514" s="10" t="s">
        <v>74</v>
      </c>
      <c r="L514" s="10" t="s">
        <v>118</v>
      </c>
      <c r="M514" s="10" t="s">
        <v>59</v>
      </c>
      <c r="N514" s="10" t="s">
        <v>60</v>
      </c>
      <c r="O514" s="10" t="s">
        <v>61</v>
      </c>
      <c r="P514" s="10">
        <v>43261</v>
      </c>
      <c r="Q514" s="15">
        <v>73350</v>
      </c>
      <c r="R514" s="15">
        <v>114600</v>
      </c>
      <c r="S514" s="15">
        <f>Table1[[#This Row],[Retail Price]]-Table1[[#This Row],[Cost Price]]</f>
        <v>41250</v>
      </c>
      <c r="T514" s="10">
        <v>32</v>
      </c>
      <c r="U514" s="15">
        <f>Table1[[#This Row],[Profit Margin]]*Table1[[#This Row],[Order Quantity]]</f>
        <v>1320000</v>
      </c>
      <c r="V514" s="11">
        <v>0.06</v>
      </c>
      <c r="W514" s="15">
        <f t="shared" si="7"/>
        <v>79200</v>
      </c>
      <c r="X514" s="15">
        <f>Table1[[#This Row],[Sub Total]]-Table1[[#This Row],[Discount Rp]]</f>
        <v>1240800</v>
      </c>
      <c r="Y514" s="15">
        <f ca="1">OFFSET(Helper!$C$3,MATCH(Data!$N$4:$N$1003,Helper!$C$4:$C$9,0),MATCH(Data!$O$4:$O$1003,Helper!$D$3:$F$3,0))</f>
        <v>15000</v>
      </c>
      <c r="Z514" s="16">
        <f ca="1">Table1[[#This Row],[Order Total]]+Table1[[#This Row],[Shipping Cost]]</f>
        <v>1255800</v>
      </c>
    </row>
    <row r="515" spans="1:26" ht="15.75" customHeight="1" x14ac:dyDescent="0.3">
      <c r="A515" s="9" t="s">
        <v>1231</v>
      </c>
      <c r="B515" s="18">
        <v>43259</v>
      </c>
      <c r="C515" s="10">
        <f>YEAR(Table1[[#This Row],[Order Date]])</f>
        <v>2018</v>
      </c>
      <c r="D515" s="10" t="s">
        <v>571</v>
      </c>
      <c r="E515" s="10" t="s">
        <v>572</v>
      </c>
      <c r="F515" s="10" t="s">
        <v>261</v>
      </c>
      <c r="G515" s="10" t="s">
        <v>72</v>
      </c>
      <c r="H515" s="10" t="s">
        <v>146</v>
      </c>
      <c r="I515" s="10" t="str">
        <f>VLOOKUP(Table1[[#This Row],[Account Manager ID]],Table2[[Employee ID]:[Full Name]],4,FALSE)</f>
        <v>Kenari Rajasa</v>
      </c>
      <c r="J515" s="10" t="str">
        <f>INDEX(Employee!$D$4:$D$47,MATCH($H$4:$H$1003,Employee!$A$4:$A$47,0))</f>
        <v>Kenari Rajasa</v>
      </c>
      <c r="K515" s="10" t="s">
        <v>117</v>
      </c>
      <c r="L515" s="10" t="s">
        <v>863</v>
      </c>
      <c r="M515" s="10" t="s">
        <v>59</v>
      </c>
      <c r="N515" s="10" t="s">
        <v>67</v>
      </c>
      <c r="O515" s="10" t="s">
        <v>61</v>
      </c>
      <c r="P515" s="10">
        <v>43260</v>
      </c>
      <c r="Q515" s="15">
        <v>13050</v>
      </c>
      <c r="R515" s="15">
        <v>27150</v>
      </c>
      <c r="S515" s="15">
        <f>Table1[[#This Row],[Retail Price]]-Table1[[#This Row],[Cost Price]]</f>
        <v>14100</v>
      </c>
      <c r="T515" s="10">
        <v>41</v>
      </c>
      <c r="U515" s="15">
        <f>Table1[[#This Row],[Profit Margin]]*Table1[[#This Row],[Order Quantity]]</f>
        <v>578100</v>
      </c>
      <c r="V515" s="11">
        <v>0.03</v>
      </c>
      <c r="W515" s="15">
        <f t="shared" si="7"/>
        <v>17343</v>
      </c>
      <c r="X515" s="15">
        <f>Table1[[#This Row],[Sub Total]]-Table1[[#This Row],[Discount Rp]]</f>
        <v>560757</v>
      </c>
      <c r="Y515" s="15">
        <f ca="1">OFFSET(Helper!$C$3,MATCH(Data!$N$4:$N$1003,Helper!$C$4:$C$9,0),MATCH(Data!$O$4:$O$1003,Helper!$D$3:$F$3,0))</f>
        <v>5000</v>
      </c>
      <c r="Z515" s="16">
        <f ca="1">Table1[[#This Row],[Order Total]]+Table1[[#This Row],[Shipping Cost]]</f>
        <v>565757</v>
      </c>
    </row>
    <row r="516" spans="1:26" ht="15.75" customHeight="1" x14ac:dyDescent="0.3">
      <c r="A516" s="9" t="s">
        <v>1232</v>
      </c>
      <c r="B516" s="18">
        <v>43259</v>
      </c>
      <c r="C516" s="10">
        <f>YEAR(Table1[[#This Row],[Order Date]])</f>
        <v>2018</v>
      </c>
      <c r="D516" s="10" t="s">
        <v>1233</v>
      </c>
      <c r="E516" s="10" t="s">
        <v>1234</v>
      </c>
      <c r="F516" s="10" t="s">
        <v>54</v>
      </c>
      <c r="G516" s="10" t="s">
        <v>106</v>
      </c>
      <c r="H516" s="10" t="s">
        <v>65</v>
      </c>
      <c r="I516" s="10" t="str">
        <f>VLOOKUP(Table1[[#This Row],[Account Manager ID]],Table2[[Employee ID]:[Full Name]],4,FALSE)</f>
        <v>Laras Nuraini</v>
      </c>
      <c r="J516" s="10" t="str">
        <f>INDEX(Employee!$D$4:$D$47,MATCH($H$4:$H$1003,Employee!$A$4:$A$47,0))</f>
        <v>Laras Nuraini</v>
      </c>
      <c r="K516" s="10" t="s">
        <v>74</v>
      </c>
      <c r="L516" s="10" t="s">
        <v>611</v>
      </c>
      <c r="M516" s="10" t="s">
        <v>59</v>
      </c>
      <c r="N516" s="10" t="s">
        <v>60</v>
      </c>
      <c r="O516" s="10" t="s">
        <v>61</v>
      </c>
      <c r="P516" s="10">
        <v>43259</v>
      </c>
      <c r="Q516" s="15">
        <v>34350</v>
      </c>
      <c r="R516" s="15">
        <v>55350</v>
      </c>
      <c r="S516" s="15">
        <f>Table1[[#This Row],[Retail Price]]-Table1[[#This Row],[Cost Price]]</f>
        <v>21000</v>
      </c>
      <c r="T516" s="10">
        <v>12</v>
      </c>
      <c r="U516" s="15">
        <f>Table1[[#This Row],[Profit Margin]]*Table1[[#This Row],[Order Quantity]]</f>
        <v>252000</v>
      </c>
      <c r="V516" s="11">
        <v>0.02</v>
      </c>
      <c r="W516" s="15">
        <f t="shared" ref="W516:W579" si="8">V516*U516</f>
        <v>5040</v>
      </c>
      <c r="X516" s="15">
        <f>Table1[[#This Row],[Sub Total]]-Table1[[#This Row],[Discount Rp]]</f>
        <v>246960</v>
      </c>
      <c r="Y516" s="15">
        <f ca="1">OFFSET(Helper!$C$3,MATCH(Data!$N$4:$N$1003,Helper!$C$4:$C$9,0),MATCH(Data!$O$4:$O$1003,Helper!$D$3:$F$3,0))</f>
        <v>15000</v>
      </c>
      <c r="Z516" s="16">
        <f ca="1">Table1[[#This Row],[Order Total]]+Table1[[#This Row],[Shipping Cost]]</f>
        <v>261960</v>
      </c>
    </row>
    <row r="517" spans="1:26" ht="15.75" customHeight="1" x14ac:dyDescent="0.3">
      <c r="A517" s="9" t="s">
        <v>1235</v>
      </c>
      <c r="B517" s="18">
        <v>43262</v>
      </c>
      <c r="C517" s="10">
        <f>YEAR(Table1[[#This Row],[Order Date]])</f>
        <v>2018</v>
      </c>
      <c r="D517" s="10" t="s">
        <v>1236</v>
      </c>
      <c r="E517" s="10" t="s">
        <v>176</v>
      </c>
      <c r="F517" s="10" t="s">
        <v>71</v>
      </c>
      <c r="G517" s="10" t="s">
        <v>87</v>
      </c>
      <c r="H517" s="10" t="s">
        <v>97</v>
      </c>
      <c r="I517" s="10" t="str">
        <f>VLOOKUP(Table1[[#This Row],[Account Manager ID]],Table2[[Employee ID]:[Full Name]],4,FALSE)</f>
        <v>Violet Mentari</v>
      </c>
      <c r="J517" s="10" t="str">
        <f>INDEX(Employee!$D$4:$D$47,MATCH($H$4:$H$1003,Employee!$A$4:$A$47,0))</f>
        <v>Violet Mentari</v>
      </c>
      <c r="K517" s="10" t="s">
        <v>57</v>
      </c>
      <c r="L517" s="10" t="s">
        <v>931</v>
      </c>
      <c r="M517" s="10" t="s">
        <v>59</v>
      </c>
      <c r="N517" s="10" t="s">
        <v>60</v>
      </c>
      <c r="O517" s="10" t="s">
        <v>76</v>
      </c>
      <c r="P517" s="10">
        <v>43263</v>
      </c>
      <c r="Q517" s="15">
        <v>27600</v>
      </c>
      <c r="R517" s="15">
        <v>43200</v>
      </c>
      <c r="S517" s="15">
        <f>Table1[[#This Row],[Retail Price]]-Table1[[#This Row],[Cost Price]]</f>
        <v>15600</v>
      </c>
      <c r="T517" s="10">
        <v>9</v>
      </c>
      <c r="U517" s="15">
        <f>Table1[[#This Row],[Profit Margin]]*Table1[[#This Row],[Order Quantity]]</f>
        <v>140400</v>
      </c>
      <c r="V517" s="11">
        <v>0</v>
      </c>
      <c r="W517" s="15">
        <f t="shared" si="8"/>
        <v>0</v>
      </c>
      <c r="X517" s="15">
        <f>Table1[[#This Row],[Sub Total]]-Table1[[#This Row],[Discount Rp]]</f>
        <v>140400</v>
      </c>
      <c r="Y517" s="15">
        <f ca="1">OFFSET(Helper!$C$3,MATCH(Data!$N$4:$N$1003,Helper!$C$4:$C$9,0),MATCH(Data!$O$4:$O$1003,Helper!$D$3:$F$3,0))</f>
        <v>30000</v>
      </c>
      <c r="Z517" s="16">
        <f ca="1">Table1[[#This Row],[Order Total]]+Table1[[#This Row],[Shipping Cost]]</f>
        <v>170400</v>
      </c>
    </row>
    <row r="518" spans="1:26" ht="15.75" customHeight="1" x14ac:dyDescent="0.3">
      <c r="A518" s="9" t="s">
        <v>1237</v>
      </c>
      <c r="B518" s="18">
        <v>43264</v>
      </c>
      <c r="C518" s="10">
        <f>YEAR(Table1[[#This Row],[Order Date]])</f>
        <v>2018</v>
      </c>
      <c r="D518" s="10" t="s">
        <v>1238</v>
      </c>
      <c r="E518" s="10" t="s">
        <v>319</v>
      </c>
      <c r="F518" s="10" t="s">
        <v>71</v>
      </c>
      <c r="G518" s="10" t="s">
        <v>87</v>
      </c>
      <c r="H518" s="10" t="s">
        <v>185</v>
      </c>
      <c r="I518" s="10" t="str">
        <f>VLOOKUP(Table1[[#This Row],[Account Manager ID]],Table2[[Employee ID]:[Full Name]],4,FALSE)</f>
        <v>Clara Prasetyo</v>
      </c>
      <c r="J518" s="10" t="str">
        <f>INDEX(Employee!$D$4:$D$47,MATCH($H$4:$H$1003,Employee!$A$4:$A$47,0))</f>
        <v>Clara Prasetyo</v>
      </c>
      <c r="K518" s="10" t="s">
        <v>92</v>
      </c>
      <c r="L518" s="10" t="s">
        <v>197</v>
      </c>
      <c r="M518" s="10" t="s">
        <v>81</v>
      </c>
      <c r="N518" s="10" t="s">
        <v>60</v>
      </c>
      <c r="O518" s="10" t="s">
        <v>61</v>
      </c>
      <c r="P518" s="10">
        <v>43264</v>
      </c>
      <c r="Q518" s="15">
        <v>151050</v>
      </c>
      <c r="R518" s="15">
        <v>239700</v>
      </c>
      <c r="S518" s="15">
        <f>Table1[[#This Row],[Retail Price]]-Table1[[#This Row],[Cost Price]]</f>
        <v>88650</v>
      </c>
      <c r="T518" s="10">
        <v>26</v>
      </c>
      <c r="U518" s="15">
        <f>Table1[[#This Row],[Profit Margin]]*Table1[[#This Row],[Order Quantity]]</f>
        <v>2304900</v>
      </c>
      <c r="V518" s="11">
        <v>0.01</v>
      </c>
      <c r="W518" s="15">
        <f t="shared" si="8"/>
        <v>23049</v>
      </c>
      <c r="X518" s="15">
        <f>Table1[[#This Row],[Sub Total]]-Table1[[#This Row],[Discount Rp]]</f>
        <v>2281851</v>
      </c>
      <c r="Y518" s="15">
        <f ca="1">OFFSET(Helper!$C$3,MATCH(Data!$N$4:$N$1003,Helper!$C$4:$C$9,0),MATCH(Data!$O$4:$O$1003,Helper!$D$3:$F$3,0))</f>
        <v>15000</v>
      </c>
      <c r="Z518" s="16">
        <f ca="1">Table1[[#This Row],[Order Total]]+Table1[[#This Row],[Shipping Cost]]</f>
        <v>2296851</v>
      </c>
    </row>
    <row r="519" spans="1:26" ht="15.75" customHeight="1" x14ac:dyDescent="0.3">
      <c r="A519" s="9" t="s">
        <v>1239</v>
      </c>
      <c r="B519" s="18">
        <v>43265</v>
      </c>
      <c r="C519" s="10">
        <f>YEAR(Table1[[#This Row],[Order Date]])</f>
        <v>2018</v>
      </c>
      <c r="D519" s="10" t="s">
        <v>1240</v>
      </c>
      <c r="E519" s="10" t="s">
        <v>206</v>
      </c>
      <c r="F519" s="10" t="s">
        <v>71</v>
      </c>
      <c r="G519" s="10" t="s">
        <v>72</v>
      </c>
      <c r="H519" s="10" t="s">
        <v>155</v>
      </c>
      <c r="I519" s="10" t="str">
        <f>VLOOKUP(Table1[[#This Row],[Account Manager ID]],Table2[[Employee ID]:[Full Name]],4,FALSE)</f>
        <v>Puti Nadine Prakasa</v>
      </c>
      <c r="J519" s="10" t="str">
        <f>INDEX(Employee!$D$4:$D$47,MATCH($H$4:$H$1003,Employee!$A$4:$A$47,0))</f>
        <v>Puti Nadine Prakasa</v>
      </c>
      <c r="K519" s="10" t="s">
        <v>117</v>
      </c>
      <c r="L519" s="10" t="s">
        <v>1241</v>
      </c>
      <c r="M519" s="10" t="s">
        <v>59</v>
      </c>
      <c r="N519" s="10" t="s">
        <v>60</v>
      </c>
      <c r="O519" s="10" t="s">
        <v>76</v>
      </c>
      <c r="P519" s="10">
        <v>43266</v>
      </c>
      <c r="Q519" s="15">
        <v>59850</v>
      </c>
      <c r="R519" s="15">
        <v>93450</v>
      </c>
      <c r="S519" s="15">
        <f>Table1[[#This Row],[Retail Price]]-Table1[[#This Row],[Cost Price]]</f>
        <v>33600</v>
      </c>
      <c r="T519" s="10">
        <v>4</v>
      </c>
      <c r="U519" s="15">
        <f>Table1[[#This Row],[Profit Margin]]*Table1[[#This Row],[Order Quantity]]</f>
        <v>134400</v>
      </c>
      <c r="V519" s="11">
        <v>0.1</v>
      </c>
      <c r="W519" s="15">
        <f t="shared" si="8"/>
        <v>13440</v>
      </c>
      <c r="X519" s="15">
        <f>Table1[[#This Row],[Sub Total]]-Table1[[#This Row],[Discount Rp]]</f>
        <v>120960</v>
      </c>
      <c r="Y519" s="15">
        <f ca="1">OFFSET(Helper!$C$3,MATCH(Data!$N$4:$N$1003,Helper!$C$4:$C$9,0),MATCH(Data!$O$4:$O$1003,Helper!$D$3:$F$3,0))</f>
        <v>30000</v>
      </c>
      <c r="Z519" s="16">
        <f ca="1">Table1[[#This Row],[Order Total]]+Table1[[#This Row],[Shipping Cost]]</f>
        <v>150960</v>
      </c>
    </row>
    <row r="520" spans="1:26" ht="15.75" customHeight="1" x14ac:dyDescent="0.3">
      <c r="A520" s="9" t="s">
        <v>1242</v>
      </c>
      <c r="B520" s="18">
        <v>43265</v>
      </c>
      <c r="C520" s="10">
        <f>YEAR(Table1[[#This Row],[Order Date]])</f>
        <v>2018</v>
      </c>
      <c r="D520" s="10" t="s">
        <v>1243</v>
      </c>
      <c r="E520" s="10" t="s">
        <v>750</v>
      </c>
      <c r="F520" s="10" t="s">
        <v>54</v>
      </c>
      <c r="G520" s="10" t="s">
        <v>87</v>
      </c>
      <c r="H520" s="10" t="s">
        <v>56</v>
      </c>
      <c r="I520" s="10" t="str">
        <f>VLOOKUP(Table1[[#This Row],[Account Manager ID]],Table2[[Employee ID]:[Full Name]],4,FALSE)</f>
        <v>Gaduh Pratama</v>
      </c>
      <c r="J520" s="10" t="str">
        <f>INDEX(Employee!$D$4:$D$47,MATCH($H$4:$H$1003,Employee!$A$4:$A$47,0))</f>
        <v>Gaduh Pratama</v>
      </c>
      <c r="K520" s="10" t="s">
        <v>74</v>
      </c>
      <c r="L520" s="10" t="s">
        <v>147</v>
      </c>
      <c r="M520" s="10" t="s">
        <v>59</v>
      </c>
      <c r="N520" s="10" t="s">
        <v>67</v>
      </c>
      <c r="O520" s="10" t="s">
        <v>61</v>
      </c>
      <c r="P520" s="10">
        <v>43267</v>
      </c>
      <c r="Q520" s="15">
        <v>19500</v>
      </c>
      <c r="R520" s="15">
        <v>43200</v>
      </c>
      <c r="S520" s="15">
        <f>Table1[[#This Row],[Retail Price]]-Table1[[#This Row],[Cost Price]]</f>
        <v>23700</v>
      </c>
      <c r="T520" s="10">
        <v>43</v>
      </c>
      <c r="U520" s="15">
        <f>Table1[[#This Row],[Profit Margin]]*Table1[[#This Row],[Order Quantity]]</f>
        <v>1019100</v>
      </c>
      <c r="V520" s="11">
        <v>0.1</v>
      </c>
      <c r="W520" s="15">
        <f t="shared" si="8"/>
        <v>101910</v>
      </c>
      <c r="X520" s="15">
        <f>Table1[[#This Row],[Sub Total]]-Table1[[#This Row],[Discount Rp]]</f>
        <v>917190</v>
      </c>
      <c r="Y520" s="15">
        <f ca="1">OFFSET(Helper!$C$3,MATCH(Data!$N$4:$N$1003,Helper!$C$4:$C$9,0),MATCH(Data!$O$4:$O$1003,Helper!$D$3:$F$3,0))</f>
        <v>5000</v>
      </c>
      <c r="Z520" s="16">
        <f ca="1">Table1[[#This Row],[Order Total]]+Table1[[#This Row],[Shipping Cost]]</f>
        <v>922190</v>
      </c>
    </row>
    <row r="521" spans="1:26" ht="15.75" customHeight="1" x14ac:dyDescent="0.3">
      <c r="A521" s="9" t="s">
        <v>1244</v>
      </c>
      <c r="B521" s="18">
        <v>43266</v>
      </c>
      <c r="C521" s="10">
        <f>YEAR(Table1[[#This Row],[Order Date]])</f>
        <v>2018</v>
      </c>
      <c r="D521" s="10" t="s">
        <v>1245</v>
      </c>
      <c r="E521" s="10" t="s">
        <v>279</v>
      </c>
      <c r="F521" s="10" t="s">
        <v>71</v>
      </c>
      <c r="G521" s="10" t="s">
        <v>55</v>
      </c>
      <c r="H521" s="10" t="s">
        <v>155</v>
      </c>
      <c r="I521" s="10" t="str">
        <f>VLOOKUP(Table1[[#This Row],[Account Manager ID]],Table2[[Employee ID]:[Full Name]],4,FALSE)</f>
        <v>Puti Nadine Prakasa</v>
      </c>
      <c r="J521" s="10" t="str">
        <f>INDEX(Employee!$D$4:$D$47,MATCH($H$4:$H$1003,Employee!$A$4:$A$47,0))</f>
        <v>Puti Nadine Prakasa</v>
      </c>
      <c r="K521" s="10" t="s">
        <v>57</v>
      </c>
      <c r="L521" s="10" t="s">
        <v>615</v>
      </c>
      <c r="M521" s="10" t="s">
        <v>59</v>
      </c>
      <c r="N521" s="10" t="s">
        <v>67</v>
      </c>
      <c r="O521" s="10" t="s">
        <v>61</v>
      </c>
      <c r="P521" s="10">
        <v>43267</v>
      </c>
      <c r="Q521" s="15">
        <v>78300</v>
      </c>
      <c r="R521" s="15">
        <v>147750</v>
      </c>
      <c r="S521" s="15">
        <f>Table1[[#This Row],[Retail Price]]-Table1[[#This Row],[Cost Price]]</f>
        <v>69450</v>
      </c>
      <c r="T521" s="10">
        <v>41</v>
      </c>
      <c r="U521" s="15">
        <f>Table1[[#This Row],[Profit Margin]]*Table1[[#This Row],[Order Quantity]]</f>
        <v>2847450</v>
      </c>
      <c r="V521" s="11">
        <v>0.05</v>
      </c>
      <c r="W521" s="15">
        <f t="shared" si="8"/>
        <v>142372.5</v>
      </c>
      <c r="X521" s="15">
        <f>Table1[[#This Row],[Sub Total]]-Table1[[#This Row],[Discount Rp]]</f>
        <v>2705077.5</v>
      </c>
      <c r="Y521" s="15">
        <f ca="1">OFFSET(Helper!$C$3,MATCH(Data!$N$4:$N$1003,Helper!$C$4:$C$9,0),MATCH(Data!$O$4:$O$1003,Helper!$D$3:$F$3,0))</f>
        <v>5000</v>
      </c>
      <c r="Z521" s="16">
        <f ca="1">Table1[[#This Row],[Order Total]]+Table1[[#This Row],[Shipping Cost]]</f>
        <v>2710077.5</v>
      </c>
    </row>
    <row r="522" spans="1:26" ht="15.75" customHeight="1" x14ac:dyDescent="0.3">
      <c r="A522" s="9" t="s">
        <v>1246</v>
      </c>
      <c r="B522" s="18">
        <v>43267</v>
      </c>
      <c r="C522" s="10">
        <f>YEAR(Table1[[#This Row],[Order Date]])</f>
        <v>2018</v>
      </c>
      <c r="D522" s="10" t="s">
        <v>1247</v>
      </c>
      <c r="E522" s="10" t="s">
        <v>945</v>
      </c>
      <c r="F522" s="10" t="s">
        <v>71</v>
      </c>
      <c r="G522" s="10" t="s">
        <v>72</v>
      </c>
      <c r="H522" s="10" t="s">
        <v>185</v>
      </c>
      <c r="I522" s="10" t="str">
        <f>VLOOKUP(Table1[[#This Row],[Account Manager ID]],Table2[[Employee ID]:[Full Name]],4,FALSE)</f>
        <v>Clara Prasetyo</v>
      </c>
      <c r="J522" s="10" t="str">
        <f>INDEX(Employee!$D$4:$D$47,MATCH($H$4:$H$1003,Employee!$A$4:$A$47,0))</f>
        <v>Clara Prasetyo</v>
      </c>
      <c r="K522" s="10" t="s">
        <v>57</v>
      </c>
      <c r="L522" s="10" t="s">
        <v>765</v>
      </c>
      <c r="M522" s="10" t="s">
        <v>59</v>
      </c>
      <c r="N522" s="10" t="s">
        <v>67</v>
      </c>
      <c r="O522" s="10" t="s">
        <v>61</v>
      </c>
      <c r="P522" s="10">
        <v>43269</v>
      </c>
      <c r="Q522" s="15">
        <v>32400.000000000004</v>
      </c>
      <c r="R522" s="15">
        <v>57750</v>
      </c>
      <c r="S522" s="15">
        <f>Table1[[#This Row],[Retail Price]]-Table1[[#This Row],[Cost Price]]</f>
        <v>25349.999999999996</v>
      </c>
      <c r="T522" s="10">
        <v>4</v>
      </c>
      <c r="U522" s="15">
        <f>Table1[[#This Row],[Profit Margin]]*Table1[[#This Row],[Order Quantity]]</f>
        <v>101399.99999999999</v>
      </c>
      <c r="V522" s="11">
        <v>0.09</v>
      </c>
      <c r="W522" s="15">
        <f t="shared" si="8"/>
        <v>9125.9999999999982</v>
      </c>
      <c r="X522" s="15">
        <f>Table1[[#This Row],[Sub Total]]-Table1[[#This Row],[Discount Rp]]</f>
        <v>92273.999999999985</v>
      </c>
      <c r="Y522" s="15">
        <f ca="1">OFFSET(Helper!$C$3,MATCH(Data!$N$4:$N$1003,Helper!$C$4:$C$9,0),MATCH(Data!$O$4:$O$1003,Helper!$D$3:$F$3,0))</f>
        <v>5000</v>
      </c>
      <c r="Z522" s="16">
        <f ca="1">Table1[[#This Row],[Order Total]]+Table1[[#This Row],[Shipping Cost]]</f>
        <v>97273.999999999985</v>
      </c>
    </row>
    <row r="523" spans="1:26" ht="15.75" customHeight="1" x14ac:dyDescent="0.3">
      <c r="A523" s="9" t="s">
        <v>1248</v>
      </c>
      <c r="B523" s="18">
        <v>43269</v>
      </c>
      <c r="C523" s="10">
        <f>YEAR(Table1[[#This Row],[Order Date]])</f>
        <v>2018</v>
      </c>
      <c r="D523" s="10" t="s">
        <v>656</v>
      </c>
      <c r="E523" s="10" t="s">
        <v>340</v>
      </c>
      <c r="F523" s="10" t="s">
        <v>54</v>
      </c>
      <c r="G523" s="10" t="s">
        <v>106</v>
      </c>
      <c r="H523" s="10" t="s">
        <v>65</v>
      </c>
      <c r="I523" s="10" t="str">
        <f>VLOOKUP(Table1[[#This Row],[Account Manager ID]],Table2[[Employee ID]:[Full Name]],4,FALSE)</f>
        <v>Laras Nuraini</v>
      </c>
      <c r="J523" s="10" t="str">
        <f>INDEX(Employee!$D$4:$D$47,MATCH($H$4:$H$1003,Employee!$A$4:$A$47,0))</f>
        <v>Laras Nuraini</v>
      </c>
      <c r="K523" s="10" t="s">
        <v>57</v>
      </c>
      <c r="L523" s="10" t="s">
        <v>113</v>
      </c>
      <c r="M523" s="10" t="s">
        <v>59</v>
      </c>
      <c r="N523" s="10" t="s">
        <v>60</v>
      </c>
      <c r="O523" s="10" t="s">
        <v>61</v>
      </c>
      <c r="P523" s="10">
        <v>43270</v>
      </c>
      <c r="Q523" s="15">
        <v>79950</v>
      </c>
      <c r="R523" s="15">
        <v>129000</v>
      </c>
      <c r="S523" s="15">
        <f>Table1[[#This Row],[Retail Price]]-Table1[[#This Row],[Cost Price]]</f>
        <v>49050</v>
      </c>
      <c r="T523" s="10">
        <v>2</v>
      </c>
      <c r="U523" s="15">
        <f>Table1[[#This Row],[Profit Margin]]*Table1[[#This Row],[Order Quantity]]</f>
        <v>98100</v>
      </c>
      <c r="V523" s="11">
        <v>0.05</v>
      </c>
      <c r="W523" s="15">
        <f t="shared" si="8"/>
        <v>4905</v>
      </c>
      <c r="X523" s="15">
        <f>Table1[[#This Row],[Sub Total]]-Table1[[#This Row],[Discount Rp]]</f>
        <v>93195</v>
      </c>
      <c r="Y523" s="15">
        <f ca="1">OFFSET(Helper!$C$3,MATCH(Data!$N$4:$N$1003,Helper!$C$4:$C$9,0),MATCH(Data!$O$4:$O$1003,Helper!$D$3:$F$3,0))</f>
        <v>15000</v>
      </c>
      <c r="Z523" s="16">
        <f ca="1">Table1[[#This Row],[Order Total]]+Table1[[#This Row],[Shipping Cost]]</f>
        <v>108195</v>
      </c>
    </row>
    <row r="524" spans="1:26" ht="15.75" customHeight="1" x14ac:dyDescent="0.3">
      <c r="A524" s="9" t="s">
        <v>1249</v>
      </c>
      <c r="B524" s="18">
        <v>43274</v>
      </c>
      <c r="C524" s="10">
        <f>YEAR(Table1[[#This Row],[Order Date]])</f>
        <v>2018</v>
      </c>
      <c r="D524" s="10" t="s">
        <v>1250</v>
      </c>
      <c r="E524" s="10" t="s">
        <v>1251</v>
      </c>
      <c r="F524" s="10" t="s">
        <v>71</v>
      </c>
      <c r="G524" s="10" t="s">
        <v>106</v>
      </c>
      <c r="H524" s="10" t="s">
        <v>146</v>
      </c>
      <c r="I524" s="10" t="str">
        <f>VLOOKUP(Table1[[#This Row],[Account Manager ID]],Table2[[Employee ID]:[Full Name]],4,FALSE)</f>
        <v>Kenari Rajasa</v>
      </c>
      <c r="J524" s="10" t="str">
        <f>INDEX(Employee!$D$4:$D$47,MATCH($H$4:$H$1003,Employee!$A$4:$A$47,0))</f>
        <v>Kenari Rajasa</v>
      </c>
      <c r="K524" s="10" t="s">
        <v>57</v>
      </c>
      <c r="L524" s="10" t="s">
        <v>248</v>
      </c>
      <c r="M524" s="10" t="s">
        <v>59</v>
      </c>
      <c r="N524" s="10" t="s">
        <v>67</v>
      </c>
      <c r="O524" s="10" t="s">
        <v>61</v>
      </c>
      <c r="P524" s="10">
        <v>43275</v>
      </c>
      <c r="Q524" s="15">
        <v>56250</v>
      </c>
      <c r="R524" s="15">
        <v>106200</v>
      </c>
      <c r="S524" s="15">
        <f>Table1[[#This Row],[Retail Price]]-Table1[[#This Row],[Cost Price]]</f>
        <v>49950</v>
      </c>
      <c r="T524" s="10">
        <v>12</v>
      </c>
      <c r="U524" s="15">
        <f>Table1[[#This Row],[Profit Margin]]*Table1[[#This Row],[Order Quantity]]</f>
        <v>599400</v>
      </c>
      <c r="V524" s="11">
        <v>0.1</v>
      </c>
      <c r="W524" s="15">
        <f t="shared" si="8"/>
        <v>59940</v>
      </c>
      <c r="X524" s="15">
        <f>Table1[[#This Row],[Sub Total]]-Table1[[#This Row],[Discount Rp]]</f>
        <v>539460</v>
      </c>
      <c r="Y524" s="15">
        <f ca="1">OFFSET(Helper!$C$3,MATCH(Data!$N$4:$N$1003,Helper!$C$4:$C$9,0),MATCH(Data!$O$4:$O$1003,Helper!$D$3:$F$3,0))</f>
        <v>5000</v>
      </c>
      <c r="Z524" s="16">
        <f ca="1">Table1[[#This Row],[Order Total]]+Table1[[#This Row],[Shipping Cost]]</f>
        <v>544460</v>
      </c>
    </row>
    <row r="525" spans="1:26" ht="15.75" customHeight="1" x14ac:dyDescent="0.3">
      <c r="A525" s="9" t="s">
        <v>1252</v>
      </c>
      <c r="B525" s="18">
        <v>43275</v>
      </c>
      <c r="C525" s="10">
        <f>YEAR(Table1[[#This Row],[Order Date]])</f>
        <v>2018</v>
      </c>
      <c r="D525" s="10" t="s">
        <v>1253</v>
      </c>
      <c r="E525" s="10" t="s">
        <v>740</v>
      </c>
      <c r="F525" s="10" t="s">
        <v>71</v>
      </c>
      <c r="G525" s="10" t="s">
        <v>55</v>
      </c>
      <c r="H525" s="10" t="s">
        <v>97</v>
      </c>
      <c r="I525" s="10" t="str">
        <f>VLOOKUP(Table1[[#This Row],[Account Manager ID]],Table2[[Employee ID]:[Full Name]],4,FALSE)</f>
        <v>Violet Mentari</v>
      </c>
      <c r="J525" s="10" t="str">
        <f>INDEX(Employee!$D$4:$D$47,MATCH($H$4:$H$1003,Employee!$A$4:$A$47,0))</f>
        <v>Violet Mentari</v>
      </c>
      <c r="K525" s="10" t="s">
        <v>74</v>
      </c>
      <c r="L525" s="10" t="s">
        <v>429</v>
      </c>
      <c r="M525" s="10" t="s">
        <v>59</v>
      </c>
      <c r="N525" s="10" t="s">
        <v>60</v>
      </c>
      <c r="O525" s="10" t="s">
        <v>61</v>
      </c>
      <c r="P525" s="10">
        <v>43276</v>
      </c>
      <c r="Q525" s="15">
        <v>29100</v>
      </c>
      <c r="R525" s="15">
        <v>46200</v>
      </c>
      <c r="S525" s="15">
        <f>Table1[[#This Row],[Retail Price]]-Table1[[#This Row],[Cost Price]]</f>
        <v>17100</v>
      </c>
      <c r="T525" s="10">
        <v>4</v>
      </c>
      <c r="U525" s="15">
        <f>Table1[[#This Row],[Profit Margin]]*Table1[[#This Row],[Order Quantity]]</f>
        <v>68400</v>
      </c>
      <c r="V525" s="11">
        <v>0.03</v>
      </c>
      <c r="W525" s="15">
        <f t="shared" si="8"/>
        <v>2052</v>
      </c>
      <c r="X525" s="15">
        <f>Table1[[#This Row],[Sub Total]]-Table1[[#This Row],[Discount Rp]]</f>
        <v>66348</v>
      </c>
      <c r="Y525" s="15">
        <f ca="1">OFFSET(Helper!$C$3,MATCH(Data!$N$4:$N$1003,Helper!$C$4:$C$9,0),MATCH(Data!$O$4:$O$1003,Helper!$D$3:$F$3,0))</f>
        <v>15000</v>
      </c>
      <c r="Z525" s="16">
        <f ca="1">Table1[[#This Row],[Order Total]]+Table1[[#This Row],[Shipping Cost]]</f>
        <v>81348</v>
      </c>
    </row>
    <row r="526" spans="1:26" ht="15.75" customHeight="1" x14ac:dyDescent="0.3">
      <c r="A526" s="9" t="s">
        <v>1254</v>
      </c>
      <c r="B526" s="18">
        <v>43278</v>
      </c>
      <c r="C526" s="10">
        <f>YEAR(Table1[[#This Row],[Order Date]])</f>
        <v>2018</v>
      </c>
      <c r="D526" s="10" t="s">
        <v>1214</v>
      </c>
      <c r="E526" s="10" t="s">
        <v>905</v>
      </c>
      <c r="F526" s="10" t="s">
        <v>71</v>
      </c>
      <c r="G526" s="10" t="s">
        <v>87</v>
      </c>
      <c r="H526" s="10" t="s">
        <v>185</v>
      </c>
      <c r="I526" s="10" t="str">
        <f>VLOOKUP(Table1[[#This Row],[Account Manager ID]],Table2[[Employee ID]:[Full Name]],4,FALSE)</f>
        <v>Clara Prasetyo</v>
      </c>
      <c r="J526" s="10" t="str">
        <f>INDEX(Employee!$D$4:$D$47,MATCH($H$4:$H$1003,Employee!$A$4:$A$47,0))</f>
        <v>Clara Prasetyo</v>
      </c>
      <c r="K526" s="10" t="s">
        <v>57</v>
      </c>
      <c r="L526" s="10" t="s">
        <v>473</v>
      </c>
      <c r="M526" s="10" t="s">
        <v>59</v>
      </c>
      <c r="N526" s="10" t="s">
        <v>60</v>
      </c>
      <c r="O526" s="10" t="s">
        <v>61</v>
      </c>
      <c r="P526" s="10">
        <v>43280</v>
      </c>
      <c r="Q526" s="15">
        <v>32700.000000000004</v>
      </c>
      <c r="R526" s="15">
        <v>52800</v>
      </c>
      <c r="S526" s="15">
        <f>Table1[[#This Row],[Retail Price]]-Table1[[#This Row],[Cost Price]]</f>
        <v>20099.999999999996</v>
      </c>
      <c r="T526" s="10">
        <v>49</v>
      </c>
      <c r="U526" s="15">
        <f>Table1[[#This Row],[Profit Margin]]*Table1[[#This Row],[Order Quantity]]</f>
        <v>984899.99999999977</v>
      </c>
      <c r="V526" s="11">
        <v>0.08</v>
      </c>
      <c r="W526" s="15">
        <f t="shared" si="8"/>
        <v>78791.999999999985</v>
      </c>
      <c r="X526" s="15">
        <f>Table1[[#This Row],[Sub Total]]-Table1[[#This Row],[Discount Rp]]</f>
        <v>906107.99999999977</v>
      </c>
      <c r="Y526" s="15">
        <f ca="1">OFFSET(Helper!$C$3,MATCH(Data!$N$4:$N$1003,Helper!$C$4:$C$9,0),MATCH(Data!$O$4:$O$1003,Helper!$D$3:$F$3,0))</f>
        <v>15000</v>
      </c>
      <c r="Z526" s="16">
        <f ca="1">Table1[[#This Row],[Order Total]]+Table1[[#This Row],[Shipping Cost]]</f>
        <v>921107.99999999977</v>
      </c>
    </row>
    <row r="527" spans="1:26" ht="15.75" customHeight="1" x14ac:dyDescent="0.3">
      <c r="A527" s="9" t="s">
        <v>1255</v>
      </c>
      <c r="B527" s="18">
        <v>43279</v>
      </c>
      <c r="C527" s="10">
        <f>YEAR(Table1[[#This Row],[Order Date]])</f>
        <v>2018</v>
      </c>
      <c r="D527" s="10" t="s">
        <v>1256</v>
      </c>
      <c r="E527" s="10" t="s">
        <v>141</v>
      </c>
      <c r="F527" s="10" t="s">
        <v>71</v>
      </c>
      <c r="G527" s="10" t="s">
        <v>55</v>
      </c>
      <c r="H527" s="10" t="s">
        <v>112</v>
      </c>
      <c r="I527" s="10" t="str">
        <f>VLOOKUP(Table1[[#This Row],[Account Manager ID]],Table2[[Employee ID]:[Full Name]],4,FALSE)</f>
        <v>Paiman Firgantoro</v>
      </c>
      <c r="J527" s="10" t="str">
        <f>INDEX(Employee!$D$4:$D$47,MATCH($H$4:$H$1003,Employee!$A$4:$A$47,0))</f>
        <v>Paiman Firgantoro</v>
      </c>
      <c r="K527" s="10" t="s">
        <v>107</v>
      </c>
      <c r="L527" s="10" t="s">
        <v>837</v>
      </c>
      <c r="M527" s="10" t="s">
        <v>81</v>
      </c>
      <c r="N527" s="10" t="s">
        <v>82</v>
      </c>
      <c r="O527" s="10" t="s">
        <v>83</v>
      </c>
      <c r="P527" s="10">
        <v>43280</v>
      </c>
      <c r="Q527" s="15">
        <v>4734150</v>
      </c>
      <c r="R527" s="15">
        <v>7514550</v>
      </c>
      <c r="S527" s="15">
        <f>Table1[[#This Row],[Retail Price]]-Table1[[#This Row],[Cost Price]]</f>
        <v>2780400</v>
      </c>
      <c r="T527" s="10">
        <v>3</v>
      </c>
      <c r="U527" s="15">
        <f>Table1[[#This Row],[Profit Margin]]*Table1[[#This Row],[Order Quantity]]</f>
        <v>8341200</v>
      </c>
      <c r="V527" s="11">
        <v>0.06</v>
      </c>
      <c r="W527" s="15">
        <f t="shared" si="8"/>
        <v>500472</v>
      </c>
      <c r="X527" s="15">
        <f>Table1[[#This Row],[Sub Total]]-Table1[[#This Row],[Discount Rp]]</f>
        <v>7840728</v>
      </c>
      <c r="Y527" s="15">
        <f ca="1">OFFSET(Helper!$C$3,MATCH(Data!$N$4:$N$1003,Helper!$C$4:$C$9,0),MATCH(Data!$O$4:$O$1003,Helper!$D$3:$F$3,0))</f>
        <v>500000</v>
      </c>
      <c r="Z527" s="16">
        <f ca="1">Table1[[#This Row],[Order Total]]+Table1[[#This Row],[Shipping Cost]]</f>
        <v>8340728</v>
      </c>
    </row>
    <row r="528" spans="1:26" ht="15.75" customHeight="1" x14ac:dyDescent="0.3">
      <c r="A528" s="9" t="s">
        <v>1257</v>
      </c>
      <c r="B528" s="18">
        <v>43279</v>
      </c>
      <c r="C528" s="10">
        <f>YEAR(Table1[[#This Row],[Order Date]])</f>
        <v>2018</v>
      </c>
      <c r="D528" s="10" t="s">
        <v>1258</v>
      </c>
      <c r="E528" s="10" t="s">
        <v>340</v>
      </c>
      <c r="F528" s="10" t="s">
        <v>54</v>
      </c>
      <c r="G528" s="10" t="s">
        <v>106</v>
      </c>
      <c r="H528" s="10" t="s">
        <v>65</v>
      </c>
      <c r="I528" s="10" t="str">
        <f>VLOOKUP(Table1[[#This Row],[Account Manager ID]],Table2[[Employee ID]:[Full Name]],4,FALSE)</f>
        <v>Laras Nuraini</v>
      </c>
      <c r="J528" s="10" t="str">
        <f>INDEX(Employee!$D$4:$D$47,MATCH($H$4:$H$1003,Employee!$A$4:$A$47,0))</f>
        <v>Laras Nuraini</v>
      </c>
      <c r="K528" s="10" t="s">
        <v>57</v>
      </c>
      <c r="L528" s="10" t="s">
        <v>546</v>
      </c>
      <c r="M528" s="10" t="s">
        <v>59</v>
      </c>
      <c r="N528" s="10" t="s">
        <v>60</v>
      </c>
      <c r="O528" s="10" t="s">
        <v>61</v>
      </c>
      <c r="P528" s="10">
        <v>43279</v>
      </c>
      <c r="Q528" s="15">
        <v>224250</v>
      </c>
      <c r="R528" s="15">
        <v>521399.99999999994</v>
      </c>
      <c r="S528" s="15">
        <f>Table1[[#This Row],[Retail Price]]-Table1[[#This Row],[Cost Price]]</f>
        <v>297149.99999999994</v>
      </c>
      <c r="T528" s="10">
        <v>43</v>
      </c>
      <c r="U528" s="15">
        <f>Table1[[#This Row],[Profit Margin]]*Table1[[#This Row],[Order Quantity]]</f>
        <v>12777449.999999998</v>
      </c>
      <c r="V528" s="11">
        <v>0</v>
      </c>
      <c r="W528" s="15">
        <f t="shared" si="8"/>
        <v>0</v>
      </c>
      <c r="X528" s="15">
        <f>Table1[[#This Row],[Sub Total]]-Table1[[#This Row],[Discount Rp]]</f>
        <v>12777449.999999998</v>
      </c>
      <c r="Y528" s="15">
        <f ca="1">OFFSET(Helper!$C$3,MATCH(Data!$N$4:$N$1003,Helper!$C$4:$C$9,0),MATCH(Data!$O$4:$O$1003,Helper!$D$3:$F$3,0))</f>
        <v>15000</v>
      </c>
      <c r="Z528" s="16">
        <f ca="1">Table1[[#This Row],[Order Total]]+Table1[[#This Row],[Shipping Cost]]</f>
        <v>12792449.999999998</v>
      </c>
    </row>
    <row r="529" spans="1:26" ht="15.75" customHeight="1" x14ac:dyDescent="0.3">
      <c r="A529" s="9" t="s">
        <v>1259</v>
      </c>
      <c r="B529" s="18">
        <v>43280</v>
      </c>
      <c r="C529" s="10">
        <f>YEAR(Table1[[#This Row],[Order Date]])</f>
        <v>2018</v>
      </c>
      <c r="D529" s="10" t="s">
        <v>1260</v>
      </c>
      <c r="E529" s="10" t="s">
        <v>340</v>
      </c>
      <c r="F529" s="10" t="s">
        <v>54</v>
      </c>
      <c r="G529" s="10" t="s">
        <v>87</v>
      </c>
      <c r="H529" s="10" t="s">
        <v>65</v>
      </c>
      <c r="I529" s="10" t="str">
        <f>VLOOKUP(Table1[[#This Row],[Account Manager ID]],Table2[[Employee ID]:[Full Name]],4,FALSE)</f>
        <v>Laras Nuraini</v>
      </c>
      <c r="J529" s="10" t="str">
        <f>INDEX(Employee!$D$4:$D$47,MATCH($H$4:$H$1003,Employee!$A$4:$A$47,0))</f>
        <v>Laras Nuraini</v>
      </c>
      <c r="K529" s="10" t="s">
        <v>117</v>
      </c>
      <c r="L529" s="10" t="s">
        <v>287</v>
      </c>
      <c r="M529" s="10" t="s">
        <v>59</v>
      </c>
      <c r="N529" s="10" t="s">
        <v>60</v>
      </c>
      <c r="O529" s="10" t="s">
        <v>61</v>
      </c>
      <c r="P529" s="10">
        <v>43280</v>
      </c>
      <c r="Q529" s="15">
        <v>185850</v>
      </c>
      <c r="R529" s="15">
        <v>299700</v>
      </c>
      <c r="S529" s="15">
        <f>Table1[[#This Row],[Retail Price]]-Table1[[#This Row],[Cost Price]]</f>
        <v>113850</v>
      </c>
      <c r="T529" s="10">
        <v>32</v>
      </c>
      <c r="U529" s="15">
        <f>Table1[[#This Row],[Profit Margin]]*Table1[[#This Row],[Order Quantity]]</f>
        <v>3643200</v>
      </c>
      <c r="V529" s="11">
        <v>0.05</v>
      </c>
      <c r="W529" s="15">
        <f t="shared" si="8"/>
        <v>182160</v>
      </c>
      <c r="X529" s="15">
        <f>Table1[[#This Row],[Sub Total]]-Table1[[#This Row],[Discount Rp]]</f>
        <v>3461040</v>
      </c>
      <c r="Y529" s="15">
        <f ca="1">OFFSET(Helper!$C$3,MATCH(Data!$N$4:$N$1003,Helper!$C$4:$C$9,0),MATCH(Data!$O$4:$O$1003,Helper!$D$3:$F$3,0))</f>
        <v>15000</v>
      </c>
      <c r="Z529" s="16">
        <f ca="1">Table1[[#This Row],[Order Total]]+Table1[[#This Row],[Shipping Cost]]</f>
        <v>3476040</v>
      </c>
    </row>
    <row r="530" spans="1:26" ht="15.75" customHeight="1" x14ac:dyDescent="0.3">
      <c r="A530" s="9" t="s">
        <v>1261</v>
      </c>
      <c r="B530" s="18">
        <v>43281</v>
      </c>
      <c r="C530" s="10">
        <f>YEAR(Table1[[#This Row],[Order Date]])</f>
        <v>2018</v>
      </c>
      <c r="D530" s="10" t="s">
        <v>1262</v>
      </c>
      <c r="E530" s="10" t="s">
        <v>154</v>
      </c>
      <c r="F530" s="10" t="s">
        <v>71</v>
      </c>
      <c r="G530" s="10" t="s">
        <v>72</v>
      </c>
      <c r="H530" s="10" t="s">
        <v>155</v>
      </c>
      <c r="I530" s="10" t="str">
        <f>VLOOKUP(Table1[[#This Row],[Account Manager ID]],Table2[[Employee ID]:[Full Name]],4,FALSE)</f>
        <v>Puti Nadine Prakasa</v>
      </c>
      <c r="J530" s="10" t="str">
        <f>INDEX(Employee!$D$4:$D$47,MATCH($H$4:$H$1003,Employee!$A$4:$A$47,0))</f>
        <v>Puti Nadine Prakasa</v>
      </c>
      <c r="K530" s="10" t="s">
        <v>74</v>
      </c>
      <c r="L530" s="10" t="s">
        <v>1163</v>
      </c>
      <c r="M530" s="10" t="s">
        <v>59</v>
      </c>
      <c r="N530" s="10" t="s">
        <v>136</v>
      </c>
      <c r="O530" s="10" t="s">
        <v>61</v>
      </c>
      <c r="P530" s="10">
        <v>43284</v>
      </c>
      <c r="Q530" s="15">
        <v>43050</v>
      </c>
      <c r="R530" s="15">
        <v>102600</v>
      </c>
      <c r="S530" s="15">
        <f>Table1[[#This Row],[Retail Price]]-Table1[[#This Row],[Cost Price]]</f>
        <v>59550</v>
      </c>
      <c r="T530" s="10">
        <v>35</v>
      </c>
      <c r="U530" s="15">
        <f>Table1[[#This Row],[Profit Margin]]*Table1[[#This Row],[Order Quantity]]</f>
        <v>2084250</v>
      </c>
      <c r="V530" s="11">
        <v>0.02</v>
      </c>
      <c r="W530" s="15">
        <f t="shared" si="8"/>
        <v>41685</v>
      </c>
      <c r="X530" s="15">
        <f>Table1[[#This Row],[Sub Total]]-Table1[[#This Row],[Discount Rp]]</f>
        <v>2042565</v>
      </c>
      <c r="Y530" s="15">
        <f ca="1">OFFSET(Helper!$C$3,MATCH(Data!$N$4:$N$1003,Helper!$C$4:$C$9,0),MATCH(Data!$O$4:$O$1003,Helper!$D$3:$F$3,0))</f>
        <v>10000</v>
      </c>
      <c r="Z530" s="16">
        <f ca="1">Table1[[#This Row],[Order Total]]+Table1[[#This Row],[Shipping Cost]]</f>
        <v>2052565</v>
      </c>
    </row>
    <row r="531" spans="1:26" ht="15.75" customHeight="1" x14ac:dyDescent="0.3">
      <c r="A531" s="9" t="s">
        <v>1263</v>
      </c>
      <c r="B531" s="18">
        <v>43283</v>
      </c>
      <c r="C531" s="10">
        <f>YEAR(Table1[[#This Row],[Order Date]])</f>
        <v>2018</v>
      </c>
      <c r="D531" s="10" t="s">
        <v>1264</v>
      </c>
      <c r="E531" s="10" t="s">
        <v>340</v>
      </c>
      <c r="F531" s="10" t="s">
        <v>54</v>
      </c>
      <c r="G531" s="10" t="s">
        <v>106</v>
      </c>
      <c r="H531" s="10" t="s">
        <v>65</v>
      </c>
      <c r="I531" s="10" t="str">
        <f>VLOOKUP(Table1[[#This Row],[Account Manager ID]],Table2[[Employee ID]:[Full Name]],4,FALSE)</f>
        <v>Laras Nuraini</v>
      </c>
      <c r="J531" s="10" t="str">
        <f>INDEX(Employee!$D$4:$D$47,MATCH($H$4:$H$1003,Employee!$A$4:$A$47,0))</f>
        <v>Laras Nuraini</v>
      </c>
      <c r="K531" s="10" t="s">
        <v>74</v>
      </c>
      <c r="L531" s="10" t="s">
        <v>269</v>
      </c>
      <c r="M531" s="10" t="s">
        <v>81</v>
      </c>
      <c r="N531" s="10" t="s">
        <v>60</v>
      </c>
      <c r="O531" s="10" t="s">
        <v>76</v>
      </c>
      <c r="P531" s="10">
        <v>43284</v>
      </c>
      <c r="Q531" s="15">
        <v>96000</v>
      </c>
      <c r="R531" s="15">
        <v>436500</v>
      </c>
      <c r="S531" s="15">
        <f>Table1[[#This Row],[Retail Price]]-Table1[[#This Row],[Cost Price]]</f>
        <v>340500</v>
      </c>
      <c r="T531" s="10">
        <v>50</v>
      </c>
      <c r="U531" s="15">
        <f>Table1[[#This Row],[Profit Margin]]*Table1[[#This Row],[Order Quantity]]</f>
        <v>17025000</v>
      </c>
      <c r="V531" s="11">
        <v>0.09</v>
      </c>
      <c r="W531" s="15">
        <f t="shared" si="8"/>
        <v>1532250</v>
      </c>
      <c r="X531" s="15">
        <f>Table1[[#This Row],[Sub Total]]-Table1[[#This Row],[Discount Rp]]</f>
        <v>15492750</v>
      </c>
      <c r="Y531" s="15">
        <f ca="1">OFFSET(Helper!$C$3,MATCH(Data!$N$4:$N$1003,Helper!$C$4:$C$9,0),MATCH(Data!$O$4:$O$1003,Helper!$D$3:$F$3,0))</f>
        <v>30000</v>
      </c>
      <c r="Z531" s="16">
        <f ca="1">Table1[[#This Row],[Order Total]]+Table1[[#This Row],[Shipping Cost]]</f>
        <v>15522750</v>
      </c>
    </row>
    <row r="532" spans="1:26" ht="15.75" customHeight="1" x14ac:dyDescent="0.3">
      <c r="A532" s="12" t="s">
        <v>1265</v>
      </c>
      <c r="B532" s="18">
        <v>43284</v>
      </c>
      <c r="C532" s="10">
        <f>YEAR(Table1[[#This Row],[Order Date]])</f>
        <v>2018</v>
      </c>
      <c r="D532" s="10" t="s">
        <v>259</v>
      </c>
      <c r="E532" s="10" t="s">
        <v>260</v>
      </c>
      <c r="F532" s="10" t="s">
        <v>261</v>
      </c>
      <c r="G532" s="10" t="s">
        <v>106</v>
      </c>
      <c r="H532" s="10" t="s">
        <v>146</v>
      </c>
      <c r="I532" s="10" t="str">
        <f>VLOOKUP(Table1[[#This Row],[Account Manager ID]],Table2[[Employee ID]:[Full Name]],4,FALSE)</f>
        <v>Kenari Rajasa</v>
      </c>
      <c r="J532" s="10" t="str">
        <f>INDEX(Employee!$D$4:$D$47,MATCH($H$4:$H$1003,Employee!$A$4:$A$47,0))</f>
        <v>Kenari Rajasa</v>
      </c>
      <c r="K532" s="10" t="s">
        <v>92</v>
      </c>
      <c r="L532" s="10" t="s">
        <v>252</v>
      </c>
      <c r="M532" s="10" t="s">
        <v>253</v>
      </c>
      <c r="N532" s="10" t="s">
        <v>136</v>
      </c>
      <c r="O532" s="10" t="s">
        <v>61</v>
      </c>
      <c r="P532" s="10">
        <v>43291</v>
      </c>
      <c r="Q532" s="15">
        <v>82500</v>
      </c>
      <c r="R532" s="15">
        <v>183300</v>
      </c>
      <c r="S532" s="15">
        <f>Table1[[#This Row],[Retail Price]]-Table1[[#This Row],[Cost Price]]</f>
        <v>100800</v>
      </c>
      <c r="T532" s="10">
        <v>5</v>
      </c>
      <c r="U532" s="15">
        <f>Table1[[#This Row],[Profit Margin]]*Table1[[#This Row],[Order Quantity]]</f>
        <v>504000</v>
      </c>
      <c r="V532" s="11">
        <v>0.04</v>
      </c>
      <c r="W532" s="15">
        <f t="shared" si="8"/>
        <v>20160</v>
      </c>
      <c r="X532" s="15">
        <f>Table1[[#This Row],[Sub Total]]-Table1[[#This Row],[Discount Rp]]</f>
        <v>483840</v>
      </c>
      <c r="Y532" s="15">
        <f ca="1">OFFSET(Helper!$C$3,MATCH(Data!$N$4:$N$1003,Helper!$C$4:$C$9,0),MATCH(Data!$O$4:$O$1003,Helper!$D$3:$F$3,0))</f>
        <v>10000</v>
      </c>
      <c r="Z532" s="16">
        <f ca="1">Table1[[#This Row],[Order Total]]+Table1[[#This Row],[Shipping Cost]]</f>
        <v>493840</v>
      </c>
    </row>
    <row r="533" spans="1:26" ht="15.75" customHeight="1" x14ac:dyDescent="0.3">
      <c r="A533" s="9" t="s">
        <v>1266</v>
      </c>
      <c r="B533" s="18">
        <v>43284</v>
      </c>
      <c r="C533" s="10">
        <f>YEAR(Table1[[#This Row],[Order Date]])</f>
        <v>2018</v>
      </c>
      <c r="D533" s="10" t="s">
        <v>458</v>
      </c>
      <c r="E533" s="10" t="s">
        <v>189</v>
      </c>
      <c r="F533" s="10" t="s">
        <v>54</v>
      </c>
      <c r="G533" s="10" t="s">
        <v>106</v>
      </c>
      <c r="H533" s="10" t="s">
        <v>56</v>
      </c>
      <c r="I533" s="10" t="str">
        <f>VLOOKUP(Table1[[#This Row],[Account Manager ID]],Table2[[Employee ID]:[Full Name]],4,FALSE)</f>
        <v>Gaduh Pratama</v>
      </c>
      <c r="J533" s="10" t="str">
        <f>INDEX(Employee!$D$4:$D$47,MATCH($H$4:$H$1003,Employee!$A$4:$A$47,0))</f>
        <v>Gaduh Pratama</v>
      </c>
      <c r="K533" s="10" t="s">
        <v>74</v>
      </c>
      <c r="L533" s="10" t="s">
        <v>248</v>
      </c>
      <c r="M533" s="10" t="s">
        <v>59</v>
      </c>
      <c r="N533" s="10" t="s">
        <v>67</v>
      </c>
      <c r="O533" s="10" t="s">
        <v>61</v>
      </c>
      <c r="P533" s="10">
        <v>43285</v>
      </c>
      <c r="Q533" s="15">
        <v>56250</v>
      </c>
      <c r="R533" s="15">
        <v>106200</v>
      </c>
      <c r="S533" s="15">
        <f>Table1[[#This Row],[Retail Price]]-Table1[[#This Row],[Cost Price]]</f>
        <v>49950</v>
      </c>
      <c r="T533" s="10">
        <v>31</v>
      </c>
      <c r="U533" s="15">
        <f>Table1[[#This Row],[Profit Margin]]*Table1[[#This Row],[Order Quantity]]</f>
        <v>1548450</v>
      </c>
      <c r="V533" s="11">
        <v>0.01</v>
      </c>
      <c r="W533" s="15">
        <f t="shared" si="8"/>
        <v>15484.5</v>
      </c>
      <c r="X533" s="15">
        <f>Table1[[#This Row],[Sub Total]]-Table1[[#This Row],[Discount Rp]]</f>
        <v>1532965.5</v>
      </c>
      <c r="Y533" s="15">
        <f ca="1">OFFSET(Helper!$C$3,MATCH(Data!$N$4:$N$1003,Helper!$C$4:$C$9,0),MATCH(Data!$O$4:$O$1003,Helper!$D$3:$F$3,0))</f>
        <v>5000</v>
      </c>
      <c r="Z533" s="16">
        <f ca="1">Table1[[#This Row],[Order Total]]+Table1[[#This Row],[Shipping Cost]]</f>
        <v>1537965.5</v>
      </c>
    </row>
    <row r="534" spans="1:26" ht="15.75" customHeight="1" x14ac:dyDescent="0.3">
      <c r="A534" s="9" t="s">
        <v>1267</v>
      </c>
      <c r="B534" s="18">
        <v>43285</v>
      </c>
      <c r="C534" s="10">
        <f>YEAR(Table1[[#This Row],[Order Date]])</f>
        <v>2018</v>
      </c>
      <c r="D534" s="10" t="s">
        <v>1268</v>
      </c>
      <c r="E534" s="10" t="s">
        <v>462</v>
      </c>
      <c r="F534" s="10" t="s">
        <v>71</v>
      </c>
      <c r="G534" s="10" t="s">
        <v>55</v>
      </c>
      <c r="H534" s="10" t="s">
        <v>112</v>
      </c>
      <c r="I534" s="10" t="str">
        <f>VLOOKUP(Table1[[#This Row],[Account Manager ID]],Table2[[Employee ID]:[Full Name]],4,FALSE)</f>
        <v>Paiman Firgantoro</v>
      </c>
      <c r="J534" s="10" t="str">
        <f>INDEX(Employee!$D$4:$D$47,MATCH($H$4:$H$1003,Employee!$A$4:$A$47,0))</f>
        <v>Paiman Firgantoro</v>
      </c>
      <c r="K534" s="10" t="s">
        <v>57</v>
      </c>
      <c r="L534" s="10" t="s">
        <v>142</v>
      </c>
      <c r="M534" s="10" t="s">
        <v>59</v>
      </c>
      <c r="N534" s="10" t="s">
        <v>60</v>
      </c>
      <c r="O534" s="10" t="s">
        <v>76</v>
      </c>
      <c r="P534" s="10">
        <v>43286</v>
      </c>
      <c r="Q534" s="15">
        <v>68850</v>
      </c>
      <c r="R534" s="15">
        <v>109200</v>
      </c>
      <c r="S534" s="15">
        <f>Table1[[#This Row],[Retail Price]]-Table1[[#This Row],[Cost Price]]</f>
        <v>40350</v>
      </c>
      <c r="T534" s="10">
        <v>40</v>
      </c>
      <c r="U534" s="15">
        <f>Table1[[#This Row],[Profit Margin]]*Table1[[#This Row],[Order Quantity]]</f>
        <v>1614000</v>
      </c>
      <c r="V534" s="11">
        <v>0.04</v>
      </c>
      <c r="W534" s="15">
        <f t="shared" si="8"/>
        <v>64560</v>
      </c>
      <c r="X534" s="15">
        <f>Table1[[#This Row],[Sub Total]]-Table1[[#This Row],[Discount Rp]]</f>
        <v>1549440</v>
      </c>
      <c r="Y534" s="15">
        <f ca="1">OFFSET(Helper!$C$3,MATCH(Data!$N$4:$N$1003,Helper!$C$4:$C$9,0),MATCH(Data!$O$4:$O$1003,Helper!$D$3:$F$3,0))</f>
        <v>30000</v>
      </c>
      <c r="Z534" s="16">
        <f ca="1">Table1[[#This Row],[Order Total]]+Table1[[#This Row],[Shipping Cost]]</f>
        <v>1579440</v>
      </c>
    </row>
    <row r="535" spans="1:26" ht="15.75" customHeight="1" x14ac:dyDescent="0.3">
      <c r="A535" s="9" t="s">
        <v>1269</v>
      </c>
      <c r="B535" s="18">
        <v>43287</v>
      </c>
      <c r="C535" s="10">
        <f>YEAR(Table1[[#This Row],[Order Date]])</f>
        <v>2018</v>
      </c>
      <c r="D535" s="10" t="s">
        <v>1270</v>
      </c>
      <c r="E535" s="10" t="s">
        <v>1271</v>
      </c>
      <c r="F535" s="10" t="s">
        <v>71</v>
      </c>
      <c r="G535" s="10" t="s">
        <v>72</v>
      </c>
      <c r="H535" s="10" t="s">
        <v>73</v>
      </c>
      <c r="I535" s="10" t="str">
        <f>VLOOKUP(Table1[[#This Row],[Account Manager ID]],Table2[[Employee ID]:[Full Name]],4,FALSE)</f>
        <v>Cinthia Gunawan</v>
      </c>
      <c r="J535" s="10" t="str">
        <f>INDEX(Employee!$D$4:$D$47,MATCH($H$4:$H$1003,Employee!$A$4:$A$47,0))</f>
        <v>Cinthia Gunawan</v>
      </c>
      <c r="K535" s="10" t="s">
        <v>117</v>
      </c>
      <c r="L535" s="10" t="s">
        <v>623</v>
      </c>
      <c r="M535" s="10" t="s">
        <v>59</v>
      </c>
      <c r="N535" s="10" t="s">
        <v>60</v>
      </c>
      <c r="O535" s="10" t="s">
        <v>61</v>
      </c>
      <c r="P535" s="10">
        <v>43289</v>
      </c>
      <c r="Q535" s="15">
        <v>50550</v>
      </c>
      <c r="R535" s="15">
        <v>82950</v>
      </c>
      <c r="S535" s="15">
        <f>Table1[[#This Row],[Retail Price]]-Table1[[#This Row],[Cost Price]]</f>
        <v>32400</v>
      </c>
      <c r="T535" s="10">
        <v>23</v>
      </c>
      <c r="U535" s="15">
        <f>Table1[[#This Row],[Profit Margin]]*Table1[[#This Row],[Order Quantity]]</f>
        <v>745200</v>
      </c>
      <c r="V535" s="11">
        <v>0.1</v>
      </c>
      <c r="W535" s="15">
        <f t="shared" si="8"/>
        <v>74520</v>
      </c>
      <c r="X535" s="15">
        <f>Table1[[#This Row],[Sub Total]]-Table1[[#This Row],[Discount Rp]]</f>
        <v>670680</v>
      </c>
      <c r="Y535" s="15">
        <f ca="1">OFFSET(Helper!$C$3,MATCH(Data!$N$4:$N$1003,Helper!$C$4:$C$9,0),MATCH(Data!$O$4:$O$1003,Helper!$D$3:$F$3,0))</f>
        <v>15000</v>
      </c>
      <c r="Z535" s="16">
        <f ca="1">Table1[[#This Row],[Order Total]]+Table1[[#This Row],[Shipping Cost]]</f>
        <v>685680</v>
      </c>
    </row>
    <row r="536" spans="1:26" ht="15.75" customHeight="1" x14ac:dyDescent="0.3">
      <c r="A536" s="9" t="s">
        <v>1272</v>
      </c>
      <c r="B536" s="18">
        <v>43287</v>
      </c>
      <c r="C536" s="10">
        <f>YEAR(Table1[[#This Row],[Order Date]])</f>
        <v>2018</v>
      </c>
      <c r="D536" s="10" t="s">
        <v>1273</v>
      </c>
      <c r="E536" s="10" t="s">
        <v>116</v>
      </c>
      <c r="F536" s="10" t="s">
        <v>54</v>
      </c>
      <c r="G536" s="10" t="s">
        <v>72</v>
      </c>
      <c r="H536" s="10" t="s">
        <v>56</v>
      </c>
      <c r="I536" s="10" t="str">
        <f>VLOOKUP(Table1[[#This Row],[Account Manager ID]],Table2[[Employee ID]:[Full Name]],4,FALSE)</f>
        <v>Gaduh Pratama</v>
      </c>
      <c r="J536" s="10" t="str">
        <f>INDEX(Employee!$D$4:$D$47,MATCH($H$4:$H$1003,Employee!$A$4:$A$47,0))</f>
        <v>Gaduh Pratama</v>
      </c>
      <c r="K536" s="10" t="s">
        <v>74</v>
      </c>
      <c r="L536" s="10" t="s">
        <v>162</v>
      </c>
      <c r="M536" s="10" t="s">
        <v>59</v>
      </c>
      <c r="N536" s="10" t="s">
        <v>60</v>
      </c>
      <c r="O536" s="10" t="s">
        <v>61</v>
      </c>
      <c r="P536" s="10">
        <v>43288</v>
      </c>
      <c r="Q536" s="15">
        <v>52800</v>
      </c>
      <c r="R536" s="15">
        <v>85200</v>
      </c>
      <c r="S536" s="15">
        <f>Table1[[#This Row],[Retail Price]]-Table1[[#This Row],[Cost Price]]</f>
        <v>32400</v>
      </c>
      <c r="T536" s="10">
        <v>8</v>
      </c>
      <c r="U536" s="15">
        <f>Table1[[#This Row],[Profit Margin]]*Table1[[#This Row],[Order Quantity]]</f>
        <v>259200</v>
      </c>
      <c r="V536" s="11">
        <v>0.02</v>
      </c>
      <c r="W536" s="15">
        <f t="shared" si="8"/>
        <v>5184</v>
      </c>
      <c r="X536" s="15">
        <f>Table1[[#This Row],[Sub Total]]-Table1[[#This Row],[Discount Rp]]</f>
        <v>254016</v>
      </c>
      <c r="Y536" s="15">
        <f ca="1">OFFSET(Helper!$C$3,MATCH(Data!$N$4:$N$1003,Helper!$C$4:$C$9,0),MATCH(Data!$O$4:$O$1003,Helper!$D$3:$F$3,0))</f>
        <v>15000</v>
      </c>
      <c r="Z536" s="16">
        <f ca="1">Table1[[#This Row],[Order Total]]+Table1[[#This Row],[Shipping Cost]]</f>
        <v>269016</v>
      </c>
    </row>
    <row r="537" spans="1:26" ht="15.75" customHeight="1" x14ac:dyDescent="0.3">
      <c r="A537" s="9" t="s">
        <v>1274</v>
      </c>
      <c r="B537" s="18">
        <v>43288</v>
      </c>
      <c r="C537" s="10">
        <f>YEAR(Table1[[#This Row],[Order Date]])</f>
        <v>2018</v>
      </c>
      <c r="D537" s="10" t="s">
        <v>1128</v>
      </c>
      <c r="E537" s="10" t="s">
        <v>189</v>
      </c>
      <c r="F537" s="10" t="s">
        <v>54</v>
      </c>
      <c r="G537" s="10" t="s">
        <v>55</v>
      </c>
      <c r="H537" s="10" t="s">
        <v>56</v>
      </c>
      <c r="I537" s="10" t="str">
        <f>VLOOKUP(Table1[[#This Row],[Account Manager ID]],Table2[[Employee ID]:[Full Name]],4,FALSE)</f>
        <v>Gaduh Pratama</v>
      </c>
      <c r="J537" s="10" t="str">
        <f>INDEX(Employee!$D$4:$D$47,MATCH($H$4:$H$1003,Employee!$A$4:$A$47,0))</f>
        <v>Gaduh Pratama</v>
      </c>
      <c r="K537" s="10" t="s">
        <v>107</v>
      </c>
      <c r="L537" s="10" t="s">
        <v>226</v>
      </c>
      <c r="M537" s="10" t="s">
        <v>81</v>
      </c>
      <c r="N537" s="10" t="s">
        <v>227</v>
      </c>
      <c r="O537" s="10" t="s">
        <v>61</v>
      </c>
      <c r="P537" s="10">
        <v>43290</v>
      </c>
      <c r="Q537" s="15">
        <v>132300</v>
      </c>
      <c r="R537" s="15">
        <v>314850</v>
      </c>
      <c r="S537" s="15">
        <f>Table1[[#This Row],[Retail Price]]-Table1[[#This Row],[Cost Price]]</f>
        <v>182550</v>
      </c>
      <c r="T537" s="10">
        <v>45</v>
      </c>
      <c r="U537" s="15">
        <f>Table1[[#This Row],[Profit Margin]]*Table1[[#This Row],[Order Quantity]]</f>
        <v>8214750</v>
      </c>
      <c r="V537" s="11">
        <v>0.03</v>
      </c>
      <c r="W537" s="15">
        <f t="shared" si="8"/>
        <v>246442.5</v>
      </c>
      <c r="X537" s="15">
        <f>Table1[[#This Row],[Sub Total]]-Table1[[#This Row],[Discount Rp]]</f>
        <v>7968307.5</v>
      </c>
      <c r="Y537" s="15">
        <f ca="1">OFFSET(Helper!$C$3,MATCH(Data!$N$4:$N$1003,Helper!$C$4:$C$9,0),MATCH(Data!$O$4:$O$1003,Helper!$D$3:$F$3,0))</f>
        <v>20000</v>
      </c>
      <c r="Z537" s="16">
        <f ca="1">Table1[[#This Row],[Order Total]]+Table1[[#This Row],[Shipping Cost]]</f>
        <v>7988307.5</v>
      </c>
    </row>
    <row r="538" spans="1:26" ht="15.75" customHeight="1" x14ac:dyDescent="0.3">
      <c r="A538" s="9" t="s">
        <v>1275</v>
      </c>
      <c r="B538" s="18">
        <v>43288</v>
      </c>
      <c r="C538" s="10">
        <f>YEAR(Table1[[#This Row],[Order Date]])</f>
        <v>2018</v>
      </c>
      <c r="D538" s="10" t="s">
        <v>1262</v>
      </c>
      <c r="E538" s="10" t="s">
        <v>154</v>
      </c>
      <c r="F538" s="10" t="s">
        <v>71</v>
      </c>
      <c r="G538" s="10" t="s">
        <v>72</v>
      </c>
      <c r="H538" s="10" t="s">
        <v>155</v>
      </c>
      <c r="I538" s="10" t="str">
        <f>VLOOKUP(Table1[[#This Row],[Account Manager ID]],Table2[[Employee ID]:[Full Name]],4,FALSE)</f>
        <v>Puti Nadine Prakasa</v>
      </c>
      <c r="J538" s="10" t="str">
        <f>INDEX(Employee!$D$4:$D$47,MATCH($H$4:$H$1003,Employee!$A$4:$A$47,0))</f>
        <v>Puti Nadine Prakasa</v>
      </c>
      <c r="K538" s="10" t="s">
        <v>107</v>
      </c>
      <c r="L538" s="10" t="s">
        <v>442</v>
      </c>
      <c r="M538" s="10" t="s">
        <v>59</v>
      </c>
      <c r="N538" s="10" t="s">
        <v>67</v>
      </c>
      <c r="O538" s="10" t="s">
        <v>76</v>
      </c>
      <c r="P538" s="10">
        <v>43290</v>
      </c>
      <c r="Q538" s="15">
        <v>22950</v>
      </c>
      <c r="R538" s="15">
        <v>41700</v>
      </c>
      <c r="S538" s="15">
        <f>Table1[[#This Row],[Retail Price]]-Table1[[#This Row],[Cost Price]]</f>
        <v>18750</v>
      </c>
      <c r="T538" s="10">
        <v>34</v>
      </c>
      <c r="U538" s="15">
        <f>Table1[[#This Row],[Profit Margin]]*Table1[[#This Row],[Order Quantity]]</f>
        <v>637500</v>
      </c>
      <c r="V538" s="11">
        <v>0</v>
      </c>
      <c r="W538" s="15">
        <f t="shared" si="8"/>
        <v>0</v>
      </c>
      <c r="X538" s="15">
        <f>Table1[[#This Row],[Sub Total]]-Table1[[#This Row],[Discount Rp]]</f>
        <v>637500</v>
      </c>
      <c r="Y538" s="15">
        <f ca="1">OFFSET(Helper!$C$3,MATCH(Data!$N$4:$N$1003,Helper!$C$4:$C$9,0),MATCH(Data!$O$4:$O$1003,Helper!$D$3:$F$3,0))</f>
        <v>10000</v>
      </c>
      <c r="Z538" s="16">
        <f ca="1">Table1[[#This Row],[Order Total]]+Table1[[#This Row],[Shipping Cost]]</f>
        <v>647500</v>
      </c>
    </row>
    <row r="539" spans="1:26" ht="15.75" customHeight="1" x14ac:dyDescent="0.3">
      <c r="A539" s="9" t="s">
        <v>1276</v>
      </c>
      <c r="B539" s="18">
        <v>43293</v>
      </c>
      <c r="C539" s="10">
        <f>YEAR(Table1[[#This Row],[Order Date]])</f>
        <v>2018</v>
      </c>
      <c r="D539" s="10" t="s">
        <v>835</v>
      </c>
      <c r="E539" s="10" t="s">
        <v>169</v>
      </c>
      <c r="F539" s="10" t="s">
        <v>54</v>
      </c>
      <c r="G539" s="10" t="s">
        <v>106</v>
      </c>
      <c r="H539" s="10" t="s">
        <v>65</v>
      </c>
      <c r="I539" s="10" t="str">
        <f>VLOOKUP(Table1[[#This Row],[Account Manager ID]],Table2[[Employee ID]:[Full Name]],4,FALSE)</f>
        <v>Laras Nuraini</v>
      </c>
      <c r="J539" s="10" t="str">
        <f>INDEX(Employee!$D$4:$D$47,MATCH($H$4:$H$1003,Employee!$A$4:$A$47,0))</f>
        <v>Laras Nuraini</v>
      </c>
      <c r="K539" s="10" t="s">
        <v>117</v>
      </c>
      <c r="L539" s="10" t="s">
        <v>398</v>
      </c>
      <c r="M539" s="10" t="s">
        <v>81</v>
      </c>
      <c r="N539" s="10" t="s">
        <v>60</v>
      </c>
      <c r="O539" s="10" t="s">
        <v>61</v>
      </c>
      <c r="P539" s="10">
        <v>43295</v>
      </c>
      <c r="Q539" s="15">
        <v>817800</v>
      </c>
      <c r="R539" s="15">
        <v>1514550</v>
      </c>
      <c r="S539" s="15">
        <f>Table1[[#This Row],[Retail Price]]-Table1[[#This Row],[Cost Price]]</f>
        <v>696750</v>
      </c>
      <c r="T539" s="10">
        <v>13</v>
      </c>
      <c r="U539" s="15">
        <f>Table1[[#This Row],[Profit Margin]]*Table1[[#This Row],[Order Quantity]]</f>
        <v>9057750</v>
      </c>
      <c r="V539" s="11">
        <v>0.06</v>
      </c>
      <c r="W539" s="15">
        <f t="shared" si="8"/>
        <v>543465</v>
      </c>
      <c r="X539" s="15">
        <f>Table1[[#This Row],[Sub Total]]-Table1[[#This Row],[Discount Rp]]</f>
        <v>8514285</v>
      </c>
      <c r="Y539" s="15">
        <f ca="1">OFFSET(Helper!$C$3,MATCH(Data!$N$4:$N$1003,Helper!$C$4:$C$9,0),MATCH(Data!$O$4:$O$1003,Helper!$D$3:$F$3,0))</f>
        <v>15000</v>
      </c>
      <c r="Z539" s="16">
        <f ca="1">Table1[[#This Row],[Order Total]]+Table1[[#This Row],[Shipping Cost]]</f>
        <v>8529285</v>
      </c>
    </row>
    <row r="540" spans="1:26" ht="15.75" customHeight="1" x14ac:dyDescent="0.3">
      <c r="A540" s="9" t="s">
        <v>1277</v>
      </c>
      <c r="B540" s="18">
        <v>43298</v>
      </c>
      <c r="C540" s="10">
        <f>YEAR(Table1[[#This Row],[Order Date]])</f>
        <v>2018</v>
      </c>
      <c r="D540" s="10" t="s">
        <v>1278</v>
      </c>
      <c r="E540" s="10" t="s">
        <v>610</v>
      </c>
      <c r="F540" s="10" t="s">
        <v>261</v>
      </c>
      <c r="G540" s="10" t="s">
        <v>55</v>
      </c>
      <c r="H540" s="10" t="s">
        <v>112</v>
      </c>
      <c r="I540" s="10" t="str">
        <f>VLOOKUP(Table1[[#This Row],[Account Manager ID]],Table2[[Employee ID]:[Full Name]],4,FALSE)</f>
        <v>Paiman Firgantoro</v>
      </c>
      <c r="J540" s="10" t="str">
        <f>INDEX(Employee!$D$4:$D$47,MATCH($H$4:$H$1003,Employee!$A$4:$A$47,0))</f>
        <v>Paiman Firgantoro</v>
      </c>
      <c r="K540" s="10" t="s">
        <v>117</v>
      </c>
      <c r="L540" s="10" t="s">
        <v>80</v>
      </c>
      <c r="M540" s="10" t="s">
        <v>81</v>
      </c>
      <c r="N540" s="10" t="s">
        <v>82</v>
      </c>
      <c r="O540" s="10" t="s">
        <v>83</v>
      </c>
      <c r="P540" s="10">
        <v>43299</v>
      </c>
      <c r="Q540" s="15">
        <v>1125000</v>
      </c>
      <c r="R540" s="15">
        <v>1814550</v>
      </c>
      <c r="S540" s="15">
        <f>Table1[[#This Row],[Retail Price]]-Table1[[#This Row],[Cost Price]]</f>
        <v>689550</v>
      </c>
      <c r="T540" s="10">
        <v>38</v>
      </c>
      <c r="U540" s="15">
        <f>Table1[[#This Row],[Profit Margin]]*Table1[[#This Row],[Order Quantity]]</f>
        <v>26202900</v>
      </c>
      <c r="V540" s="11">
        <v>0.09</v>
      </c>
      <c r="W540" s="15">
        <f t="shared" si="8"/>
        <v>2358261</v>
      </c>
      <c r="X540" s="15">
        <f>Table1[[#This Row],[Sub Total]]-Table1[[#This Row],[Discount Rp]]</f>
        <v>23844639</v>
      </c>
      <c r="Y540" s="15">
        <f ca="1">OFFSET(Helper!$C$3,MATCH(Data!$N$4:$N$1003,Helper!$C$4:$C$9,0),MATCH(Data!$O$4:$O$1003,Helper!$D$3:$F$3,0))</f>
        <v>500000</v>
      </c>
      <c r="Z540" s="16">
        <f ca="1">Table1[[#This Row],[Order Total]]+Table1[[#This Row],[Shipping Cost]]</f>
        <v>24344639</v>
      </c>
    </row>
    <row r="541" spans="1:26" ht="15.75" customHeight="1" x14ac:dyDescent="0.3">
      <c r="A541" s="9" t="s">
        <v>1279</v>
      </c>
      <c r="B541" s="18">
        <v>43298</v>
      </c>
      <c r="C541" s="10">
        <f>YEAR(Table1[[#This Row],[Order Date]])</f>
        <v>2018</v>
      </c>
      <c r="D541" s="10" t="s">
        <v>812</v>
      </c>
      <c r="E541" s="10" t="s">
        <v>813</v>
      </c>
      <c r="F541" s="10" t="s">
        <v>54</v>
      </c>
      <c r="G541" s="10" t="s">
        <v>106</v>
      </c>
      <c r="H541" s="10" t="s">
        <v>65</v>
      </c>
      <c r="I541" s="10" t="str">
        <f>VLOOKUP(Table1[[#This Row],[Account Manager ID]],Table2[[Employee ID]:[Full Name]],4,FALSE)</f>
        <v>Laras Nuraini</v>
      </c>
      <c r="J541" s="10" t="str">
        <f>INDEX(Employee!$D$4:$D$47,MATCH($H$4:$H$1003,Employee!$A$4:$A$47,0))</f>
        <v>Laras Nuraini</v>
      </c>
      <c r="K541" s="10" t="s">
        <v>57</v>
      </c>
      <c r="L541" s="10" t="s">
        <v>753</v>
      </c>
      <c r="M541" s="10" t="s">
        <v>59</v>
      </c>
      <c r="N541" s="10" t="s">
        <v>67</v>
      </c>
      <c r="O541" s="10" t="s">
        <v>61</v>
      </c>
      <c r="P541" s="10">
        <v>43299</v>
      </c>
      <c r="Q541" s="15">
        <v>38850</v>
      </c>
      <c r="R541" s="15">
        <v>59700</v>
      </c>
      <c r="S541" s="15">
        <f>Table1[[#This Row],[Retail Price]]-Table1[[#This Row],[Cost Price]]</f>
        <v>20850</v>
      </c>
      <c r="T541" s="10">
        <v>2</v>
      </c>
      <c r="U541" s="15">
        <f>Table1[[#This Row],[Profit Margin]]*Table1[[#This Row],[Order Quantity]]</f>
        <v>41700</v>
      </c>
      <c r="V541" s="11">
        <v>0.04</v>
      </c>
      <c r="W541" s="15">
        <f t="shared" si="8"/>
        <v>1668</v>
      </c>
      <c r="X541" s="15">
        <f>Table1[[#This Row],[Sub Total]]-Table1[[#This Row],[Discount Rp]]</f>
        <v>40032</v>
      </c>
      <c r="Y541" s="15">
        <f ca="1">OFFSET(Helper!$C$3,MATCH(Data!$N$4:$N$1003,Helper!$C$4:$C$9,0),MATCH(Data!$O$4:$O$1003,Helper!$D$3:$F$3,0))</f>
        <v>5000</v>
      </c>
      <c r="Z541" s="16">
        <f ca="1">Table1[[#This Row],[Order Total]]+Table1[[#This Row],[Shipping Cost]]</f>
        <v>45032</v>
      </c>
    </row>
    <row r="542" spans="1:26" ht="15.75" customHeight="1" x14ac:dyDescent="0.3">
      <c r="A542" s="9" t="s">
        <v>1280</v>
      </c>
      <c r="B542" s="18">
        <v>43302</v>
      </c>
      <c r="C542" s="10">
        <f>YEAR(Table1[[#This Row],[Order Date]])</f>
        <v>2018</v>
      </c>
      <c r="D542" s="10" t="s">
        <v>502</v>
      </c>
      <c r="E542" s="10" t="s">
        <v>503</v>
      </c>
      <c r="F542" s="10" t="s">
        <v>261</v>
      </c>
      <c r="G542" s="10" t="s">
        <v>55</v>
      </c>
      <c r="H542" s="10" t="s">
        <v>316</v>
      </c>
      <c r="I542" s="10" t="str">
        <f>VLOOKUP(Table1[[#This Row],[Account Manager ID]],Table2[[Employee ID]:[Full Name]],4,FALSE)</f>
        <v>Sari Winarno</v>
      </c>
      <c r="J542" s="10" t="str">
        <f>INDEX(Employee!$D$4:$D$47,MATCH($H$4:$H$1003,Employee!$A$4:$A$47,0))</f>
        <v>Sari Winarno</v>
      </c>
      <c r="K542" s="10" t="s">
        <v>74</v>
      </c>
      <c r="L542" s="10" t="s">
        <v>623</v>
      </c>
      <c r="M542" s="10" t="s">
        <v>59</v>
      </c>
      <c r="N542" s="10" t="s">
        <v>60</v>
      </c>
      <c r="O542" s="10" t="s">
        <v>61</v>
      </c>
      <c r="P542" s="10">
        <v>43303</v>
      </c>
      <c r="Q542" s="15">
        <v>50550</v>
      </c>
      <c r="R542" s="15">
        <v>82950</v>
      </c>
      <c r="S542" s="15">
        <f>Table1[[#This Row],[Retail Price]]-Table1[[#This Row],[Cost Price]]</f>
        <v>32400</v>
      </c>
      <c r="T542" s="10">
        <v>9</v>
      </c>
      <c r="U542" s="15">
        <f>Table1[[#This Row],[Profit Margin]]*Table1[[#This Row],[Order Quantity]]</f>
        <v>291600</v>
      </c>
      <c r="V542" s="11">
        <v>0.09</v>
      </c>
      <c r="W542" s="15">
        <f t="shared" si="8"/>
        <v>26244</v>
      </c>
      <c r="X542" s="15">
        <f>Table1[[#This Row],[Sub Total]]-Table1[[#This Row],[Discount Rp]]</f>
        <v>265356</v>
      </c>
      <c r="Y542" s="15">
        <f ca="1">OFFSET(Helper!$C$3,MATCH(Data!$N$4:$N$1003,Helper!$C$4:$C$9,0),MATCH(Data!$O$4:$O$1003,Helper!$D$3:$F$3,0))</f>
        <v>15000</v>
      </c>
      <c r="Z542" s="16">
        <f ca="1">Table1[[#This Row],[Order Total]]+Table1[[#This Row],[Shipping Cost]]</f>
        <v>280356</v>
      </c>
    </row>
    <row r="543" spans="1:26" ht="15.75" customHeight="1" x14ac:dyDescent="0.3">
      <c r="A543" s="9" t="s">
        <v>1281</v>
      </c>
      <c r="B543" s="18">
        <v>43302</v>
      </c>
      <c r="C543" s="10">
        <f>YEAR(Table1[[#This Row],[Order Date]])</f>
        <v>2018</v>
      </c>
      <c r="D543" s="10" t="s">
        <v>1282</v>
      </c>
      <c r="E543" s="10" t="s">
        <v>930</v>
      </c>
      <c r="F543" s="10" t="s">
        <v>71</v>
      </c>
      <c r="G543" s="10" t="s">
        <v>106</v>
      </c>
      <c r="H543" s="10" t="s">
        <v>97</v>
      </c>
      <c r="I543" s="10" t="str">
        <f>VLOOKUP(Table1[[#This Row],[Account Manager ID]],Table2[[Employee ID]:[Full Name]],4,FALSE)</f>
        <v>Violet Mentari</v>
      </c>
      <c r="J543" s="10" t="str">
        <f>INDEX(Employee!$D$4:$D$47,MATCH($H$4:$H$1003,Employee!$A$4:$A$47,0))</f>
        <v>Violet Mentari</v>
      </c>
      <c r="K543" s="10" t="s">
        <v>107</v>
      </c>
      <c r="L543" s="10" t="s">
        <v>297</v>
      </c>
      <c r="M543" s="10" t="s">
        <v>59</v>
      </c>
      <c r="N543" s="10" t="s">
        <v>67</v>
      </c>
      <c r="O543" s="10" t="s">
        <v>61</v>
      </c>
      <c r="P543" s="10">
        <v>43303</v>
      </c>
      <c r="Q543" s="15">
        <v>52200</v>
      </c>
      <c r="R543" s="15">
        <v>81450</v>
      </c>
      <c r="S543" s="15">
        <f>Table1[[#This Row],[Retail Price]]-Table1[[#This Row],[Cost Price]]</f>
        <v>29250</v>
      </c>
      <c r="T543" s="10">
        <v>13</v>
      </c>
      <c r="U543" s="15">
        <f>Table1[[#This Row],[Profit Margin]]*Table1[[#This Row],[Order Quantity]]</f>
        <v>380250</v>
      </c>
      <c r="V543" s="11">
        <v>0.02</v>
      </c>
      <c r="W543" s="15">
        <f t="shared" si="8"/>
        <v>7605</v>
      </c>
      <c r="X543" s="15">
        <f>Table1[[#This Row],[Sub Total]]-Table1[[#This Row],[Discount Rp]]</f>
        <v>372645</v>
      </c>
      <c r="Y543" s="15">
        <f ca="1">OFFSET(Helper!$C$3,MATCH(Data!$N$4:$N$1003,Helper!$C$4:$C$9,0),MATCH(Data!$O$4:$O$1003,Helper!$D$3:$F$3,0))</f>
        <v>5000</v>
      </c>
      <c r="Z543" s="16">
        <f ca="1">Table1[[#This Row],[Order Total]]+Table1[[#This Row],[Shipping Cost]]</f>
        <v>377645</v>
      </c>
    </row>
    <row r="544" spans="1:26" ht="15.75" customHeight="1" x14ac:dyDescent="0.3">
      <c r="A544" s="9" t="s">
        <v>1283</v>
      </c>
      <c r="B544" s="18">
        <v>43304</v>
      </c>
      <c r="C544" s="10">
        <f>YEAR(Table1[[#This Row],[Order Date]])</f>
        <v>2018</v>
      </c>
      <c r="D544" s="10" t="s">
        <v>1284</v>
      </c>
      <c r="E544" s="10" t="s">
        <v>387</v>
      </c>
      <c r="F544" s="10" t="s">
        <v>71</v>
      </c>
      <c r="G544" s="10" t="s">
        <v>87</v>
      </c>
      <c r="H544" s="10" t="s">
        <v>194</v>
      </c>
      <c r="I544" s="10" t="str">
        <f>VLOOKUP(Table1[[#This Row],[Account Manager ID]],Table2[[Employee ID]:[Full Name]],4,FALSE)</f>
        <v>Nabila Prakasa</v>
      </c>
      <c r="J544" s="10" t="str">
        <f>INDEX(Employee!$D$4:$D$47,MATCH($H$4:$H$1003,Employee!$A$4:$A$47,0))</f>
        <v>Nabila Prakasa</v>
      </c>
      <c r="K544" s="10" t="s">
        <v>57</v>
      </c>
      <c r="L544" s="10" t="s">
        <v>1285</v>
      </c>
      <c r="M544" s="10" t="s">
        <v>59</v>
      </c>
      <c r="N544" s="10" t="s">
        <v>60</v>
      </c>
      <c r="O544" s="10" t="s">
        <v>61</v>
      </c>
      <c r="P544" s="10">
        <v>43307</v>
      </c>
      <c r="Q544" s="15">
        <v>52950</v>
      </c>
      <c r="R544" s="15">
        <v>129299.99999999999</v>
      </c>
      <c r="S544" s="15">
        <f>Table1[[#This Row],[Retail Price]]-Table1[[#This Row],[Cost Price]]</f>
        <v>76349.999999999985</v>
      </c>
      <c r="T544" s="10">
        <v>50</v>
      </c>
      <c r="U544" s="15">
        <f>Table1[[#This Row],[Profit Margin]]*Table1[[#This Row],[Order Quantity]]</f>
        <v>3817499.9999999991</v>
      </c>
      <c r="V544" s="11">
        <v>7.0000000000000007E-2</v>
      </c>
      <c r="W544" s="15">
        <f t="shared" si="8"/>
        <v>267224.99999999994</v>
      </c>
      <c r="X544" s="15">
        <f>Table1[[#This Row],[Sub Total]]-Table1[[#This Row],[Discount Rp]]</f>
        <v>3550274.9999999991</v>
      </c>
      <c r="Y544" s="15">
        <f ca="1">OFFSET(Helper!$C$3,MATCH(Data!$N$4:$N$1003,Helper!$C$4:$C$9,0),MATCH(Data!$O$4:$O$1003,Helper!$D$3:$F$3,0))</f>
        <v>15000</v>
      </c>
      <c r="Z544" s="16">
        <f ca="1">Table1[[#This Row],[Order Total]]+Table1[[#This Row],[Shipping Cost]]</f>
        <v>3565274.9999999991</v>
      </c>
    </row>
    <row r="545" spans="1:26" ht="15.75" customHeight="1" x14ac:dyDescent="0.3">
      <c r="A545" s="9" t="s">
        <v>1286</v>
      </c>
      <c r="B545" s="18">
        <v>43304</v>
      </c>
      <c r="C545" s="10">
        <f>YEAR(Table1[[#This Row],[Order Date]])</f>
        <v>2018</v>
      </c>
      <c r="D545" s="10" t="s">
        <v>1287</v>
      </c>
      <c r="E545" s="10" t="s">
        <v>628</v>
      </c>
      <c r="F545" s="10" t="s">
        <v>71</v>
      </c>
      <c r="G545" s="10" t="s">
        <v>72</v>
      </c>
      <c r="H545" s="10" t="s">
        <v>304</v>
      </c>
      <c r="I545" s="10" t="str">
        <f>VLOOKUP(Table1[[#This Row],[Account Manager ID]],Table2[[Employee ID]:[Full Name]],4,FALSE)</f>
        <v>Sutan Tirtayasa Wasita</v>
      </c>
      <c r="J545" s="10" t="str">
        <f>INDEX(Employee!$D$4:$D$47,MATCH($H$4:$H$1003,Employee!$A$4:$A$47,0))</f>
        <v>Sutan Tirtayasa Wasita</v>
      </c>
      <c r="K545" s="10" t="s">
        <v>74</v>
      </c>
      <c r="L545" s="10" t="s">
        <v>442</v>
      </c>
      <c r="M545" s="10" t="s">
        <v>59</v>
      </c>
      <c r="N545" s="10" t="s">
        <v>67</v>
      </c>
      <c r="O545" s="10" t="s">
        <v>61</v>
      </c>
      <c r="P545" s="10">
        <v>43305</v>
      </c>
      <c r="Q545" s="15">
        <v>22950</v>
      </c>
      <c r="R545" s="15">
        <v>41700</v>
      </c>
      <c r="S545" s="15">
        <f>Table1[[#This Row],[Retail Price]]-Table1[[#This Row],[Cost Price]]</f>
        <v>18750</v>
      </c>
      <c r="T545" s="10">
        <v>19</v>
      </c>
      <c r="U545" s="15">
        <f>Table1[[#This Row],[Profit Margin]]*Table1[[#This Row],[Order Quantity]]</f>
        <v>356250</v>
      </c>
      <c r="V545" s="11">
        <v>0.06</v>
      </c>
      <c r="W545" s="15">
        <f t="shared" si="8"/>
        <v>21375</v>
      </c>
      <c r="X545" s="15">
        <f>Table1[[#This Row],[Sub Total]]-Table1[[#This Row],[Discount Rp]]</f>
        <v>334875</v>
      </c>
      <c r="Y545" s="15">
        <f ca="1">OFFSET(Helper!$C$3,MATCH(Data!$N$4:$N$1003,Helper!$C$4:$C$9,0),MATCH(Data!$O$4:$O$1003,Helper!$D$3:$F$3,0))</f>
        <v>5000</v>
      </c>
      <c r="Z545" s="16">
        <f ca="1">Table1[[#This Row],[Order Total]]+Table1[[#This Row],[Shipping Cost]]</f>
        <v>339875</v>
      </c>
    </row>
    <row r="546" spans="1:26" ht="15.75" customHeight="1" x14ac:dyDescent="0.3">
      <c r="A546" s="9" t="s">
        <v>1288</v>
      </c>
      <c r="B546" s="18">
        <v>43305</v>
      </c>
      <c r="C546" s="10">
        <f>YEAR(Table1[[#This Row],[Order Date]])</f>
        <v>2018</v>
      </c>
      <c r="D546" s="10" t="s">
        <v>286</v>
      </c>
      <c r="E546" s="10" t="s">
        <v>1251</v>
      </c>
      <c r="F546" s="10" t="s">
        <v>261</v>
      </c>
      <c r="G546" s="10" t="s">
        <v>106</v>
      </c>
      <c r="H546" s="10" t="s">
        <v>194</v>
      </c>
      <c r="I546" s="10" t="str">
        <f>VLOOKUP(Table1[[#This Row],[Account Manager ID]],Table2[[Employee ID]:[Full Name]],4,FALSE)</f>
        <v>Nabila Prakasa</v>
      </c>
      <c r="J546" s="10" t="str">
        <f>INDEX(Employee!$D$4:$D$47,MATCH($H$4:$H$1003,Employee!$A$4:$A$47,0))</f>
        <v>Nabila Prakasa</v>
      </c>
      <c r="K546" s="10" t="s">
        <v>117</v>
      </c>
      <c r="L546" s="10" t="s">
        <v>197</v>
      </c>
      <c r="M546" s="10" t="s">
        <v>81</v>
      </c>
      <c r="N546" s="10" t="s">
        <v>60</v>
      </c>
      <c r="O546" s="10" t="s">
        <v>61</v>
      </c>
      <c r="P546" s="10">
        <v>43306</v>
      </c>
      <c r="Q546" s="15">
        <v>151050</v>
      </c>
      <c r="R546" s="15">
        <v>239700</v>
      </c>
      <c r="S546" s="15">
        <f>Table1[[#This Row],[Retail Price]]-Table1[[#This Row],[Cost Price]]</f>
        <v>88650</v>
      </c>
      <c r="T546" s="10">
        <v>40</v>
      </c>
      <c r="U546" s="15">
        <f>Table1[[#This Row],[Profit Margin]]*Table1[[#This Row],[Order Quantity]]</f>
        <v>3546000</v>
      </c>
      <c r="V546" s="11">
        <v>0.01</v>
      </c>
      <c r="W546" s="15">
        <f t="shared" si="8"/>
        <v>35460</v>
      </c>
      <c r="X546" s="15">
        <f>Table1[[#This Row],[Sub Total]]-Table1[[#This Row],[Discount Rp]]</f>
        <v>3510540</v>
      </c>
      <c r="Y546" s="15">
        <f ca="1">OFFSET(Helper!$C$3,MATCH(Data!$N$4:$N$1003,Helper!$C$4:$C$9,0),MATCH(Data!$O$4:$O$1003,Helper!$D$3:$F$3,0))</f>
        <v>15000</v>
      </c>
      <c r="Z546" s="16">
        <f ca="1">Table1[[#This Row],[Order Total]]+Table1[[#This Row],[Shipping Cost]]</f>
        <v>3525540</v>
      </c>
    </row>
    <row r="547" spans="1:26" ht="15.75" customHeight="1" x14ac:dyDescent="0.3">
      <c r="A547" s="9" t="s">
        <v>1289</v>
      </c>
      <c r="B547" s="18">
        <v>43307</v>
      </c>
      <c r="C547" s="10">
        <f>YEAR(Table1[[#This Row],[Order Date]])</f>
        <v>2018</v>
      </c>
      <c r="D547" s="10" t="s">
        <v>1290</v>
      </c>
      <c r="E547" s="10" t="s">
        <v>1291</v>
      </c>
      <c r="F547" s="10" t="s">
        <v>71</v>
      </c>
      <c r="G547" s="10" t="s">
        <v>72</v>
      </c>
      <c r="H547" s="10" t="s">
        <v>122</v>
      </c>
      <c r="I547" s="10" t="str">
        <f>VLOOKUP(Table1[[#This Row],[Account Manager ID]],Table2[[Employee ID]:[Full Name]],4,FALSE)</f>
        <v>Ophelia Mustofa</v>
      </c>
      <c r="J547" s="10" t="str">
        <f>INDEX(Employee!$D$4:$D$47,MATCH($H$4:$H$1003,Employee!$A$4:$A$47,0))</f>
        <v>Ophelia Mustofa</v>
      </c>
      <c r="K547" s="10" t="s">
        <v>57</v>
      </c>
      <c r="L547" s="10" t="s">
        <v>765</v>
      </c>
      <c r="M547" s="10" t="s">
        <v>59</v>
      </c>
      <c r="N547" s="10" t="s">
        <v>67</v>
      </c>
      <c r="O547" s="10" t="s">
        <v>61</v>
      </c>
      <c r="P547" s="10">
        <v>43308</v>
      </c>
      <c r="Q547" s="15">
        <v>32400.000000000004</v>
      </c>
      <c r="R547" s="15">
        <v>57750</v>
      </c>
      <c r="S547" s="15">
        <f>Table1[[#This Row],[Retail Price]]-Table1[[#This Row],[Cost Price]]</f>
        <v>25349.999999999996</v>
      </c>
      <c r="T547" s="10">
        <v>42</v>
      </c>
      <c r="U547" s="15">
        <f>Table1[[#This Row],[Profit Margin]]*Table1[[#This Row],[Order Quantity]]</f>
        <v>1064699.9999999998</v>
      </c>
      <c r="V547" s="11">
        <v>0.01</v>
      </c>
      <c r="W547" s="15">
        <f t="shared" si="8"/>
        <v>10646.999999999998</v>
      </c>
      <c r="X547" s="15">
        <f>Table1[[#This Row],[Sub Total]]-Table1[[#This Row],[Discount Rp]]</f>
        <v>1054052.9999999998</v>
      </c>
      <c r="Y547" s="15">
        <f ca="1">OFFSET(Helper!$C$3,MATCH(Data!$N$4:$N$1003,Helper!$C$4:$C$9,0),MATCH(Data!$O$4:$O$1003,Helper!$D$3:$F$3,0))</f>
        <v>5000</v>
      </c>
      <c r="Z547" s="16">
        <f ca="1">Table1[[#This Row],[Order Total]]+Table1[[#This Row],[Shipping Cost]]</f>
        <v>1059052.9999999998</v>
      </c>
    </row>
    <row r="548" spans="1:26" ht="15.75" customHeight="1" x14ac:dyDescent="0.3">
      <c r="A548" s="9" t="s">
        <v>1292</v>
      </c>
      <c r="B548" s="18">
        <v>43312</v>
      </c>
      <c r="C548" s="10">
        <f>YEAR(Table1[[#This Row],[Order Date]])</f>
        <v>2018</v>
      </c>
      <c r="D548" s="10" t="s">
        <v>971</v>
      </c>
      <c r="E548" s="10" t="s">
        <v>189</v>
      </c>
      <c r="F548" s="10" t="s">
        <v>54</v>
      </c>
      <c r="G548" s="10" t="s">
        <v>72</v>
      </c>
      <c r="H548" s="10" t="s">
        <v>56</v>
      </c>
      <c r="I548" s="10" t="str">
        <f>VLOOKUP(Table1[[#This Row],[Account Manager ID]],Table2[[Employee ID]:[Full Name]],4,FALSE)</f>
        <v>Gaduh Pratama</v>
      </c>
      <c r="J548" s="10" t="str">
        <f>INDEX(Employee!$D$4:$D$47,MATCH($H$4:$H$1003,Employee!$A$4:$A$47,0))</f>
        <v>Gaduh Pratama</v>
      </c>
      <c r="K548" s="10" t="s">
        <v>117</v>
      </c>
      <c r="L548" s="10" t="s">
        <v>623</v>
      </c>
      <c r="M548" s="10" t="s">
        <v>59</v>
      </c>
      <c r="N548" s="10" t="s">
        <v>60</v>
      </c>
      <c r="O548" s="10" t="s">
        <v>61</v>
      </c>
      <c r="P548" s="10">
        <v>43313</v>
      </c>
      <c r="Q548" s="15">
        <v>50550</v>
      </c>
      <c r="R548" s="15">
        <v>82950</v>
      </c>
      <c r="S548" s="15">
        <f>Table1[[#This Row],[Retail Price]]-Table1[[#This Row],[Cost Price]]</f>
        <v>32400</v>
      </c>
      <c r="T548" s="10">
        <v>30</v>
      </c>
      <c r="U548" s="15">
        <f>Table1[[#This Row],[Profit Margin]]*Table1[[#This Row],[Order Quantity]]</f>
        <v>972000</v>
      </c>
      <c r="V548" s="11">
        <v>0.01</v>
      </c>
      <c r="W548" s="15">
        <f t="shared" si="8"/>
        <v>9720</v>
      </c>
      <c r="X548" s="15">
        <f>Table1[[#This Row],[Sub Total]]-Table1[[#This Row],[Discount Rp]]</f>
        <v>962280</v>
      </c>
      <c r="Y548" s="15">
        <f ca="1">OFFSET(Helper!$C$3,MATCH(Data!$N$4:$N$1003,Helper!$C$4:$C$9,0),MATCH(Data!$O$4:$O$1003,Helper!$D$3:$F$3,0))</f>
        <v>15000</v>
      </c>
      <c r="Z548" s="16">
        <f ca="1">Table1[[#This Row],[Order Total]]+Table1[[#This Row],[Shipping Cost]]</f>
        <v>977280</v>
      </c>
    </row>
    <row r="549" spans="1:26" ht="15.75" customHeight="1" x14ac:dyDescent="0.3">
      <c r="A549" s="9" t="s">
        <v>1293</v>
      </c>
      <c r="B549" s="18">
        <v>43312</v>
      </c>
      <c r="C549" s="10">
        <f>YEAR(Table1[[#This Row],[Order Date]])</f>
        <v>2018</v>
      </c>
      <c r="D549" s="10" t="s">
        <v>891</v>
      </c>
      <c r="E549" s="10" t="s">
        <v>892</v>
      </c>
      <c r="F549" s="10" t="s">
        <v>54</v>
      </c>
      <c r="G549" s="10" t="s">
        <v>72</v>
      </c>
      <c r="H549" s="10" t="s">
        <v>65</v>
      </c>
      <c r="I549" s="10" t="str">
        <f>VLOOKUP(Table1[[#This Row],[Account Manager ID]],Table2[[Employee ID]:[Full Name]],4,FALSE)</f>
        <v>Laras Nuraini</v>
      </c>
      <c r="J549" s="10" t="str">
        <f>INDEX(Employee!$D$4:$D$47,MATCH($H$4:$H$1003,Employee!$A$4:$A$47,0))</f>
        <v>Laras Nuraini</v>
      </c>
      <c r="K549" s="10" t="s">
        <v>117</v>
      </c>
      <c r="L549" s="10" t="s">
        <v>623</v>
      </c>
      <c r="M549" s="10" t="s">
        <v>59</v>
      </c>
      <c r="N549" s="10" t="s">
        <v>60</v>
      </c>
      <c r="O549" s="10" t="s">
        <v>61</v>
      </c>
      <c r="P549" s="10">
        <v>43313</v>
      </c>
      <c r="Q549" s="15">
        <v>50550</v>
      </c>
      <c r="R549" s="15">
        <v>82950</v>
      </c>
      <c r="S549" s="15">
        <f>Table1[[#This Row],[Retail Price]]-Table1[[#This Row],[Cost Price]]</f>
        <v>32400</v>
      </c>
      <c r="T549" s="10">
        <v>27</v>
      </c>
      <c r="U549" s="15">
        <f>Table1[[#This Row],[Profit Margin]]*Table1[[#This Row],[Order Quantity]]</f>
        <v>874800</v>
      </c>
      <c r="V549" s="11">
        <v>0.04</v>
      </c>
      <c r="W549" s="15">
        <f t="shared" si="8"/>
        <v>34992</v>
      </c>
      <c r="X549" s="15">
        <f>Table1[[#This Row],[Sub Total]]-Table1[[#This Row],[Discount Rp]]</f>
        <v>839808</v>
      </c>
      <c r="Y549" s="15">
        <f ca="1">OFFSET(Helper!$C$3,MATCH(Data!$N$4:$N$1003,Helper!$C$4:$C$9,0),MATCH(Data!$O$4:$O$1003,Helper!$D$3:$F$3,0))</f>
        <v>15000</v>
      </c>
      <c r="Z549" s="16">
        <f ca="1">Table1[[#This Row],[Order Total]]+Table1[[#This Row],[Shipping Cost]]</f>
        <v>854808</v>
      </c>
    </row>
    <row r="550" spans="1:26" ht="15.75" customHeight="1" x14ac:dyDescent="0.3">
      <c r="A550" s="9" t="s">
        <v>1294</v>
      </c>
      <c r="B550" s="18">
        <v>43312</v>
      </c>
      <c r="C550" s="10">
        <f>YEAR(Table1[[#This Row],[Order Date]])</f>
        <v>2018</v>
      </c>
      <c r="D550" s="10" t="s">
        <v>1295</v>
      </c>
      <c r="E550" s="10" t="s">
        <v>1296</v>
      </c>
      <c r="F550" s="10" t="s">
        <v>71</v>
      </c>
      <c r="G550" s="10" t="s">
        <v>106</v>
      </c>
      <c r="H550" s="10" t="s">
        <v>304</v>
      </c>
      <c r="I550" s="10" t="str">
        <f>VLOOKUP(Table1[[#This Row],[Account Manager ID]],Table2[[Employee ID]:[Full Name]],4,FALSE)</f>
        <v>Sutan Tirtayasa Wasita</v>
      </c>
      <c r="J550" s="10" t="str">
        <f>INDEX(Employee!$D$4:$D$47,MATCH($H$4:$H$1003,Employee!$A$4:$A$47,0))</f>
        <v>Sutan Tirtayasa Wasita</v>
      </c>
      <c r="K550" s="10" t="s">
        <v>117</v>
      </c>
      <c r="L550" s="10" t="s">
        <v>465</v>
      </c>
      <c r="M550" s="10" t="s">
        <v>59</v>
      </c>
      <c r="N550" s="10" t="s">
        <v>60</v>
      </c>
      <c r="O550" s="10" t="s">
        <v>61</v>
      </c>
      <c r="P550" s="10">
        <v>43312</v>
      </c>
      <c r="Q550" s="15">
        <v>52500</v>
      </c>
      <c r="R550" s="15">
        <v>86100</v>
      </c>
      <c r="S550" s="15">
        <f>Table1[[#This Row],[Retail Price]]-Table1[[#This Row],[Cost Price]]</f>
        <v>33600</v>
      </c>
      <c r="T550" s="10">
        <v>23</v>
      </c>
      <c r="U550" s="15">
        <f>Table1[[#This Row],[Profit Margin]]*Table1[[#This Row],[Order Quantity]]</f>
        <v>772800</v>
      </c>
      <c r="V550" s="11">
        <v>0.06</v>
      </c>
      <c r="W550" s="15">
        <f t="shared" si="8"/>
        <v>46368</v>
      </c>
      <c r="X550" s="15">
        <f>Table1[[#This Row],[Sub Total]]-Table1[[#This Row],[Discount Rp]]</f>
        <v>726432</v>
      </c>
      <c r="Y550" s="15">
        <f ca="1">OFFSET(Helper!$C$3,MATCH(Data!$N$4:$N$1003,Helper!$C$4:$C$9,0),MATCH(Data!$O$4:$O$1003,Helper!$D$3:$F$3,0))</f>
        <v>15000</v>
      </c>
      <c r="Z550" s="16">
        <f ca="1">Table1[[#This Row],[Order Total]]+Table1[[#This Row],[Shipping Cost]]</f>
        <v>741432</v>
      </c>
    </row>
    <row r="551" spans="1:26" ht="15.75" customHeight="1" x14ac:dyDescent="0.3">
      <c r="A551" s="9" t="s">
        <v>1297</v>
      </c>
      <c r="B551" s="18">
        <v>43313</v>
      </c>
      <c r="C551" s="10">
        <f>YEAR(Table1[[#This Row],[Order Date]])</f>
        <v>2018</v>
      </c>
      <c r="D551" s="10" t="s">
        <v>259</v>
      </c>
      <c r="E551" s="10" t="s">
        <v>260</v>
      </c>
      <c r="F551" s="10" t="s">
        <v>261</v>
      </c>
      <c r="G551" s="10" t="s">
        <v>72</v>
      </c>
      <c r="H551" s="10" t="s">
        <v>146</v>
      </c>
      <c r="I551" s="10" t="str">
        <f>VLOOKUP(Table1[[#This Row],[Account Manager ID]],Table2[[Employee ID]:[Full Name]],4,FALSE)</f>
        <v>Kenari Rajasa</v>
      </c>
      <c r="J551" s="10" t="str">
        <f>INDEX(Employee!$D$4:$D$47,MATCH($H$4:$H$1003,Employee!$A$4:$A$47,0))</f>
        <v>Kenari Rajasa</v>
      </c>
      <c r="K551" s="10" t="s">
        <v>107</v>
      </c>
      <c r="L551" s="10" t="s">
        <v>186</v>
      </c>
      <c r="M551" s="10" t="s">
        <v>81</v>
      </c>
      <c r="N551" s="10" t="s">
        <v>60</v>
      </c>
      <c r="O551" s="10" t="s">
        <v>76</v>
      </c>
      <c r="P551" s="10">
        <v>43313</v>
      </c>
      <c r="Q551" s="15">
        <v>95850</v>
      </c>
      <c r="R551" s="15">
        <v>299700</v>
      </c>
      <c r="S551" s="15">
        <f>Table1[[#This Row],[Retail Price]]-Table1[[#This Row],[Cost Price]]</f>
        <v>203850</v>
      </c>
      <c r="T551" s="10">
        <v>6</v>
      </c>
      <c r="U551" s="15">
        <f>Table1[[#This Row],[Profit Margin]]*Table1[[#This Row],[Order Quantity]]</f>
        <v>1223100</v>
      </c>
      <c r="V551" s="11">
        <v>0.08</v>
      </c>
      <c r="W551" s="15">
        <f t="shared" si="8"/>
        <v>97848</v>
      </c>
      <c r="X551" s="15">
        <f>Table1[[#This Row],[Sub Total]]-Table1[[#This Row],[Discount Rp]]</f>
        <v>1125252</v>
      </c>
      <c r="Y551" s="15">
        <f ca="1">OFFSET(Helper!$C$3,MATCH(Data!$N$4:$N$1003,Helper!$C$4:$C$9,0),MATCH(Data!$O$4:$O$1003,Helper!$D$3:$F$3,0))</f>
        <v>30000</v>
      </c>
      <c r="Z551" s="16">
        <f ca="1">Table1[[#This Row],[Order Total]]+Table1[[#This Row],[Shipping Cost]]</f>
        <v>1155252</v>
      </c>
    </row>
    <row r="552" spans="1:26" ht="15.75" customHeight="1" x14ac:dyDescent="0.3">
      <c r="A552" s="9" t="s">
        <v>1298</v>
      </c>
      <c r="B552" s="18">
        <v>43314</v>
      </c>
      <c r="C552" s="10">
        <f>YEAR(Table1[[#This Row],[Order Date]])</f>
        <v>2018</v>
      </c>
      <c r="D552" s="10" t="s">
        <v>1299</v>
      </c>
      <c r="E552" s="10" t="s">
        <v>133</v>
      </c>
      <c r="F552" s="10" t="s">
        <v>71</v>
      </c>
      <c r="G552" s="10" t="s">
        <v>72</v>
      </c>
      <c r="H552" s="10" t="s">
        <v>194</v>
      </c>
      <c r="I552" s="10" t="str">
        <f>VLOOKUP(Table1[[#This Row],[Account Manager ID]],Table2[[Employee ID]:[Full Name]],4,FALSE)</f>
        <v>Nabila Prakasa</v>
      </c>
      <c r="J552" s="10" t="str">
        <f>INDEX(Employee!$D$4:$D$47,MATCH($H$4:$H$1003,Employee!$A$4:$A$47,0))</f>
        <v>Nabila Prakasa</v>
      </c>
      <c r="K552" s="10" t="s">
        <v>57</v>
      </c>
      <c r="L552" s="10" t="s">
        <v>412</v>
      </c>
      <c r="M552" s="10" t="s">
        <v>59</v>
      </c>
      <c r="N552" s="10" t="s">
        <v>67</v>
      </c>
      <c r="O552" s="10" t="s">
        <v>76</v>
      </c>
      <c r="P552" s="10">
        <v>43316</v>
      </c>
      <c r="Q552" s="15">
        <v>44700</v>
      </c>
      <c r="R552" s="15">
        <v>87600</v>
      </c>
      <c r="S552" s="15">
        <f>Table1[[#This Row],[Retail Price]]-Table1[[#This Row],[Cost Price]]</f>
        <v>42900</v>
      </c>
      <c r="T552" s="10">
        <v>12</v>
      </c>
      <c r="U552" s="15">
        <f>Table1[[#This Row],[Profit Margin]]*Table1[[#This Row],[Order Quantity]]</f>
        <v>514800</v>
      </c>
      <c r="V552" s="11">
        <v>0.02</v>
      </c>
      <c r="W552" s="15">
        <f t="shared" si="8"/>
        <v>10296</v>
      </c>
      <c r="X552" s="15">
        <f>Table1[[#This Row],[Sub Total]]-Table1[[#This Row],[Discount Rp]]</f>
        <v>504504</v>
      </c>
      <c r="Y552" s="15">
        <f ca="1">OFFSET(Helper!$C$3,MATCH(Data!$N$4:$N$1003,Helper!$C$4:$C$9,0),MATCH(Data!$O$4:$O$1003,Helper!$D$3:$F$3,0))</f>
        <v>10000</v>
      </c>
      <c r="Z552" s="16">
        <f ca="1">Table1[[#This Row],[Order Total]]+Table1[[#This Row],[Shipping Cost]]</f>
        <v>514504</v>
      </c>
    </row>
    <row r="553" spans="1:26" ht="15.75" customHeight="1" x14ac:dyDescent="0.3">
      <c r="A553" s="9" t="s">
        <v>1300</v>
      </c>
      <c r="B553" s="18">
        <v>43317</v>
      </c>
      <c r="C553" s="10">
        <f>YEAR(Table1[[#This Row],[Order Date]])</f>
        <v>2018</v>
      </c>
      <c r="D553" s="10" t="s">
        <v>309</v>
      </c>
      <c r="E553" s="10" t="s">
        <v>159</v>
      </c>
      <c r="F553" s="10" t="s">
        <v>71</v>
      </c>
      <c r="G553" s="10" t="s">
        <v>106</v>
      </c>
      <c r="H553" s="10" t="s">
        <v>122</v>
      </c>
      <c r="I553" s="10" t="str">
        <f>VLOOKUP(Table1[[#This Row],[Account Manager ID]],Table2[[Employee ID]:[Full Name]],4,FALSE)</f>
        <v>Ophelia Mustofa</v>
      </c>
      <c r="J553" s="10" t="str">
        <f>INDEX(Employee!$D$4:$D$47,MATCH($H$4:$H$1003,Employee!$A$4:$A$47,0))</f>
        <v>Ophelia Mustofa</v>
      </c>
      <c r="K553" s="10" t="s">
        <v>57</v>
      </c>
      <c r="L553" s="10" t="s">
        <v>751</v>
      </c>
      <c r="M553" s="10" t="s">
        <v>81</v>
      </c>
      <c r="N553" s="10" t="s">
        <v>459</v>
      </c>
      <c r="O553" s="10" t="s">
        <v>61</v>
      </c>
      <c r="P553" s="10">
        <v>43317</v>
      </c>
      <c r="Q553" s="15">
        <v>5669850</v>
      </c>
      <c r="R553" s="15">
        <v>8999850</v>
      </c>
      <c r="S553" s="15">
        <f>Table1[[#This Row],[Retail Price]]-Table1[[#This Row],[Cost Price]]</f>
        <v>3330000</v>
      </c>
      <c r="T553" s="10">
        <v>50</v>
      </c>
      <c r="U553" s="15">
        <f>Table1[[#This Row],[Profit Margin]]*Table1[[#This Row],[Order Quantity]]</f>
        <v>166500000</v>
      </c>
      <c r="V553" s="11">
        <v>0.09</v>
      </c>
      <c r="W553" s="15">
        <f t="shared" si="8"/>
        <v>14985000</v>
      </c>
      <c r="X553" s="15">
        <f>Table1[[#This Row],[Sub Total]]-Table1[[#This Row],[Discount Rp]]</f>
        <v>151515000</v>
      </c>
      <c r="Y553" s="15">
        <f ca="1">OFFSET(Helper!$C$3,MATCH(Data!$N$4:$N$1003,Helper!$C$4:$C$9,0),MATCH(Data!$O$4:$O$1003,Helper!$D$3:$F$3,0))</f>
        <v>50000</v>
      </c>
      <c r="Z553" s="16">
        <f ca="1">Table1[[#This Row],[Order Total]]+Table1[[#This Row],[Shipping Cost]]</f>
        <v>151565000</v>
      </c>
    </row>
    <row r="554" spans="1:26" ht="15.75" customHeight="1" x14ac:dyDescent="0.3">
      <c r="A554" s="9" t="s">
        <v>1301</v>
      </c>
      <c r="B554" s="18">
        <v>43318</v>
      </c>
      <c r="C554" s="10">
        <f>YEAR(Table1[[#This Row],[Order Date]])</f>
        <v>2018</v>
      </c>
      <c r="D554" s="10" t="s">
        <v>214</v>
      </c>
      <c r="E554" s="10" t="s">
        <v>215</v>
      </c>
      <c r="F554" s="10" t="s">
        <v>71</v>
      </c>
      <c r="G554" s="10" t="s">
        <v>72</v>
      </c>
      <c r="H554" s="10" t="s">
        <v>146</v>
      </c>
      <c r="I554" s="10" t="str">
        <f>VLOOKUP(Table1[[#This Row],[Account Manager ID]],Table2[[Employee ID]:[Full Name]],4,FALSE)</f>
        <v>Kenari Rajasa</v>
      </c>
      <c r="J554" s="10" t="str">
        <f>INDEX(Employee!$D$4:$D$47,MATCH($H$4:$H$1003,Employee!$A$4:$A$47,0))</f>
        <v>Kenari Rajasa</v>
      </c>
      <c r="K554" s="10" t="s">
        <v>92</v>
      </c>
      <c r="L554" s="10" t="s">
        <v>305</v>
      </c>
      <c r="M554" s="10" t="s">
        <v>59</v>
      </c>
      <c r="N554" s="10" t="s">
        <v>67</v>
      </c>
      <c r="O554" s="10" t="s">
        <v>61</v>
      </c>
      <c r="P554" s="10">
        <v>43318</v>
      </c>
      <c r="Q554" s="15">
        <v>26400</v>
      </c>
      <c r="R554" s="15">
        <v>50700</v>
      </c>
      <c r="S554" s="15">
        <f>Table1[[#This Row],[Retail Price]]-Table1[[#This Row],[Cost Price]]</f>
        <v>24300</v>
      </c>
      <c r="T554" s="10">
        <v>31</v>
      </c>
      <c r="U554" s="15">
        <f>Table1[[#This Row],[Profit Margin]]*Table1[[#This Row],[Order Quantity]]</f>
        <v>753300</v>
      </c>
      <c r="V554" s="11">
        <v>0.04</v>
      </c>
      <c r="W554" s="15">
        <f t="shared" si="8"/>
        <v>30132</v>
      </c>
      <c r="X554" s="15">
        <f>Table1[[#This Row],[Sub Total]]-Table1[[#This Row],[Discount Rp]]</f>
        <v>723168</v>
      </c>
      <c r="Y554" s="15">
        <f ca="1">OFFSET(Helper!$C$3,MATCH(Data!$N$4:$N$1003,Helper!$C$4:$C$9,0),MATCH(Data!$O$4:$O$1003,Helper!$D$3:$F$3,0))</f>
        <v>5000</v>
      </c>
      <c r="Z554" s="16">
        <f ca="1">Table1[[#This Row],[Order Total]]+Table1[[#This Row],[Shipping Cost]]</f>
        <v>728168</v>
      </c>
    </row>
    <row r="555" spans="1:26" ht="15.75" customHeight="1" x14ac:dyDescent="0.3">
      <c r="A555" s="9" t="s">
        <v>1302</v>
      </c>
      <c r="B555" s="18">
        <v>43319</v>
      </c>
      <c r="C555" s="10">
        <f>YEAR(Table1[[#This Row],[Order Date]])</f>
        <v>2018</v>
      </c>
      <c r="D555" s="10" t="s">
        <v>1303</v>
      </c>
      <c r="E555" s="10" t="s">
        <v>180</v>
      </c>
      <c r="F555" s="10" t="s">
        <v>54</v>
      </c>
      <c r="G555" s="10" t="s">
        <v>106</v>
      </c>
      <c r="H555" s="10" t="s">
        <v>65</v>
      </c>
      <c r="I555" s="10" t="str">
        <f>VLOOKUP(Table1[[#This Row],[Account Manager ID]],Table2[[Employee ID]:[Full Name]],4,FALSE)</f>
        <v>Laras Nuraini</v>
      </c>
      <c r="J555" s="10" t="str">
        <f>INDEX(Employee!$D$4:$D$47,MATCH($H$4:$H$1003,Employee!$A$4:$A$47,0))</f>
        <v>Laras Nuraini</v>
      </c>
      <c r="K555" s="10" t="s">
        <v>74</v>
      </c>
      <c r="L555" s="10" t="s">
        <v>394</v>
      </c>
      <c r="M555" s="10" t="s">
        <v>59</v>
      </c>
      <c r="N555" s="10" t="s">
        <v>67</v>
      </c>
      <c r="O555" s="10" t="s">
        <v>61</v>
      </c>
      <c r="P555" s="10">
        <v>43320</v>
      </c>
      <c r="Q555" s="15">
        <v>3600</v>
      </c>
      <c r="R555" s="15">
        <v>18900</v>
      </c>
      <c r="S555" s="15">
        <f>Table1[[#This Row],[Retail Price]]-Table1[[#This Row],[Cost Price]]</f>
        <v>15300</v>
      </c>
      <c r="T555" s="10">
        <v>35</v>
      </c>
      <c r="U555" s="15">
        <f>Table1[[#This Row],[Profit Margin]]*Table1[[#This Row],[Order Quantity]]</f>
        <v>535500</v>
      </c>
      <c r="V555" s="11">
        <v>0.1</v>
      </c>
      <c r="W555" s="15">
        <f t="shared" si="8"/>
        <v>53550</v>
      </c>
      <c r="X555" s="15">
        <f>Table1[[#This Row],[Sub Total]]-Table1[[#This Row],[Discount Rp]]</f>
        <v>481950</v>
      </c>
      <c r="Y555" s="15">
        <f ca="1">OFFSET(Helper!$C$3,MATCH(Data!$N$4:$N$1003,Helper!$C$4:$C$9,0),MATCH(Data!$O$4:$O$1003,Helper!$D$3:$F$3,0))</f>
        <v>5000</v>
      </c>
      <c r="Z555" s="16">
        <f ca="1">Table1[[#This Row],[Order Total]]+Table1[[#This Row],[Shipping Cost]]</f>
        <v>486950</v>
      </c>
    </row>
    <row r="556" spans="1:26" ht="15.75" customHeight="1" x14ac:dyDescent="0.3">
      <c r="A556" s="9" t="s">
        <v>1304</v>
      </c>
      <c r="B556" s="18">
        <v>43319</v>
      </c>
      <c r="C556" s="10">
        <f>YEAR(Table1[[#This Row],[Order Date]])</f>
        <v>2018</v>
      </c>
      <c r="D556" s="10" t="s">
        <v>1303</v>
      </c>
      <c r="E556" s="10" t="s">
        <v>180</v>
      </c>
      <c r="F556" s="10" t="s">
        <v>54</v>
      </c>
      <c r="G556" s="10" t="s">
        <v>106</v>
      </c>
      <c r="H556" s="10" t="s">
        <v>65</v>
      </c>
      <c r="I556" s="10" t="str">
        <f>VLOOKUP(Table1[[#This Row],[Account Manager ID]],Table2[[Employee ID]:[Full Name]],4,FALSE)</f>
        <v>Laras Nuraini</v>
      </c>
      <c r="J556" s="10" t="str">
        <f>INDEX(Employee!$D$4:$D$47,MATCH($H$4:$H$1003,Employee!$A$4:$A$47,0))</f>
        <v>Laras Nuraini</v>
      </c>
      <c r="K556" s="10" t="s">
        <v>74</v>
      </c>
      <c r="L556" s="10" t="s">
        <v>66</v>
      </c>
      <c r="M556" s="10" t="s">
        <v>59</v>
      </c>
      <c r="N556" s="10" t="s">
        <v>67</v>
      </c>
      <c r="O556" s="10" t="s">
        <v>61</v>
      </c>
      <c r="P556" s="10">
        <v>43321</v>
      </c>
      <c r="Q556" s="15">
        <v>35850</v>
      </c>
      <c r="R556" s="15">
        <v>63900</v>
      </c>
      <c r="S556" s="15">
        <f>Table1[[#This Row],[Retail Price]]-Table1[[#This Row],[Cost Price]]</f>
        <v>28050</v>
      </c>
      <c r="T556" s="10">
        <v>8</v>
      </c>
      <c r="U556" s="15">
        <f>Table1[[#This Row],[Profit Margin]]*Table1[[#This Row],[Order Quantity]]</f>
        <v>224400</v>
      </c>
      <c r="V556" s="11">
        <v>0.1</v>
      </c>
      <c r="W556" s="15">
        <f t="shared" si="8"/>
        <v>22440</v>
      </c>
      <c r="X556" s="15">
        <f>Table1[[#This Row],[Sub Total]]-Table1[[#This Row],[Discount Rp]]</f>
        <v>201960</v>
      </c>
      <c r="Y556" s="15">
        <f ca="1">OFFSET(Helper!$C$3,MATCH(Data!$N$4:$N$1003,Helper!$C$4:$C$9,0),MATCH(Data!$O$4:$O$1003,Helper!$D$3:$F$3,0))</f>
        <v>5000</v>
      </c>
      <c r="Z556" s="16">
        <f ca="1">Table1[[#This Row],[Order Total]]+Table1[[#This Row],[Shipping Cost]]</f>
        <v>206960</v>
      </c>
    </row>
    <row r="557" spans="1:26" ht="15.75" customHeight="1" x14ac:dyDescent="0.3">
      <c r="A557" s="9" t="s">
        <v>1305</v>
      </c>
      <c r="B557" s="18">
        <v>43319</v>
      </c>
      <c r="C557" s="10">
        <f>YEAR(Table1[[#This Row],[Order Date]])</f>
        <v>2018</v>
      </c>
      <c r="D557" s="10" t="s">
        <v>1306</v>
      </c>
      <c r="E557" s="10" t="s">
        <v>180</v>
      </c>
      <c r="F557" s="10" t="s">
        <v>54</v>
      </c>
      <c r="G557" s="10" t="s">
        <v>106</v>
      </c>
      <c r="H557" s="10" t="s">
        <v>65</v>
      </c>
      <c r="I557" s="10" t="str">
        <f>VLOOKUP(Table1[[#This Row],[Account Manager ID]],Table2[[Employee ID]:[Full Name]],4,FALSE)</f>
        <v>Laras Nuraini</v>
      </c>
      <c r="J557" s="10" t="str">
        <f>INDEX(Employee!$D$4:$D$47,MATCH($H$4:$H$1003,Employee!$A$4:$A$47,0))</f>
        <v>Laras Nuraini</v>
      </c>
      <c r="K557" s="10" t="s">
        <v>74</v>
      </c>
      <c r="L557" s="10" t="s">
        <v>406</v>
      </c>
      <c r="M557" s="10" t="s">
        <v>81</v>
      </c>
      <c r="N557" s="10" t="s">
        <v>459</v>
      </c>
      <c r="O557" s="10" t="s">
        <v>61</v>
      </c>
      <c r="P557" s="10">
        <v>43321</v>
      </c>
      <c r="Q557" s="15">
        <v>3240000</v>
      </c>
      <c r="R557" s="15">
        <v>6749850</v>
      </c>
      <c r="S557" s="15">
        <f>Table1[[#This Row],[Retail Price]]-Table1[[#This Row],[Cost Price]]</f>
        <v>3509850</v>
      </c>
      <c r="T557" s="10">
        <v>2</v>
      </c>
      <c r="U557" s="15">
        <f>Table1[[#This Row],[Profit Margin]]*Table1[[#This Row],[Order Quantity]]</f>
        <v>7019700</v>
      </c>
      <c r="V557" s="11">
        <v>0.08</v>
      </c>
      <c r="W557" s="15">
        <f t="shared" si="8"/>
        <v>561576</v>
      </c>
      <c r="X557" s="15">
        <f>Table1[[#This Row],[Sub Total]]-Table1[[#This Row],[Discount Rp]]</f>
        <v>6458124</v>
      </c>
      <c r="Y557" s="15">
        <f ca="1">OFFSET(Helper!$C$3,MATCH(Data!$N$4:$N$1003,Helper!$C$4:$C$9,0),MATCH(Data!$O$4:$O$1003,Helper!$D$3:$F$3,0))</f>
        <v>50000</v>
      </c>
      <c r="Z557" s="16">
        <f ca="1">Table1[[#This Row],[Order Total]]+Table1[[#This Row],[Shipping Cost]]</f>
        <v>6508124</v>
      </c>
    </row>
    <row r="558" spans="1:26" ht="15.75" customHeight="1" x14ac:dyDescent="0.3">
      <c r="A558" s="12" t="s">
        <v>1307</v>
      </c>
      <c r="B558" s="18">
        <v>43320</v>
      </c>
      <c r="C558" s="10">
        <f>YEAR(Table1[[#This Row],[Order Date]])</f>
        <v>2018</v>
      </c>
      <c r="D558" s="10" t="s">
        <v>640</v>
      </c>
      <c r="E558" s="9" t="s">
        <v>641</v>
      </c>
      <c r="F558" s="10" t="s">
        <v>261</v>
      </c>
      <c r="G558" s="10" t="s">
        <v>72</v>
      </c>
      <c r="H558" s="10" t="s">
        <v>194</v>
      </c>
      <c r="I558" s="10" t="str">
        <f>VLOOKUP(Table1[[#This Row],[Account Manager ID]],Table2[[Employee ID]:[Full Name]],4,FALSE)</f>
        <v>Nabila Prakasa</v>
      </c>
      <c r="J558" s="10" t="str">
        <f>INDEX(Employee!$D$4:$D$47,MATCH($H$4:$H$1003,Employee!$A$4:$A$47,0))</f>
        <v>Nabila Prakasa</v>
      </c>
      <c r="K558" s="10" t="s">
        <v>74</v>
      </c>
      <c r="L558" s="10" t="s">
        <v>226</v>
      </c>
      <c r="M558" s="10" t="s">
        <v>81</v>
      </c>
      <c r="N558" s="10" t="s">
        <v>227</v>
      </c>
      <c r="O558" s="10" t="s">
        <v>61</v>
      </c>
      <c r="P558" s="10">
        <v>43320</v>
      </c>
      <c r="Q558" s="15">
        <v>132300</v>
      </c>
      <c r="R558" s="15">
        <v>314850</v>
      </c>
      <c r="S558" s="15">
        <f>Table1[[#This Row],[Retail Price]]-Table1[[#This Row],[Cost Price]]</f>
        <v>182550</v>
      </c>
      <c r="T558" s="10">
        <v>19</v>
      </c>
      <c r="U558" s="15">
        <f>Table1[[#This Row],[Profit Margin]]*Table1[[#This Row],[Order Quantity]]</f>
        <v>3468450</v>
      </c>
      <c r="V558" s="11">
        <v>0.01</v>
      </c>
      <c r="W558" s="15">
        <f t="shared" si="8"/>
        <v>34684.5</v>
      </c>
      <c r="X558" s="15">
        <f>Table1[[#This Row],[Sub Total]]-Table1[[#This Row],[Discount Rp]]</f>
        <v>3433765.5</v>
      </c>
      <c r="Y558" s="15">
        <f ca="1">OFFSET(Helper!$C$3,MATCH(Data!$N$4:$N$1003,Helper!$C$4:$C$9,0),MATCH(Data!$O$4:$O$1003,Helper!$D$3:$F$3,0))</f>
        <v>20000</v>
      </c>
      <c r="Z558" s="16">
        <f ca="1">Table1[[#This Row],[Order Total]]+Table1[[#This Row],[Shipping Cost]]</f>
        <v>3453765.5</v>
      </c>
    </row>
    <row r="559" spans="1:26" ht="15.75" customHeight="1" x14ac:dyDescent="0.3">
      <c r="A559" s="9" t="s">
        <v>1308</v>
      </c>
      <c r="B559" s="18">
        <v>43320</v>
      </c>
      <c r="C559" s="10">
        <f>YEAR(Table1[[#This Row],[Order Date]])</f>
        <v>2018</v>
      </c>
      <c r="D559" s="10" t="s">
        <v>1309</v>
      </c>
      <c r="E559" s="10" t="s">
        <v>449</v>
      </c>
      <c r="F559" s="10" t="s">
        <v>54</v>
      </c>
      <c r="G559" s="10" t="s">
        <v>55</v>
      </c>
      <c r="H559" s="10" t="s">
        <v>56</v>
      </c>
      <c r="I559" s="10" t="str">
        <f>VLOOKUP(Table1[[#This Row],[Account Manager ID]],Table2[[Employee ID]:[Full Name]],4,FALSE)</f>
        <v>Gaduh Pratama</v>
      </c>
      <c r="J559" s="10" t="str">
        <f>INDEX(Employee!$D$4:$D$47,MATCH($H$4:$H$1003,Employee!$A$4:$A$47,0))</f>
        <v>Gaduh Pratama</v>
      </c>
      <c r="K559" s="10" t="s">
        <v>74</v>
      </c>
      <c r="L559" s="10" t="s">
        <v>234</v>
      </c>
      <c r="M559" s="10" t="s">
        <v>59</v>
      </c>
      <c r="N559" s="10" t="s">
        <v>60</v>
      </c>
      <c r="O559" s="10" t="s">
        <v>61</v>
      </c>
      <c r="P559" s="10">
        <v>43322</v>
      </c>
      <c r="Q559" s="15">
        <v>208200</v>
      </c>
      <c r="R559" s="15">
        <v>335700</v>
      </c>
      <c r="S559" s="15">
        <f>Table1[[#This Row],[Retail Price]]-Table1[[#This Row],[Cost Price]]</f>
        <v>127500</v>
      </c>
      <c r="T559" s="10">
        <v>6</v>
      </c>
      <c r="U559" s="15">
        <f>Table1[[#This Row],[Profit Margin]]*Table1[[#This Row],[Order Quantity]]</f>
        <v>765000</v>
      </c>
      <c r="V559" s="11">
        <v>0</v>
      </c>
      <c r="W559" s="15">
        <f t="shared" si="8"/>
        <v>0</v>
      </c>
      <c r="X559" s="15">
        <f>Table1[[#This Row],[Sub Total]]-Table1[[#This Row],[Discount Rp]]</f>
        <v>765000</v>
      </c>
      <c r="Y559" s="15">
        <f ca="1">OFFSET(Helper!$C$3,MATCH(Data!$N$4:$N$1003,Helper!$C$4:$C$9,0),MATCH(Data!$O$4:$O$1003,Helper!$D$3:$F$3,0))</f>
        <v>15000</v>
      </c>
      <c r="Z559" s="16">
        <f ca="1">Table1[[#This Row],[Order Total]]+Table1[[#This Row],[Shipping Cost]]</f>
        <v>780000</v>
      </c>
    </row>
    <row r="560" spans="1:26" ht="15.75" customHeight="1" x14ac:dyDescent="0.3">
      <c r="A560" s="9" t="s">
        <v>1310</v>
      </c>
      <c r="B560" s="18">
        <v>43322</v>
      </c>
      <c r="C560" s="10">
        <f>YEAR(Table1[[#This Row],[Order Date]])</f>
        <v>2018</v>
      </c>
      <c r="D560" s="10" t="s">
        <v>1311</v>
      </c>
      <c r="E560" s="10" t="s">
        <v>169</v>
      </c>
      <c r="F560" s="10" t="s">
        <v>54</v>
      </c>
      <c r="G560" s="10" t="s">
        <v>55</v>
      </c>
      <c r="H560" s="10" t="s">
        <v>65</v>
      </c>
      <c r="I560" s="10" t="str">
        <f>VLOOKUP(Table1[[#This Row],[Account Manager ID]],Table2[[Employee ID]:[Full Name]],4,FALSE)</f>
        <v>Laras Nuraini</v>
      </c>
      <c r="J560" s="10" t="str">
        <f>INDEX(Employee!$D$4:$D$47,MATCH($H$4:$H$1003,Employee!$A$4:$A$47,0))</f>
        <v>Laras Nuraini</v>
      </c>
      <c r="K560" s="10" t="s">
        <v>92</v>
      </c>
      <c r="L560" s="10" t="s">
        <v>415</v>
      </c>
      <c r="M560" s="10" t="s">
        <v>59</v>
      </c>
      <c r="N560" s="10" t="s">
        <v>60</v>
      </c>
      <c r="O560" s="10" t="s">
        <v>76</v>
      </c>
      <c r="P560" s="10">
        <v>43324</v>
      </c>
      <c r="Q560" s="15">
        <v>54750</v>
      </c>
      <c r="R560" s="15">
        <v>89700</v>
      </c>
      <c r="S560" s="15">
        <f>Table1[[#This Row],[Retail Price]]-Table1[[#This Row],[Cost Price]]</f>
        <v>34950</v>
      </c>
      <c r="T560" s="10">
        <v>50</v>
      </c>
      <c r="U560" s="15">
        <f>Table1[[#This Row],[Profit Margin]]*Table1[[#This Row],[Order Quantity]]</f>
        <v>1747500</v>
      </c>
      <c r="V560" s="11">
        <v>0.09</v>
      </c>
      <c r="W560" s="15">
        <f t="shared" si="8"/>
        <v>157275</v>
      </c>
      <c r="X560" s="15">
        <f>Table1[[#This Row],[Sub Total]]-Table1[[#This Row],[Discount Rp]]</f>
        <v>1590225</v>
      </c>
      <c r="Y560" s="15">
        <f ca="1">OFFSET(Helper!$C$3,MATCH(Data!$N$4:$N$1003,Helper!$C$4:$C$9,0),MATCH(Data!$O$4:$O$1003,Helper!$D$3:$F$3,0))</f>
        <v>30000</v>
      </c>
      <c r="Z560" s="16">
        <f ca="1">Table1[[#This Row],[Order Total]]+Table1[[#This Row],[Shipping Cost]]</f>
        <v>1620225</v>
      </c>
    </row>
    <row r="561" spans="1:26" ht="15.75" customHeight="1" x14ac:dyDescent="0.3">
      <c r="A561" s="9" t="s">
        <v>1312</v>
      </c>
      <c r="B561" s="18">
        <v>43322</v>
      </c>
      <c r="C561" s="10">
        <f>YEAR(Table1[[#This Row],[Order Date]])</f>
        <v>2018</v>
      </c>
      <c r="D561" s="10" t="s">
        <v>1313</v>
      </c>
      <c r="E561" s="10" t="s">
        <v>172</v>
      </c>
      <c r="F561" s="10" t="s">
        <v>54</v>
      </c>
      <c r="G561" s="10" t="s">
        <v>72</v>
      </c>
      <c r="H561" s="10" t="s">
        <v>65</v>
      </c>
      <c r="I561" s="10" t="str">
        <f>VLOOKUP(Table1[[#This Row],[Account Manager ID]],Table2[[Employee ID]:[Full Name]],4,FALSE)</f>
        <v>Laras Nuraini</v>
      </c>
      <c r="J561" s="10" t="str">
        <f>INDEX(Employee!$D$4:$D$47,MATCH($H$4:$H$1003,Employee!$A$4:$A$47,0))</f>
        <v>Laras Nuraini</v>
      </c>
      <c r="K561" s="10" t="s">
        <v>107</v>
      </c>
      <c r="L561" s="10" t="s">
        <v>837</v>
      </c>
      <c r="M561" s="10" t="s">
        <v>81</v>
      </c>
      <c r="N561" s="10" t="s">
        <v>82</v>
      </c>
      <c r="O561" s="10" t="s">
        <v>83</v>
      </c>
      <c r="P561" s="10">
        <v>43325</v>
      </c>
      <c r="Q561" s="15">
        <v>4734150</v>
      </c>
      <c r="R561" s="15">
        <v>7514550</v>
      </c>
      <c r="S561" s="15">
        <f>Table1[[#This Row],[Retail Price]]-Table1[[#This Row],[Cost Price]]</f>
        <v>2780400</v>
      </c>
      <c r="T561" s="10">
        <v>44</v>
      </c>
      <c r="U561" s="15">
        <f>Table1[[#This Row],[Profit Margin]]*Table1[[#This Row],[Order Quantity]]</f>
        <v>122337600</v>
      </c>
      <c r="V561" s="11">
        <v>0.09</v>
      </c>
      <c r="W561" s="15">
        <f t="shared" si="8"/>
        <v>11010384</v>
      </c>
      <c r="X561" s="15">
        <f>Table1[[#This Row],[Sub Total]]-Table1[[#This Row],[Discount Rp]]</f>
        <v>111327216</v>
      </c>
      <c r="Y561" s="15">
        <f ca="1">OFFSET(Helper!$C$3,MATCH(Data!$N$4:$N$1003,Helper!$C$4:$C$9,0),MATCH(Data!$O$4:$O$1003,Helper!$D$3:$F$3,0))</f>
        <v>500000</v>
      </c>
      <c r="Z561" s="16">
        <f ca="1">Table1[[#This Row],[Order Total]]+Table1[[#This Row],[Shipping Cost]]</f>
        <v>111827216</v>
      </c>
    </row>
    <row r="562" spans="1:26" ht="15.75" customHeight="1" x14ac:dyDescent="0.3">
      <c r="A562" s="9" t="s">
        <v>1314</v>
      </c>
      <c r="B562" s="18">
        <v>43323</v>
      </c>
      <c r="C562" s="10">
        <f>YEAR(Table1[[#This Row],[Order Date]])</f>
        <v>2018</v>
      </c>
      <c r="D562" s="10" t="s">
        <v>1315</v>
      </c>
      <c r="E562" s="10" t="s">
        <v>572</v>
      </c>
      <c r="F562" s="10" t="s">
        <v>261</v>
      </c>
      <c r="G562" s="10" t="s">
        <v>72</v>
      </c>
      <c r="H562" s="10" t="s">
        <v>146</v>
      </c>
      <c r="I562" s="10" t="str">
        <f>VLOOKUP(Table1[[#This Row],[Account Manager ID]],Table2[[Employee ID]:[Full Name]],4,FALSE)</f>
        <v>Kenari Rajasa</v>
      </c>
      <c r="J562" s="10" t="str">
        <f>INDEX(Employee!$D$4:$D$47,MATCH($H$4:$H$1003,Employee!$A$4:$A$47,0))</f>
        <v>Kenari Rajasa</v>
      </c>
      <c r="K562" s="10" t="s">
        <v>92</v>
      </c>
      <c r="L562" s="10" t="s">
        <v>931</v>
      </c>
      <c r="M562" s="10" t="s">
        <v>59</v>
      </c>
      <c r="N562" s="10" t="s">
        <v>60</v>
      </c>
      <c r="O562" s="10" t="s">
        <v>61</v>
      </c>
      <c r="P562" s="10">
        <v>43328</v>
      </c>
      <c r="Q562" s="15">
        <v>27600</v>
      </c>
      <c r="R562" s="15">
        <v>43200</v>
      </c>
      <c r="S562" s="15">
        <f>Table1[[#This Row],[Retail Price]]-Table1[[#This Row],[Cost Price]]</f>
        <v>15600</v>
      </c>
      <c r="T562" s="10">
        <v>29</v>
      </c>
      <c r="U562" s="15">
        <f>Table1[[#This Row],[Profit Margin]]*Table1[[#This Row],[Order Quantity]]</f>
        <v>452400</v>
      </c>
      <c r="V562" s="11">
        <v>0.03</v>
      </c>
      <c r="W562" s="15">
        <f t="shared" si="8"/>
        <v>13572</v>
      </c>
      <c r="X562" s="15">
        <f>Table1[[#This Row],[Sub Total]]-Table1[[#This Row],[Discount Rp]]</f>
        <v>438828</v>
      </c>
      <c r="Y562" s="15">
        <f ca="1">OFFSET(Helper!$C$3,MATCH(Data!$N$4:$N$1003,Helper!$C$4:$C$9,0),MATCH(Data!$O$4:$O$1003,Helper!$D$3:$F$3,0))</f>
        <v>15000</v>
      </c>
      <c r="Z562" s="16">
        <f ca="1">Table1[[#This Row],[Order Total]]+Table1[[#This Row],[Shipping Cost]]</f>
        <v>453828</v>
      </c>
    </row>
    <row r="563" spans="1:26" ht="15.75" customHeight="1" x14ac:dyDescent="0.3">
      <c r="A563" s="9" t="s">
        <v>1316</v>
      </c>
      <c r="B563" s="18">
        <v>43324</v>
      </c>
      <c r="C563" s="10">
        <f>YEAR(Table1[[#This Row],[Order Date]])</f>
        <v>2018</v>
      </c>
      <c r="D563" s="10" t="s">
        <v>397</v>
      </c>
      <c r="E563" s="10" t="s">
        <v>189</v>
      </c>
      <c r="F563" s="10" t="s">
        <v>54</v>
      </c>
      <c r="G563" s="10" t="s">
        <v>87</v>
      </c>
      <c r="H563" s="10" t="s">
        <v>56</v>
      </c>
      <c r="I563" s="10" t="str">
        <f>VLOOKUP(Table1[[#This Row],[Account Manager ID]],Table2[[Employee ID]:[Full Name]],4,FALSE)</f>
        <v>Gaduh Pratama</v>
      </c>
      <c r="J563" s="10" t="str">
        <f>INDEX(Employee!$D$4:$D$47,MATCH($H$4:$H$1003,Employee!$A$4:$A$47,0))</f>
        <v>Gaduh Pratama</v>
      </c>
      <c r="K563" s="10" t="s">
        <v>57</v>
      </c>
      <c r="L563" s="10" t="s">
        <v>446</v>
      </c>
      <c r="M563" s="10" t="s">
        <v>59</v>
      </c>
      <c r="N563" s="10" t="s">
        <v>60</v>
      </c>
      <c r="O563" s="10" t="s">
        <v>61</v>
      </c>
      <c r="P563" s="10">
        <v>43326</v>
      </c>
      <c r="Q563" s="15">
        <v>33900</v>
      </c>
      <c r="R563" s="15">
        <v>53700</v>
      </c>
      <c r="S563" s="15">
        <f>Table1[[#This Row],[Retail Price]]-Table1[[#This Row],[Cost Price]]</f>
        <v>19800</v>
      </c>
      <c r="T563" s="10">
        <v>7</v>
      </c>
      <c r="U563" s="15">
        <f>Table1[[#This Row],[Profit Margin]]*Table1[[#This Row],[Order Quantity]]</f>
        <v>138600</v>
      </c>
      <c r="V563" s="11">
        <v>0.09</v>
      </c>
      <c r="W563" s="15">
        <f t="shared" si="8"/>
        <v>12474</v>
      </c>
      <c r="X563" s="15">
        <f>Table1[[#This Row],[Sub Total]]-Table1[[#This Row],[Discount Rp]]</f>
        <v>126126</v>
      </c>
      <c r="Y563" s="15">
        <f ca="1">OFFSET(Helper!$C$3,MATCH(Data!$N$4:$N$1003,Helper!$C$4:$C$9,0),MATCH(Data!$O$4:$O$1003,Helper!$D$3:$F$3,0))</f>
        <v>15000</v>
      </c>
      <c r="Z563" s="16">
        <f ca="1">Table1[[#This Row],[Order Total]]+Table1[[#This Row],[Shipping Cost]]</f>
        <v>141126</v>
      </c>
    </row>
    <row r="564" spans="1:26" ht="15.75" customHeight="1" x14ac:dyDescent="0.3">
      <c r="A564" s="9" t="s">
        <v>1317</v>
      </c>
      <c r="B564" s="18">
        <v>43325</v>
      </c>
      <c r="C564" s="10">
        <f>YEAR(Table1[[#This Row],[Order Date]])</f>
        <v>2018</v>
      </c>
      <c r="D564" s="10" t="s">
        <v>782</v>
      </c>
      <c r="E564" s="10" t="s">
        <v>783</v>
      </c>
      <c r="F564" s="10" t="s">
        <v>71</v>
      </c>
      <c r="G564" s="10" t="s">
        <v>106</v>
      </c>
      <c r="H564" s="10" t="s">
        <v>112</v>
      </c>
      <c r="I564" s="10" t="str">
        <f>VLOOKUP(Table1[[#This Row],[Account Manager ID]],Table2[[Employee ID]:[Full Name]],4,FALSE)</f>
        <v>Paiman Firgantoro</v>
      </c>
      <c r="J564" s="10" t="str">
        <f>INDEX(Employee!$D$4:$D$47,MATCH($H$4:$H$1003,Employee!$A$4:$A$47,0))</f>
        <v>Paiman Firgantoro</v>
      </c>
      <c r="K564" s="10" t="s">
        <v>107</v>
      </c>
      <c r="L564" s="10" t="s">
        <v>1003</v>
      </c>
      <c r="M564" s="10" t="s">
        <v>59</v>
      </c>
      <c r="N564" s="10" t="s">
        <v>60</v>
      </c>
      <c r="O564" s="10" t="s">
        <v>61</v>
      </c>
      <c r="P564" s="10">
        <v>43326</v>
      </c>
      <c r="Q564" s="15">
        <v>60450.000000000007</v>
      </c>
      <c r="R564" s="15">
        <v>140700</v>
      </c>
      <c r="S564" s="15">
        <f>Table1[[#This Row],[Retail Price]]-Table1[[#This Row],[Cost Price]]</f>
        <v>80250</v>
      </c>
      <c r="T564" s="10">
        <v>31</v>
      </c>
      <c r="U564" s="15">
        <f>Table1[[#This Row],[Profit Margin]]*Table1[[#This Row],[Order Quantity]]</f>
        <v>2487750</v>
      </c>
      <c r="V564" s="11">
        <v>0.08</v>
      </c>
      <c r="W564" s="15">
        <f t="shared" si="8"/>
        <v>199020</v>
      </c>
      <c r="X564" s="15">
        <f>Table1[[#This Row],[Sub Total]]-Table1[[#This Row],[Discount Rp]]</f>
        <v>2288730</v>
      </c>
      <c r="Y564" s="15">
        <f ca="1">OFFSET(Helper!$C$3,MATCH(Data!$N$4:$N$1003,Helper!$C$4:$C$9,0),MATCH(Data!$O$4:$O$1003,Helper!$D$3:$F$3,0))</f>
        <v>15000</v>
      </c>
      <c r="Z564" s="16">
        <f ca="1">Table1[[#This Row],[Order Total]]+Table1[[#This Row],[Shipping Cost]]</f>
        <v>2303730</v>
      </c>
    </row>
    <row r="565" spans="1:26" ht="15.75" customHeight="1" x14ac:dyDescent="0.3">
      <c r="A565" s="9" t="s">
        <v>1318</v>
      </c>
      <c r="B565" s="18">
        <v>43326</v>
      </c>
      <c r="C565" s="10">
        <f>YEAR(Table1[[#This Row],[Order Date]])</f>
        <v>2018</v>
      </c>
      <c r="D565" s="10" t="s">
        <v>1319</v>
      </c>
      <c r="E565" s="10" t="s">
        <v>1150</v>
      </c>
      <c r="F565" s="10" t="s">
        <v>71</v>
      </c>
      <c r="G565" s="10" t="s">
        <v>55</v>
      </c>
      <c r="H565" s="10" t="s">
        <v>185</v>
      </c>
      <c r="I565" s="10" t="str">
        <f>VLOOKUP(Table1[[#This Row],[Account Manager ID]],Table2[[Employee ID]:[Full Name]],4,FALSE)</f>
        <v>Clara Prasetyo</v>
      </c>
      <c r="J565" s="10" t="str">
        <f>INDEX(Employee!$D$4:$D$47,MATCH($H$4:$H$1003,Employee!$A$4:$A$47,0))</f>
        <v>Clara Prasetyo</v>
      </c>
      <c r="K565" s="10" t="s">
        <v>74</v>
      </c>
      <c r="L565" s="10" t="s">
        <v>135</v>
      </c>
      <c r="M565" s="10" t="s">
        <v>59</v>
      </c>
      <c r="N565" s="10" t="s">
        <v>136</v>
      </c>
      <c r="O565" s="10" t="s">
        <v>61</v>
      </c>
      <c r="P565" s="10">
        <v>43327</v>
      </c>
      <c r="Q565" s="15">
        <v>51300</v>
      </c>
      <c r="R565" s="15">
        <v>125100</v>
      </c>
      <c r="S565" s="15">
        <f>Table1[[#This Row],[Retail Price]]-Table1[[#This Row],[Cost Price]]</f>
        <v>73800</v>
      </c>
      <c r="T565" s="10">
        <v>21</v>
      </c>
      <c r="U565" s="15">
        <f>Table1[[#This Row],[Profit Margin]]*Table1[[#This Row],[Order Quantity]]</f>
        <v>1549800</v>
      </c>
      <c r="V565" s="11">
        <v>0.03</v>
      </c>
      <c r="W565" s="15">
        <f t="shared" si="8"/>
        <v>46494</v>
      </c>
      <c r="X565" s="15">
        <f>Table1[[#This Row],[Sub Total]]-Table1[[#This Row],[Discount Rp]]</f>
        <v>1503306</v>
      </c>
      <c r="Y565" s="15">
        <f ca="1">OFFSET(Helper!$C$3,MATCH(Data!$N$4:$N$1003,Helper!$C$4:$C$9,0),MATCH(Data!$O$4:$O$1003,Helper!$D$3:$F$3,0))</f>
        <v>10000</v>
      </c>
      <c r="Z565" s="16">
        <f ca="1">Table1[[#This Row],[Order Total]]+Table1[[#This Row],[Shipping Cost]]</f>
        <v>1513306</v>
      </c>
    </row>
    <row r="566" spans="1:26" ht="15.75" customHeight="1" x14ac:dyDescent="0.3">
      <c r="A566" s="9" t="s">
        <v>1320</v>
      </c>
      <c r="B566" s="18">
        <v>43327</v>
      </c>
      <c r="C566" s="10">
        <f>YEAR(Table1[[#This Row],[Order Date]])</f>
        <v>2018</v>
      </c>
      <c r="D566" s="10" t="s">
        <v>744</v>
      </c>
      <c r="E566" s="10" t="s">
        <v>449</v>
      </c>
      <c r="F566" s="10" t="s">
        <v>54</v>
      </c>
      <c r="G566" s="10" t="s">
        <v>72</v>
      </c>
      <c r="H566" s="10" t="s">
        <v>65</v>
      </c>
      <c r="I566" s="10" t="str">
        <f>VLOOKUP(Table1[[#This Row],[Account Manager ID]],Table2[[Employee ID]:[Full Name]],4,FALSE)</f>
        <v>Laras Nuraini</v>
      </c>
      <c r="J566" s="10" t="str">
        <f>INDEX(Employee!$D$4:$D$47,MATCH($H$4:$H$1003,Employee!$A$4:$A$47,0))</f>
        <v>Laras Nuraini</v>
      </c>
      <c r="K566" s="10" t="s">
        <v>74</v>
      </c>
      <c r="L566" s="10" t="s">
        <v>197</v>
      </c>
      <c r="M566" s="10" t="s">
        <v>81</v>
      </c>
      <c r="N566" s="10" t="s">
        <v>60</v>
      </c>
      <c r="O566" s="10" t="s">
        <v>61</v>
      </c>
      <c r="P566" s="10">
        <v>43329</v>
      </c>
      <c r="Q566" s="15">
        <v>151050</v>
      </c>
      <c r="R566" s="15">
        <v>239700</v>
      </c>
      <c r="S566" s="15">
        <f>Table1[[#This Row],[Retail Price]]-Table1[[#This Row],[Cost Price]]</f>
        <v>88650</v>
      </c>
      <c r="T566" s="10">
        <v>26</v>
      </c>
      <c r="U566" s="15">
        <f>Table1[[#This Row],[Profit Margin]]*Table1[[#This Row],[Order Quantity]]</f>
        <v>2304900</v>
      </c>
      <c r="V566" s="11">
        <v>0.03</v>
      </c>
      <c r="W566" s="15">
        <f t="shared" si="8"/>
        <v>69147</v>
      </c>
      <c r="X566" s="15">
        <f>Table1[[#This Row],[Sub Total]]-Table1[[#This Row],[Discount Rp]]</f>
        <v>2235753</v>
      </c>
      <c r="Y566" s="15">
        <f ca="1">OFFSET(Helper!$C$3,MATCH(Data!$N$4:$N$1003,Helper!$C$4:$C$9,0),MATCH(Data!$O$4:$O$1003,Helper!$D$3:$F$3,0))</f>
        <v>15000</v>
      </c>
      <c r="Z566" s="16">
        <f ca="1">Table1[[#This Row],[Order Total]]+Table1[[#This Row],[Shipping Cost]]</f>
        <v>2250753</v>
      </c>
    </row>
    <row r="567" spans="1:26" ht="15.75" customHeight="1" x14ac:dyDescent="0.3">
      <c r="A567" s="9" t="s">
        <v>1321</v>
      </c>
      <c r="B567" s="18">
        <v>43328</v>
      </c>
      <c r="C567" s="10">
        <f>YEAR(Table1[[#This Row],[Order Date]])</f>
        <v>2018</v>
      </c>
      <c r="D567" s="10" t="s">
        <v>1322</v>
      </c>
      <c r="E567" s="10" t="s">
        <v>1051</v>
      </c>
      <c r="F567" s="10" t="s">
        <v>71</v>
      </c>
      <c r="G567" s="10" t="s">
        <v>72</v>
      </c>
      <c r="H567" s="10" t="s">
        <v>122</v>
      </c>
      <c r="I567" s="10" t="str">
        <f>VLOOKUP(Table1[[#This Row],[Account Manager ID]],Table2[[Employee ID]:[Full Name]],4,FALSE)</f>
        <v>Ophelia Mustofa</v>
      </c>
      <c r="J567" s="10" t="str">
        <f>INDEX(Employee!$D$4:$D$47,MATCH($H$4:$H$1003,Employee!$A$4:$A$47,0))</f>
        <v>Ophelia Mustofa</v>
      </c>
      <c r="K567" s="10" t="s">
        <v>57</v>
      </c>
      <c r="L567" s="10" t="s">
        <v>854</v>
      </c>
      <c r="M567" s="10" t="s">
        <v>59</v>
      </c>
      <c r="N567" s="10" t="s">
        <v>60</v>
      </c>
      <c r="O567" s="10" t="s">
        <v>61</v>
      </c>
      <c r="P567" s="10">
        <v>43329</v>
      </c>
      <c r="Q567" s="15">
        <v>1263300</v>
      </c>
      <c r="R567" s="15">
        <v>3158250</v>
      </c>
      <c r="S567" s="15">
        <f>Table1[[#This Row],[Retail Price]]-Table1[[#This Row],[Cost Price]]</f>
        <v>1894950</v>
      </c>
      <c r="T567" s="10">
        <v>18</v>
      </c>
      <c r="U567" s="15">
        <f>Table1[[#This Row],[Profit Margin]]*Table1[[#This Row],[Order Quantity]]</f>
        <v>34109100</v>
      </c>
      <c r="V567" s="11">
        <v>0.05</v>
      </c>
      <c r="W567" s="15">
        <f t="shared" si="8"/>
        <v>1705455</v>
      </c>
      <c r="X567" s="15">
        <f>Table1[[#This Row],[Sub Total]]-Table1[[#This Row],[Discount Rp]]</f>
        <v>32403645</v>
      </c>
      <c r="Y567" s="15">
        <f ca="1">OFFSET(Helper!$C$3,MATCH(Data!$N$4:$N$1003,Helper!$C$4:$C$9,0),MATCH(Data!$O$4:$O$1003,Helper!$D$3:$F$3,0))</f>
        <v>15000</v>
      </c>
      <c r="Z567" s="16">
        <f ca="1">Table1[[#This Row],[Order Total]]+Table1[[#This Row],[Shipping Cost]]</f>
        <v>32418645</v>
      </c>
    </row>
    <row r="568" spans="1:26" ht="15.75" customHeight="1" x14ac:dyDescent="0.3">
      <c r="A568" s="9" t="s">
        <v>1323</v>
      </c>
      <c r="B568" s="18">
        <v>43330</v>
      </c>
      <c r="C568" s="10">
        <f>YEAR(Table1[[#This Row],[Order Date]])</f>
        <v>2018</v>
      </c>
      <c r="D568" s="10" t="s">
        <v>1324</v>
      </c>
      <c r="E568" s="10" t="s">
        <v>340</v>
      </c>
      <c r="F568" s="10" t="s">
        <v>54</v>
      </c>
      <c r="G568" s="10" t="s">
        <v>55</v>
      </c>
      <c r="H568" s="10" t="s">
        <v>65</v>
      </c>
      <c r="I568" s="10" t="str">
        <f>VLOOKUP(Table1[[#This Row],[Account Manager ID]],Table2[[Employee ID]:[Full Name]],4,FALSE)</f>
        <v>Laras Nuraini</v>
      </c>
      <c r="J568" s="10" t="str">
        <f>INDEX(Employee!$D$4:$D$47,MATCH($H$4:$H$1003,Employee!$A$4:$A$47,0))</f>
        <v>Laras Nuraini</v>
      </c>
      <c r="K568" s="10" t="s">
        <v>92</v>
      </c>
      <c r="L568" s="10" t="s">
        <v>234</v>
      </c>
      <c r="M568" s="10" t="s">
        <v>59</v>
      </c>
      <c r="N568" s="10" t="s">
        <v>60</v>
      </c>
      <c r="O568" s="10" t="s">
        <v>61</v>
      </c>
      <c r="P568" s="10">
        <v>43332</v>
      </c>
      <c r="Q568" s="15">
        <v>208200</v>
      </c>
      <c r="R568" s="15">
        <v>335700</v>
      </c>
      <c r="S568" s="15">
        <f>Table1[[#This Row],[Retail Price]]-Table1[[#This Row],[Cost Price]]</f>
        <v>127500</v>
      </c>
      <c r="T568" s="10">
        <v>45</v>
      </c>
      <c r="U568" s="15">
        <f>Table1[[#This Row],[Profit Margin]]*Table1[[#This Row],[Order Quantity]]</f>
        <v>5737500</v>
      </c>
      <c r="V568" s="11">
        <v>0.05</v>
      </c>
      <c r="W568" s="15">
        <f t="shared" si="8"/>
        <v>286875</v>
      </c>
      <c r="X568" s="15">
        <f>Table1[[#This Row],[Sub Total]]-Table1[[#This Row],[Discount Rp]]</f>
        <v>5450625</v>
      </c>
      <c r="Y568" s="15">
        <f ca="1">OFFSET(Helper!$C$3,MATCH(Data!$N$4:$N$1003,Helper!$C$4:$C$9,0),MATCH(Data!$O$4:$O$1003,Helper!$D$3:$F$3,0))</f>
        <v>15000</v>
      </c>
      <c r="Z568" s="16">
        <f ca="1">Table1[[#This Row],[Order Total]]+Table1[[#This Row],[Shipping Cost]]</f>
        <v>5465625</v>
      </c>
    </row>
    <row r="569" spans="1:26" ht="15.75" customHeight="1" x14ac:dyDescent="0.3">
      <c r="A569" s="12" t="s">
        <v>1325</v>
      </c>
      <c r="B569" s="18">
        <v>43334</v>
      </c>
      <c r="C569" s="10">
        <f>YEAR(Table1[[#This Row],[Order Date]])</f>
        <v>2018</v>
      </c>
      <c r="D569" s="10" t="s">
        <v>640</v>
      </c>
      <c r="E569" s="9" t="s">
        <v>641</v>
      </c>
      <c r="F569" s="10" t="s">
        <v>261</v>
      </c>
      <c r="G569" s="10" t="s">
        <v>72</v>
      </c>
      <c r="H569" s="10" t="s">
        <v>194</v>
      </c>
      <c r="I569" s="10" t="str">
        <f>VLOOKUP(Table1[[#This Row],[Account Manager ID]],Table2[[Employee ID]:[Full Name]],4,FALSE)</f>
        <v>Nabila Prakasa</v>
      </c>
      <c r="J569" s="10" t="str">
        <f>INDEX(Employee!$D$4:$D$47,MATCH($H$4:$H$1003,Employee!$A$4:$A$47,0))</f>
        <v>Nabila Prakasa</v>
      </c>
      <c r="K569" s="10" t="s">
        <v>107</v>
      </c>
      <c r="L569" s="10" t="s">
        <v>398</v>
      </c>
      <c r="M569" s="10" t="s">
        <v>81</v>
      </c>
      <c r="N569" s="10" t="s">
        <v>60</v>
      </c>
      <c r="O569" s="10" t="s">
        <v>61</v>
      </c>
      <c r="P569" s="10">
        <v>43335</v>
      </c>
      <c r="Q569" s="15">
        <v>817800</v>
      </c>
      <c r="R569" s="15">
        <v>1514550</v>
      </c>
      <c r="S569" s="15">
        <f>Table1[[#This Row],[Retail Price]]-Table1[[#This Row],[Cost Price]]</f>
        <v>696750</v>
      </c>
      <c r="T569" s="10">
        <v>15</v>
      </c>
      <c r="U569" s="15">
        <f>Table1[[#This Row],[Profit Margin]]*Table1[[#This Row],[Order Quantity]]</f>
        <v>10451250</v>
      </c>
      <c r="V569" s="11">
        <v>0.1</v>
      </c>
      <c r="W569" s="15">
        <f t="shared" si="8"/>
        <v>1045125</v>
      </c>
      <c r="X569" s="15">
        <f>Table1[[#This Row],[Sub Total]]-Table1[[#This Row],[Discount Rp]]</f>
        <v>9406125</v>
      </c>
      <c r="Y569" s="15">
        <f ca="1">OFFSET(Helper!$C$3,MATCH(Data!$N$4:$N$1003,Helper!$C$4:$C$9,0),MATCH(Data!$O$4:$O$1003,Helper!$D$3:$F$3,0))</f>
        <v>15000</v>
      </c>
      <c r="Z569" s="16">
        <f ca="1">Table1[[#This Row],[Order Total]]+Table1[[#This Row],[Shipping Cost]]</f>
        <v>9421125</v>
      </c>
    </row>
    <row r="570" spans="1:26" ht="15.75" customHeight="1" x14ac:dyDescent="0.3">
      <c r="A570" s="12" t="s">
        <v>1326</v>
      </c>
      <c r="B570" s="18">
        <v>43335</v>
      </c>
      <c r="C570" s="10">
        <f>YEAR(Table1[[#This Row],[Order Date]])</f>
        <v>2018</v>
      </c>
      <c r="D570" s="10" t="s">
        <v>667</v>
      </c>
      <c r="E570" s="10" t="s">
        <v>733</v>
      </c>
      <c r="F570" s="10" t="s">
        <v>71</v>
      </c>
      <c r="G570" s="10" t="s">
        <v>72</v>
      </c>
      <c r="H570" s="10" t="s">
        <v>146</v>
      </c>
      <c r="I570" s="10" t="str">
        <f>VLOOKUP(Table1[[#This Row],[Account Manager ID]],Table2[[Employee ID]:[Full Name]],4,FALSE)</f>
        <v>Kenari Rajasa</v>
      </c>
      <c r="J570" s="10" t="str">
        <f>INDEX(Employee!$D$4:$D$47,MATCH($H$4:$H$1003,Employee!$A$4:$A$47,0))</f>
        <v>Kenari Rajasa</v>
      </c>
      <c r="K570" s="10" t="s">
        <v>117</v>
      </c>
      <c r="L570" s="10" t="s">
        <v>775</v>
      </c>
      <c r="M570" s="10" t="s">
        <v>59</v>
      </c>
      <c r="N570" s="10" t="s">
        <v>136</v>
      </c>
      <c r="O570" s="10" t="s">
        <v>61</v>
      </c>
      <c r="P570" s="10">
        <v>43337</v>
      </c>
      <c r="Q570" s="15">
        <v>62850.000000000007</v>
      </c>
      <c r="R570" s="15">
        <v>153450</v>
      </c>
      <c r="S570" s="15">
        <f>Table1[[#This Row],[Retail Price]]-Table1[[#This Row],[Cost Price]]</f>
        <v>90600</v>
      </c>
      <c r="T570" s="10">
        <v>46</v>
      </c>
      <c r="U570" s="15">
        <f>Table1[[#This Row],[Profit Margin]]*Table1[[#This Row],[Order Quantity]]</f>
        <v>4167600</v>
      </c>
      <c r="V570" s="11">
        <v>0.05</v>
      </c>
      <c r="W570" s="15">
        <f t="shared" si="8"/>
        <v>208380</v>
      </c>
      <c r="X570" s="15">
        <f>Table1[[#This Row],[Sub Total]]-Table1[[#This Row],[Discount Rp]]</f>
        <v>3959220</v>
      </c>
      <c r="Y570" s="15">
        <f ca="1">OFFSET(Helper!$C$3,MATCH(Data!$N$4:$N$1003,Helper!$C$4:$C$9,0),MATCH(Data!$O$4:$O$1003,Helper!$D$3:$F$3,0))</f>
        <v>10000</v>
      </c>
      <c r="Z570" s="16">
        <f ca="1">Table1[[#This Row],[Order Total]]+Table1[[#This Row],[Shipping Cost]]</f>
        <v>3969220</v>
      </c>
    </row>
    <row r="571" spans="1:26" ht="15.75" customHeight="1" x14ac:dyDescent="0.3">
      <c r="A571" s="12" t="s">
        <v>1327</v>
      </c>
      <c r="B571" s="18">
        <v>43335</v>
      </c>
      <c r="C571" s="10">
        <f>YEAR(Table1[[#This Row],[Order Date]])</f>
        <v>2018</v>
      </c>
      <c r="D571" s="10" t="s">
        <v>667</v>
      </c>
      <c r="E571" s="10" t="s">
        <v>733</v>
      </c>
      <c r="F571" s="10" t="s">
        <v>71</v>
      </c>
      <c r="G571" s="10" t="s">
        <v>72</v>
      </c>
      <c r="H571" s="10" t="s">
        <v>146</v>
      </c>
      <c r="I571" s="10" t="str">
        <f>VLOOKUP(Table1[[#This Row],[Account Manager ID]],Table2[[Employee ID]:[Full Name]],4,FALSE)</f>
        <v>Kenari Rajasa</v>
      </c>
      <c r="J571" s="10" t="str">
        <f>INDEX(Employee!$D$4:$D$47,MATCH($H$4:$H$1003,Employee!$A$4:$A$47,0))</f>
        <v>Kenari Rajasa</v>
      </c>
      <c r="K571" s="10" t="s">
        <v>117</v>
      </c>
      <c r="L571" s="10" t="s">
        <v>415</v>
      </c>
      <c r="M571" s="10" t="s">
        <v>59</v>
      </c>
      <c r="N571" s="10" t="s">
        <v>60</v>
      </c>
      <c r="O571" s="10" t="s">
        <v>61</v>
      </c>
      <c r="P571" s="10">
        <v>43337</v>
      </c>
      <c r="Q571" s="15">
        <v>54750</v>
      </c>
      <c r="R571" s="15">
        <v>89700</v>
      </c>
      <c r="S571" s="15">
        <f>Table1[[#This Row],[Retail Price]]-Table1[[#This Row],[Cost Price]]</f>
        <v>34950</v>
      </c>
      <c r="T571" s="10">
        <v>4</v>
      </c>
      <c r="U571" s="15">
        <f>Table1[[#This Row],[Profit Margin]]*Table1[[#This Row],[Order Quantity]]</f>
        <v>139800</v>
      </c>
      <c r="V571" s="11">
        <v>7.0000000000000007E-2</v>
      </c>
      <c r="W571" s="15">
        <f t="shared" si="8"/>
        <v>9786.0000000000018</v>
      </c>
      <c r="X571" s="15">
        <f>Table1[[#This Row],[Sub Total]]-Table1[[#This Row],[Discount Rp]]</f>
        <v>130014</v>
      </c>
      <c r="Y571" s="15">
        <f ca="1">OFFSET(Helper!$C$3,MATCH(Data!$N$4:$N$1003,Helper!$C$4:$C$9,0),MATCH(Data!$O$4:$O$1003,Helper!$D$3:$F$3,0))</f>
        <v>15000</v>
      </c>
      <c r="Z571" s="16">
        <f ca="1">Table1[[#This Row],[Order Total]]+Table1[[#This Row],[Shipping Cost]]</f>
        <v>145014</v>
      </c>
    </row>
    <row r="572" spans="1:26" ht="15.75" customHeight="1" x14ac:dyDescent="0.3">
      <c r="A572" s="9" t="s">
        <v>1328</v>
      </c>
      <c r="B572" s="18">
        <v>43336</v>
      </c>
      <c r="C572" s="10">
        <f>YEAR(Table1[[#This Row],[Order Date]])</f>
        <v>2018</v>
      </c>
      <c r="D572" s="10" t="s">
        <v>128</v>
      </c>
      <c r="E572" s="10" t="s">
        <v>129</v>
      </c>
      <c r="F572" s="10" t="s">
        <v>54</v>
      </c>
      <c r="G572" s="10" t="s">
        <v>72</v>
      </c>
      <c r="H572" s="10" t="s">
        <v>56</v>
      </c>
      <c r="I572" s="10" t="str">
        <f>VLOOKUP(Table1[[#This Row],[Account Manager ID]],Table2[[Employee ID]:[Full Name]],4,FALSE)</f>
        <v>Gaduh Pratama</v>
      </c>
      <c r="J572" s="10" t="str">
        <f>INDEX(Employee!$D$4:$D$47,MATCH($H$4:$H$1003,Employee!$A$4:$A$47,0))</f>
        <v>Gaduh Pratama</v>
      </c>
      <c r="K572" s="10" t="s">
        <v>57</v>
      </c>
      <c r="L572" s="10" t="s">
        <v>917</v>
      </c>
      <c r="M572" s="10" t="s">
        <v>59</v>
      </c>
      <c r="N572" s="10" t="s">
        <v>67</v>
      </c>
      <c r="O572" s="10" t="s">
        <v>61</v>
      </c>
      <c r="P572" s="10">
        <v>43338</v>
      </c>
      <c r="Q572" s="15">
        <v>28200</v>
      </c>
      <c r="R572" s="15">
        <v>47100</v>
      </c>
      <c r="S572" s="15">
        <f>Table1[[#This Row],[Retail Price]]-Table1[[#This Row],[Cost Price]]</f>
        <v>18900</v>
      </c>
      <c r="T572" s="10">
        <v>50</v>
      </c>
      <c r="U572" s="15">
        <f>Table1[[#This Row],[Profit Margin]]*Table1[[#This Row],[Order Quantity]]</f>
        <v>945000</v>
      </c>
      <c r="V572" s="11">
        <v>0</v>
      </c>
      <c r="W572" s="15">
        <f t="shared" si="8"/>
        <v>0</v>
      </c>
      <c r="X572" s="15">
        <f>Table1[[#This Row],[Sub Total]]-Table1[[#This Row],[Discount Rp]]</f>
        <v>945000</v>
      </c>
      <c r="Y572" s="15">
        <f ca="1">OFFSET(Helper!$C$3,MATCH(Data!$N$4:$N$1003,Helper!$C$4:$C$9,0),MATCH(Data!$O$4:$O$1003,Helper!$D$3:$F$3,0))</f>
        <v>5000</v>
      </c>
      <c r="Z572" s="16">
        <f ca="1">Table1[[#This Row],[Order Total]]+Table1[[#This Row],[Shipping Cost]]</f>
        <v>950000</v>
      </c>
    </row>
    <row r="573" spans="1:26" ht="15.75" customHeight="1" x14ac:dyDescent="0.3">
      <c r="A573" s="9" t="s">
        <v>1329</v>
      </c>
      <c r="B573" s="18">
        <v>43338</v>
      </c>
      <c r="C573" s="10">
        <f>YEAR(Table1[[#This Row],[Order Date]])</f>
        <v>2018</v>
      </c>
      <c r="D573" s="10" t="s">
        <v>1330</v>
      </c>
      <c r="E573" s="10" t="s">
        <v>358</v>
      </c>
      <c r="F573" s="10" t="s">
        <v>71</v>
      </c>
      <c r="G573" s="10" t="s">
        <v>72</v>
      </c>
      <c r="H573" s="10" t="s">
        <v>73</v>
      </c>
      <c r="I573" s="10" t="str">
        <f>VLOOKUP(Table1[[#This Row],[Account Manager ID]],Table2[[Employee ID]:[Full Name]],4,FALSE)</f>
        <v>Cinthia Gunawan</v>
      </c>
      <c r="J573" s="10" t="str">
        <f>INDEX(Employee!$D$4:$D$47,MATCH($H$4:$H$1003,Employee!$A$4:$A$47,0))</f>
        <v>Cinthia Gunawan</v>
      </c>
      <c r="K573" s="10" t="s">
        <v>117</v>
      </c>
      <c r="L573" s="10" t="s">
        <v>394</v>
      </c>
      <c r="M573" s="10" t="s">
        <v>59</v>
      </c>
      <c r="N573" s="10" t="s">
        <v>67</v>
      </c>
      <c r="O573" s="10" t="s">
        <v>76</v>
      </c>
      <c r="P573" s="10">
        <v>43338</v>
      </c>
      <c r="Q573" s="15">
        <v>3600</v>
      </c>
      <c r="R573" s="15">
        <v>18900</v>
      </c>
      <c r="S573" s="15">
        <f>Table1[[#This Row],[Retail Price]]-Table1[[#This Row],[Cost Price]]</f>
        <v>15300</v>
      </c>
      <c r="T573" s="10">
        <v>35</v>
      </c>
      <c r="U573" s="15">
        <f>Table1[[#This Row],[Profit Margin]]*Table1[[#This Row],[Order Quantity]]</f>
        <v>535500</v>
      </c>
      <c r="V573" s="11">
        <v>0.06</v>
      </c>
      <c r="W573" s="15">
        <f t="shared" si="8"/>
        <v>32130</v>
      </c>
      <c r="X573" s="15">
        <f>Table1[[#This Row],[Sub Total]]-Table1[[#This Row],[Discount Rp]]</f>
        <v>503370</v>
      </c>
      <c r="Y573" s="15">
        <f ca="1">OFFSET(Helper!$C$3,MATCH(Data!$N$4:$N$1003,Helper!$C$4:$C$9,0),MATCH(Data!$O$4:$O$1003,Helper!$D$3:$F$3,0))</f>
        <v>10000</v>
      </c>
      <c r="Z573" s="16">
        <f ca="1">Table1[[#This Row],[Order Total]]+Table1[[#This Row],[Shipping Cost]]</f>
        <v>513370</v>
      </c>
    </row>
    <row r="574" spans="1:26" ht="15.75" customHeight="1" x14ac:dyDescent="0.3">
      <c r="A574" s="9" t="s">
        <v>1331</v>
      </c>
      <c r="B574" s="18">
        <v>43338</v>
      </c>
      <c r="C574" s="10">
        <f>YEAR(Table1[[#This Row],[Order Date]])</f>
        <v>2018</v>
      </c>
      <c r="D574" s="10" t="s">
        <v>1332</v>
      </c>
      <c r="E574" s="10" t="s">
        <v>724</v>
      </c>
      <c r="F574" s="10" t="s">
        <v>71</v>
      </c>
      <c r="G574" s="10" t="s">
        <v>55</v>
      </c>
      <c r="H574" s="10" t="s">
        <v>185</v>
      </c>
      <c r="I574" s="10" t="str">
        <f>VLOOKUP(Table1[[#This Row],[Account Manager ID]],Table2[[Employee ID]:[Full Name]],4,FALSE)</f>
        <v>Clara Prasetyo</v>
      </c>
      <c r="J574" s="10" t="str">
        <f>INDEX(Employee!$D$4:$D$47,MATCH($H$4:$H$1003,Employee!$A$4:$A$47,0))</f>
        <v>Clara Prasetyo</v>
      </c>
      <c r="K574" s="10" t="s">
        <v>57</v>
      </c>
      <c r="L574" s="10" t="s">
        <v>320</v>
      </c>
      <c r="M574" s="10" t="s">
        <v>59</v>
      </c>
      <c r="N574" s="10" t="s">
        <v>60</v>
      </c>
      <c r="O574" s="10" t="s">
        <v>61</v>
      </c>
      <c r="P574" s="10">
        <v>43340</v>
      </c>
      <c r="Q574" s="15">
        <v>2682450</v>
      </c>
      <c r="R574" s="15">
        <v>6238200</v>
      </c>
      <c r="S574" s="15">
        <f>Table1[[#This Row],[Retail Price]]-Table1[[#This Row],[Cost Price]]</f>
        <v>3555750</v>
      </c>
      <c r="T574" s="10">
        <v>11</v>
      </c>
      <c r="U574" s="15">
        <f>Table1[[#This Row],[Profit Margin]]*Table1[[#This Row],[Order Quantity]]</f>
        <v>39113250</v>
      </c>
      <c r="V574" s="11">
        <v>0.06</v>
      </c>
      <c r="W574" s="15">
        <f t="shared" si="8"/>
        <v>2346795</v>
      </c>
      <c r="X574" s="15">
        <f>Table1[[#This Row],[Sub Total]]-Table1[[#This Row],[Discount Rp]]</f>
        <v>36766455</v>
      </c>
      <c r="Y574" s="15">
        <f ca="1">OFFSET(Helper!$C$3,MATCH(Data!$N$4:$N$1003,Helper!$C$4:$C$9,0),MATCH(Data!$O$4:$O$1003,Helper!$D$3:$F$3,0))</f>
        <v>15000</v>
      </c>
      <c r="Z574" s="16">
        <f ca="1">Table1[[#This Row],[Order Total]]+Table1[[#This Row],[Shipping Cost]]</f>
        <v>36781455</v>
      </c>
    </row>
    <row r="575" spans="1:26" ht="15.75" customHeight="1" x14ac:dyDescent="0.3">
      <c r="A575" s="9" t="s">
        <v>1333</v>
      </c>
      <c r="B575" s="18">
        <v>43339</v>
      </c>
      <c r="C575" s="10">
        <f>YEAR(Table1[[#This Row],[Order Date]])</f>
        <v>2018</v>
      </c>
      <c r="D575" s="10" t="s">
        <v>1334</v>
      </c>
      <c r="E575" s="10" t="s">
        <v>1335</v>
      </c>
      <c r="F575" s="10" t="s">
        <v>71</v>
      </c>
      <c r="G575" s="10" t="s">
        <v>55</v>
      </c>
      <c r="H575" s="10" t="s">
        <v>122</v>
      </c>
      <c r="I575" s="10" t="str">
        <f>VLOOKUP(Table1[[#This Row],[Account Manager ID]],Table2[[Employee ID]:[Full Name]],4,FALSE)</f>
        <v>Ophelia Mustofa</v>
      </c>
      <c r="J575" s="10" t="str">
        <f>INDEX(Employee!$D$4:$D$47,MATCH($H$4:$H$1003,Employee!$A$4:$A$47,0))</f>
        <v>Ophelia Mustofa</v>
      </c>
      <c r="K575" s="10" t="s">
        <v>57</v>
      </c>
      <c r="L575" s="10" t="s">
        <v>488</v>
      </c>
      <c r="M575" s="10" t="s">
        <v>59</v>
      </c>
      <c r="N575" s="10" t="s">
        <v>136</v>
      </c>
      <c r="O575" s="10" t="s">
        <v>61</v>
      </c>
      <c r="P575" s="10">
        <v>43341</v>
      </c>
      <c r="Q575" s="15">
        <v>77850</v>
      </c>
      <c r="R575" s="15">
        <v>194700</v>
      </c>
      <c r="S575" s="15">
        <f>Table1[[#This Row],[Retail Price]]-Table1[[#This Row],[Cost Price]]</f>
        <v>116850</v>
      </c>
      <c r="T575" s="10">
        <v>23</v>
      </c>
      <c r="U575" s="15">
        <f>Table1[[#This Row],[Profit Margin]]*Table1[[#This Row],[Order Quantity]]</f>
        <v>2687550</v>
      </c>
      <c r="V575" s="11">
        <v>0.01</v>
      </c>
      <c r="W575" s="15">
        <f t="shared" si="8"/>
        <v>26875.5</v>
      </c>
      <c r="X575" s="15">
        <f>Table1[[#This Row],[Sub Total]]-Table1[[#This Row],[Discount Rp]]</f>
        <v>2660674.5</v>
      </c>
      <c r="Y575" s="15">
        <f ca="1">OFFSET(Helper!$C$3,MATCH(Data!$N$4:$N$1003,Helper!$C$4:$C$9,0),MATCH(Data!$O$4:$O$1003,Helper!$D$3:$F$3,0))</f>
        <v>10000</v>
      </c>
      <c r="Z575" s="16">
        <f ca="1">Table1[[#This Row],[Order Total]]+Table1[[#This Row],[Shipping Cost]]</f>
        <v>2670674.5</v>
      </c>
    </row>
    <row r="576" spans="1:26" ht="15.75" customHeight="1" x14ac:dyDescent="0.3">
      <c r="A576" s="9" t="s">
        <v>1336</v>
      </c>
      <c r="B576" s="18">
        <v>43341</v>
      </c>
      <c r="C576" s="10">
        <f>YEAR(Table1[[#This Row],[Order Date]])</f>
        <v>2018</v>
      </c>
      <c r="D576" s="10" t="s">
        <v>929</v>
      </c>
      <c r="E576" s="10" t="s">
        <v>930</v>
      </c>
      <c r="F576" s="10" t="s">
        <v>71</v>
      </c>
      <c r="G576" s="10" t="s">
        <v>55</v>
      </c>
      <c r="H576" s="10" t="s">
        <v>97</v>
      </c>
      <c r="I576" s="10" t="str">
        <f>VLOOKUP(Table1[[#This Row],[Account Manager ID]],Table2[[Employee ID]:[Full Name]],4,FALSE)</f>
        <v>Violet Mentari</v>
      </c>
      <c r="J576" s="10" t="str">
        <f>INDEX(Employee!$D$4:$D$47,MATCH($H$4:$H$1003,Employee!$A$4:$A$47,0))</f>
        <v>Violet Mentari</v>
      </c>
      <c r="K576" s="10" t="s">
        <v>107</v>
      </c>
      <c r="L576" s="10" t="s">
        <v>287</v>
      </c>
      <c r="M576" s="10" t="s">
        <v>59</v>
      </c>
      <c r="N576" s="10" t="s">
        <v>60</v>
      </c>
      <c r="O576" s="10" t="s">
        <v>61</v>
      </c>
      <c r="P576" s="10">
        <v>43344</v>
      </c>
      <c r="Q576" s="15">
        <v>185850</v>
      </c>
      <c r="R576" s="15">
        <v>299700</v>
      </c>
      <c r="S576" s="15">
        <f>Table1[[#This Row],[Retail Price]]-Table1[[#This Row],[Cost Price]]</f>
        <v>113850</v>
      </c>
      <c r="T576" s="10">
        <v>33</v>
      </c>
      <c r="U576" s="15">
        <f>Table1[[#This Row],[Profit Margin]]*Table1[[#This Row],[Order Quantity]]</f>
        <v>3757050</v>
      </c>
      <c r="V576" s="11">
        <v>0.09</v>
      </c>
      <c r="W576" s="15">
        <f t="shared" si="8"/>
        <v>338134.5</v>
      </c>
      <c r="X576" s="15">
        <f>Table1[[#This Row],[Sub Total]]-Table1[[#This Row],[Discount Rp]]</f>
        <v>3418915.5</v>
      </c>
      <c r="Y576" s="15">
        <f ca="1">OFFSET(Helper!$C$3,MATCH(Data!$N$4:$N$1003,Helper!$C$4:$C$9,0),MATCH(Data!$O$4:$O$1003,Helper!$D$3:$F$3,0))</f>
        <v>15000</v>
      </c>
      <c r="Z576" s="16">
        <f ca="1">Table1[[#This Row],[Order Total]]+Table1[[#This Row],[Shipping Cost]]</f>
        <v>3433915.5</v>
      </c>
    </row>
    <row r="577" spans="1:26" ht="15.75" customHeight="1" x14ac:dyDescent="0.3">
      <c r="A577" s="12" t="s">
        <v>1337</v>
      </c>
      <c r="B577" s="18">
        <v>43342</v>
      </c>
      <c r="C577" s="10">
        <f>YEAR(Table1[[#This Row],[Order Date]])</f>
        <v>2018</v>
      </c>
      <c r="D577" s="10" t="s">
        <v>351</v>
      </c>
      <c r="E577" s="10" t="s">
        <v>352</v>
      </c>
      <c r="F577" s="10" t="s">
        <v>261</v>
      </c>
      <c r="G577" s="10" t="s">
        <v>72</v>
      </c>
      <c r="H577" s="10" t="s">
        <v>112</v>
      </c>
      <c r="I577" s="10" t="str">
        <f>VLOOKUP(Table1[[#This Row],[Account Manager ID]],Table2[[Employee ID]:[Full Name]],4,FALSE)</f>
        <v>Paiman Firgantoro</v>
      </c>
      <c r="J577" s="10" t="str">
        <f>INDEX(Employee!$D$4:$D$47,MATCH($H$4:$H$1003,Employee!$A$4:$A$47,0))</f>
        <v>Paiman Firgantoro</v>
      </c>
      <c r="K577" s="10" t="s">
        <v>107</v>
      </c>
      <c r="L577" s="10" t="s">
        <v>108</v>
      </c>
      <c r="M577" s="10" t="s">
        <v>59</v>
      </c>
      <c r="N577" s="10" t="s">
        <v>60</v>
      </c>
      <c r="O577" s="10" t="s">
        <v>61</v>
      </c>
      <c r="P577" s="10">
        <v>43344</v>
      </c>
      <c r="Q577" s="15">
        <v>814350</v>
      </c>
      <c r="R577" s="15">
        <v>1357200</v>
      </c>
      <c r="S577" s="15">
        <f>Table1[[#This Row],[Retail Price]]-Table1[[#This Row],[Cost Price]]</f>
        <v>542850</v>
      </c>
      <c r="T577" s="10">
        <v>11</v>
      </c>
      <c r="U577" s="15">
        <f>Table1[[#This Row],[Profit Margin]]*Table1[[#This Row],[Order Quantity]]</f>
        <v>5971350</v>
      </c>
      <c r="V577" s="11">
        <v>0.04</v>
      </c>
      <c r="W577" s="15">
        <f t="shared" si="8"/>
        <v>238854</v>
      </c>
      <c r="X577" s="15">
        <f>Table1[[#This Row],[Sub Total]]-Table1[[#This Row],[Discount Rp]]</f>
        <v>5732496</v>
      </c>
      <c r="Y577" s="15">
        <f ca="1">OFFSET(Helper!$C$3,MATCH(Data!$N$4:$N$1003,Helper!$C$4:$C$9,0),MATCH(Data!$O$4:$O$1003,Helper!$D$3:$F$3,0))</f>
        <v>15000</v>
      </c>
      <c r="Z577" s="16">
        <f ca="1">Table1[[#This Row],[Order Total]]+Table1[[#This Row],[Shipping Cost]]</f>
        <v>5747496</v>
      </c>
    </row>
    <row r="578" spans="1:26" ht="15.75" customHeight="1" x14ac:dyDescent="0.3">
      <c r="A578" s="9" t="s">
        <v>1338</v>
      </c>
      <c r="B578" s="18">
        <v>43342</v>
      </c>
      <c r="C578" s="10">
        <f>YEAR(Table1[[#This Row],[Order Date]])</f>
        <v>2018</v>
      </c>
      <c r="D578" s="10" t="s">
        <v>1264</v>
      </c>
      <c r="E578" s="10" t="s">
        <v>340</v>
      </c>
      <c r="F578" s="10" t="s">
        <v>54</v>
      </c>
      <c r="G578" s="10" t="s">
        <v>106</v>
      </c>
      <c r="H578" s="10" t="s">
        <v>65</v>
      </c>
      <c r="I578" s="10" t="str">
        <f>VLOOKUP(Table1[[#This Row],[Account Manager ID]],Table2[[Employee ID]:[Full Name]],4,FALSE)</f>
        <v>Laras Nuraini</v>
      </c>
      <c r="J578" s="10" t="str">
        <f>INDEX(Employee!$D$4:$D$47,MATCH($H$4:$H$1003,Employee!$A$4:$A$47,0))</f>
        <v>Laras Nuraini</v>
      </c>
      <c r="K578" s="10" t="s">
        <v>107</v>
      </c>
      <c r="L578" s="10" t="s">
        <v>1061</v>
      </c>
      <c r="M578" s="10" t="s">
        <v>59</v>
      </c>
      <c r="N578" s="10" t="s">
        <v>60</v>
      </c>
      <c r="O578" s="10" t="s">
        <v>61</v>
      </c>
      <c r="P578" s="10">
        <v>43342</v>
      </c>
      <c r="Q578" s="15">
        <v>17850</v>
      </c>
      <c r="R578" s="15">
        <v>29700</v>
      </c>
      <c r="S578" s="15">
        <f>Table1[[#This Row],[Retail Price]]-Table1[[#This Row],[Cost Price]]</f>
        <v>11850</v>
      </c>
      <c r="T578" s="10">
        <v>29</v>
      </c>
      <c r="U578" s="15">
        <f>Table1[[#This Row],[Profit Margin]]*Table1[[#This Row],[Order Quantity]]</f>
        <v>343650</v>
      </c>
      <c r="V578" s="11">
        <v>0.09</v>
      </c>
      <c r="W578" s="15">
        <f t="shared" si="8"/>
        <v>30928.5</v>
      </c>
      <c r="X578" s="15">
        <f>Table1[[#This Row],[Sub Total]]-Table1[[#This Row],[Discount Rp]]</f>
        <v>312721.5</v>
      </c>
      <c r="Y578" s="15">
        <f ca="1">OFFSET(Helper!$C$3,MATCH(Data!$N$4:$N$1003,Helper!$C$4:$C$9,0),MATCH(Data!$O$4:$O$1003,Helper!$D$3:$F$3,0))</f>
        <v>15000</v>
      </c>
      <c r="Z578" s="16">
        <f ca="1">Table1[[#This Row],[Order Total]]+Table1[[#This Row],[Shipping Cost]]</f>
        <v>327721.5</v>
      </c>
    </row>
    <row r="579" spans="1:26" ht="15.75" customHeight="1" x14ac:dyDescent="0.3">
      <c r="A579" s="9" t="s">
        <v>1339</v>
      </c>
      <c r="B579" s="18">
        <v>43342</v>
      </c>
      <c r="C579" s="10">
        <f>YEAR(Table1[[#This Row],[Order Date]])</f>
        <v>2018</v>
      </c>
      <c r="D579" s="10" t="s">
        <v>1340</v>
      </c>
      <c r="E579" s="10" t="s">
        <v>154</v>
      </c>
      <c r="F579" s="10" t="s">
        <v>71</v>
      </c>
      <c r="G579" s="10" t="s">
        <v>72</v>
      </c>
      <c r="H579" s="10" t="s">
        <v>155</v>
      </c>
      <c r="I579" s="10" t="str">
        <f>VLOOKUP(Table1[[#This Row],[Account Manager ID]],Table2[[Employee ID]:[Full Name]],4,FALSE)</f>
        <v>Puti Nadine Prakasa</v>
      </c>
      <c r="J579" s="10" t="str">
        <f>INDEX(Employee!$D$4:$D$47,MATCH($H$4:$H$1003,Employee!$A$4:$A$47,0))</f>
        <v>Puti Nadine Prakasa</v>
      </c>
      <c r="K579" s="10" t="s">
        <v>92</v>
      </c>
      <c r="L579" s="10" t="s">
        <v>300</v>
      </c>
      <c r="M579" s="10" t="s">
        <v>81</v>
      </c>
      <c r="N579" s="10" t="s">
        <v>136</v>
      </c>
      <c r="O579" s="10" t="s">
        <v>61</v>
      </c>
      <c r="P579" s="10">
        <v>43349</v>
      </c>
      <c r="Q579" s="15">
        <v>302700</v>
      </c>
      <c r="R579" s="15">
        <v>531150</v>
      </c>
      <c r="S579" s="15">
        <f>Table1[[#This Row],[Retail Price]]-Table1[[#This Row],[Cost Price]]</f>
        <v>228450</v>
      </c>
      <c r="T579" s="10">
        <v>1</v>
      </c>
      <c r="U579" s="15">
        <f>Table1[[#This Row],[Profit Margin]]*Table1[[#This Row],[Order Quantity]]</f>
        <v>228450</v>
      </c>
      <c r="V579" s="11">
        <v>0.1</v>
      </c>
      <c r="W579" s="15">
        <f t="shared" si="8"/>
        <v>22845</v>
      </c>
      <c r="X579" s="15">
        <f>Table1[[#This Row],[Sub Total]]-Table1[[#This Row],[Discount Rp]]</f>
        <v>205605</v>
      </c>
      <c r="Y579" s="15">
        <f ca="1">OFFSET(Helper!$C$3,MATCH(Data!$N$4:$N$1003,Helper!$C$4:$C$9,0),MATCH(Data!$O$4:$O$1003,Helper!$D$3:$F$3,0))</f>
        <v>10000</v>
      </c>
      <c r="Z579" s="16">
        <f ca="1">Table1[[#This Row],[Order Total]]+Table1[[#This Row],[Shipping Cost]]</f>
        <v>215605</v>
      </c>
    </row>
    <row r="580" spans="1:26" ht="15.75" customHeight="1" x14ac:dyDescent="0.3">
      <c r="A580" s="9" t="s">
        <v>1341</v>
      </c>
      <c r="B580" s="18">
        <v>43343</v>
      </c>
      <c r="C580" s="10">
        <f>YEAR(Table1[[#This Row],[Order Date]])</f>
        <v>2018</v>
      </c>
      <c r="D580" s="10" t="s">
        <v>337</v>
      </c>
      <c r="E580" s="10" t="s">
        <v>245</v>
      </c>
      <c r="F580" s="10" t="s">
        <v>71</v>
      </c>
      <c r="G580" s="10" t="s">
        <v>72</v>
      </c>
      <c r="H580" s="10" t="s">
        <v>146</v>
      </c>
      <c r="I580" s="10" t="str">
        <f>VLOOKUP(Table1[[#This Row],[Account Manager ID]],Table2[[Employee ID]:[Full Name]],4,FALSE)</f>
        <v>Kenari Rajasa</v>
      </c>
      <c r="J580" s="10" t="str">
        <f>INDEX(Employee!$D$4:$D$47,MATCH($H$4:$H$1003,Employee!$A$4:$A$47,0))</f>
        <v>Kenari Rajasa</v>
      </c>
      <c r="K580" s="10" t="s">
        <v>74</v>
      </c>
      <c r="L580" s="10" t="s">
        <v>437</v>
      </c>
      <c r="M580" s="10" t="s">
        <v>59</v>
      </c>
      <c r="N580" s="10" t="s">
        <v>60</v>
      </c>
      <c r="O580" s="10" t="s">
        <v>61</v>
      </c>
      <c r="P580" s="10">
        <v>43344</v>
      </c>
      <c r="Q580" s="15">
        <v>27600</v>
      </c>
      <c r="R580" s="15">
        <v>43200</v>
      </c>
      <c r="S580" s="15">
        <f>Table1[[#This Row],[Retail Price]]-Table1[[#This Row],[Cost Price]]</f>
        <v>15600</v>
      </c>
      <c r="T580" s="10">
        <v>16</v>
      </c>
      <c r="U580" s="15">
        <f>Table1[[#This Row],[Profit Margin]]*Table1[[#This Row],[Order Quantity]]</f>
        <v>249600</v>
      </c>
      <c r="V580" s="11">
        <v>0.05</v>
      </c>
      <c r="W580" s="15">
        <f t="shared" ref="W580:W643" si="9">V580*U580</f>
        <v>12480</v>
      </c>
      <c r="X580" s="15">
        <f>Table1[[#This Row],[Sub Total]]-Table1[[#This Row],[Discount Rp]]</f>
        <v>237120</v>
      </c>
      <c r="Y580" s="15">
        <f ca="1">OFFSET(Helper!$C$3,MATCH(Data!$N$4:$N$1003,Helper!$C$4:$C$9,0),MATCH(Data!$O$4:$O$1003,Helper!$D$3:$F$3,0))</f>
        <v>15000</v>
      </c>
      <c r="Z580" s="16">
        <f ca="1">Table1[[#This Row],[Order Total]]+Table1[[#This Row],[Shipping Cost]]</f>
        <v>252120</v>
      </c>
    </row>
    <row r="581" spans="1:26" ht="15.75" customHeight="1" x14ac:dyDescent="0.3">
      <c r="A581" s="9" t="s">
        <v>1342</v>
      </c>
      <c r="B581" s="18">
        <v>43344</v>
      </c>
      <c r="C581" s="10">
        <f>YEAR(Table1[[#This Row],[Order Date]])</f>
        <v>2018</v>
      </c>
      <c r="D581" s="10" t="s">
        <v>835</v>
      </c>
      <c r="E581" s="10" t="s">
        <v>169</v>
      </c>
      <c r="F581" s="10" t="s">
        <v>54</v>
      </c>
      <c r="G581" s="10" t="s">
        <v>72</v>
      </c>
      <c r="H581" s="10" t="s">
        <v>65</v>
      </c>
      <c r="I581" s="10" t="str">
        <f>VLOOKUP(Table1[[#This Row],[Account Manager ID]],Table2[[Employee ID]:[Full Name]],4,FALSE)</f>
        <v>Laras Nuraini</v>
      </c>
      <c r="J581" s="10" t="str">
        <f>INDEX(Employee!$D$4:$D$47,MATCH($H$4:$H$1003,Employee!$A$4:$A$47,0))</f>
        <v>Laras Nuraini</v>
      </c>
      <c r="K581" s="10" t="s">
        <v>57</v>
      </c>
      <c r="L581" s="10" t="s">
        <v>437</v>
      </c>
      <c r="M581" s="10" t="s">
        <v>59</v>
      </c>
      <c r="N581" s="10" t="s">
        <v>60</v>
      </c>
      <c r="O581" s="10" t="s">
        <v>61</v>
      </c>
      <c r="P581" s="10">
        <v>43347</v>
      </c>
      <c r="Q581" s="15">
        <v>27600</v>
      </c>
      <c r="R581" s="15">
        <v>43200</v>
      </c>
      <c r="S581" s="15">
        <f>Table1[[#This Row],[Retail Price]]-Table1[[#This Row],[Cost Price]]</f>
        <v>15600</v>
      </c>
      <c r="T581" s="10">
        <v>26</v>
      </c>
      <c r="U581" s="15">
        <f>Table1[[#This Row],[Profit Margin]]*Table1[[#This Row],[Order Quantity]]</f>
        <v>405600</v>
      </c>
      <c r="V581" s="11">
        <v>0.08</v>
      </c>
      <c r="W581" s="15">
        <f t="shared" si="9"/>
        <v>32448</v>
      </c>
      <c r="X581" s="15">
        <f>Table1[[#This Row],[Sub Total]]-Table1[[#This Row],[Discount Rp]]</f>
        <v>373152</v>
      </c>
      <c r="Y581" s="15">
        <f ca="1">OFFSET(Helper!$C$3,MATCH(Data!$N$4:$N$1003,Helper!$C$4:$C$9,0),MATCH(Data!$O$4:$O$1003,Helper!$D$3:$F$3,0))</f>
        <v>15000</v>
      </c>
      <c r="Z581" s="16">
        <f ca="1">Table1[[#This Row],[Order Total]]+Table1[[#This Row],[Shipping Cost]]</f>
        <v>388152</v>
      </c>
    </row>
    <row r="582" spans="1:26" ht="15.75" customHeight="1" x14ac:dyDescent="0.3">
      <c r="A582" s="9" t="s">
        <v>1343</v>
      </c>
      <c r="B582" s="18">
        <v>43344</v>
      </c>
      <c r="C582" s="10">
        <f>YEAR(Table1[[#This Row],[Order Date]])</f>
        <v>2018</v>
      </c>
      <c r="D582" s="10" t="s">
        <v>633</v>
      </c>
      <c r="E582" s="10" t="s">
        <v>64</v>
      </c>
      <c r="F582" s="10" t="s">
        <v>54</v>
      </c>
      <c r="G582" s="10" t="s">
        <v>55</v>
      </c>
      <c r="H582" s="10" t="s">
        <v>65</v>
      </c>
      <c r="I582" s="10" t="str">
        <f>VLOOKUP(Table1[[#This Row],[Account Manager ID]],Table2[[Employee ID]:[Full Name]],4,FALSE)</f>
        <v>Laras Nuraini</v>
      </c>
      <c r="J582" s="10" t="str">
        <f>INDEX(Employee!$D$4:$D$47,MATCH($H$4:$H$1003,Employee!$A$4:$A$47,0))</f>
        <v>Laras Nuraini</v>
      </c>
      <c r="K582" s="10" t="s">
        <v>74</v>
      </c>
      <c r="L582" s="10" t="s">
        <v>300</v>
      </c>
      <c r="M582" s="10" t="s">
        <v>81</v>
      </c>
      <c r="N582" s="10" t="s">
        <v>136</v>
      </c>
      <c r="O582" s="10" t="s">
        <v>61</v>
      </c>
      <c r="P582" s="10">
        <v>43346</v>
      </c>
      <c r="Q582" s="15">
        <v>302700</v>
      </c>
      <c r="R582" s="15">
        <v>531150</v>
      </c>
      <c r="S582" s="15">
        <f>Table1[[#This Row],[Retail Price]]-Table1[[#This Row],[Cost Price]]</f>
        <v>228450</v>
      </c>
      <c r="T582" s="10">
        <v>49</v>
      </c>
      <c r="U582" s="15">
        <f>Table1[[#This Row],[Profit Margin]]*Table1[[#This Row],[Order Quantity]]</f>
        <v>11194050</v>
      </c>
      <c r="V582" s="11">
        <v>0.02</v>
      </c>
      <c r="W582" s="15">
        <f t="shared" si="9"/>
        <v>223881</v>
      </c>
      <c r="X582" s="15">
        <f>Table1[[#This Row],[Sub Total]]-Table1[[#This Row],[Discount Rp]]</f>
        <v>10970169</v>
      </c>
      <c r="Y582" s="15">
        <f ca="1">OFFSET(Helper!$C$3,MATCH(Data!$N$4:$N$1003,Helper!$C$4:$C$9,0),MATCH(Data!$O$4:$O$1003,Helper!$D$3:$F$3,0))</f>
        <v>10000</v>
      </c>
      <c r="Z582" s="16">
        <f ca="1">Table1[[#This Row],[Order Total]]+Table1[[#This Row],[Shipping Cost]]</f>
        <v>10980169</v>
      </c>
    </row>
    <row r="583" spans="1:26" ht="15.75" customHeight="1" x14ac:dyDescent="0.3">
      <c r="A583" s="9" t="s">
        <v>1344</v>
      </c>
      <c r="B583" s="18">
        <v>43344</v>
      </c>
      <c r="C583" s="10">
        <f>YEAR(Table1[[#This Row],[Order Date]])</f>
        <v>2018</v>
      </c>
      <c r="D583" s="10" t="s">
        <v>1345</v>
      </c>
      <c r="E583" s="10" t="s">
        <v>165</v>
      </c>
      <c r="F583" s="10" t="s">
        <v>71</v>
      </c>
      <c r="G583" s="10" t="s">
        <v>106</v>
      </c>
      <c r="H583" s="10" t="s">
        <v>88</v>
      </c>
      <c r="I583" s="10" t="str">
        <f>VLOOKUP(Table1[[#This Row],[Account Manager ID]],Table2[[Employee ID]:[Full Name]],4,FALSE)</f>
        <v>Bagiya Sihombing</v>
      </c>
      <c r="J583" s="10" t="str">
        <f>INDEX(Employee!$D$4:$D$47,MATCH($H$4:$H$1003,Employee!$A$4:$A$47,0))</f>
        <v>Bagiya Sihombing</v>
      </c>
      <c r="K583" s="10" t="s">
        <v>74</v>
      </c>
      <c r="L583" s="10" t="s">
        <v>156</v>
      </c>
      <c r="M583" s="10" t="s">
        <v>81</v>
      </c>
      <c r="N583" s="10" t="s">
        <v>60</v>
      </c>
      <c r="O583" s="10" t="s">
        <v>61</v>
      </c>
      <c r="P583" s="10">
        <v>43345</v>
      </c>
      <c r="Q583" s="15">
        <v>1223850</v>
      </c>
      <c r="R583" s="15">
        <v>2399850</v>
      </c>
      <c r="S583" s="15">
        <f>Table1[[#This Row],[Retail Price]]-Table1[[#This Row],[Cost Price]]</f>
        <v>1176000</v>
      </c>
      <c r="T583" s="10">
        <v>19</v>
      </c>
      <c r="U583" s="15">
        <f>Table1[[#This Row],[Profit Margin]]*Table1[[#This Row],[Order Quantity]]</f>
        <v>22344000</v>
      </c>
      <c r="V583" s="11">
        <v>0.1</v>
      </c>
      <c r="W583" s="15">
        <f t="shared" si="9"/>
        <v>2234400</v>
      </c>
      <c r="X583" s="15">
        <f>Table1[[#This Row],[Sub Total]]-Table1[[#This Row],[Discount Rp]]</f>
        <v>20109600</v>
      </c>
      <c r="Y583" s="15">
        <f ca="1">OFFSET(Helper!$C$3,MATCH(Data!$N$4:$N$1003,Helper!$C$4:$C$9,0),MATCH(Data!$O$4:$O$1003,Helper!$D$3:$F$3,0))</f>
        <v>15000</v>
      </c>
      <c r="Z583" s="16">
        <f ca="1">Table1[[#This Row],[Order Total]]+Table1[[#This Row],[Shipping Cost]]</f>
        <v>20124600</v>
      </c>
    </row>
    <row r="584" spans="1:26" ht="15.75" customHeight="1" x14ac:dyDescent="0.3">
      <c r="A584" s="9" t="s">
        <v>1346</v>
      </c>
      <c r="B584" s="18">
        <v>43346</v>
      </c>
      <c r="C584" s="10">
        <f>YEAR(Table1[[#This Row],[Order Date]])</f>
        <v>2018</v>
      </c>
      <c r="D584" s="10" t="s">
        <v>640</v>
      </c>
      <c r="E584" s="9" t="s">
        <v>641</v>
      </c>
      <c r="F584" s="10" t="s">
        <v>261</v>
      </c>
      <c r="G584" s="10" t="s">
        <v>72</v>
      </c>
      <c r="H584" s="10" t="s">
        <v>194</v>
      </c>
      <c r="I584" s="10" t="str">
        <f>VLOOKUP(Table1[[#This Row],[Account Manager ID]],Table2[[Employee ID]:[Full Name]],4,FALSE)</f>
        <v>Nabila Prakasa</v>
      </c>
      <c r="J584" s="10" t="str">
        <f>INDEX(Employee!$D$4:$D$47,MATCH($H$4:$H$1003,Employee!$A$4:$A$47,0))</f>
        <v>Nabila Prakasa</v>
      </c>
      <c r="K584" s="10" t="s">
        <v>74</v>
      </c>
      <c r="L584" s="10" t="s">
        <v>700</v>
      </c>
      <c r="M584" s="10" t="s">
        <v>59</v>
      </c>
      <c r="N584" s="10" t="s">
        <v>67</v>
      </c>
      <c r="O584" s="10" t="s">
        <v>61</v>
      </c>
      <c r="P584" s="10">
        <v>43348</v>
      </c>
      <c r="Q584" s="15">
        <v>34650</v>
      </c>
      <c r="R584" s="15">
        <v>56700</v>
      </c>
      <c r="S584" s="15">
        <f>Table1[[#This Row],[Retail Price]]-Table1[[#This Row],[Cost Price]]</f>
        <v>22050</v>
      </c>
      <c r="T584" s="10">
        <v>19</v>
      </c>
      <c r="U584" s="15">
        <f>Table1[[#This Row],[Profit Margin]]*Table1[[#This Row],[Order Quantity]]</f>
        <v>418950</v>
      </c>
      <c r="V584" s="11">
        <v>0.03</v>
      </c>
      <c r="W584" s="15">
        <f t="shared" si="9"/>
        <v>12568.5</v>
      </c>
      <c r="X584" s="15">
        <f>Table1[[#This Row],[Sub Total]]-Table1[[#This Row],[Discount Rp]]</f>
        <v>406381.5</v>
      </c>
      <c r="Y584" s="15">
        <f ca="1">OFFSET(Helper!$C$3,MATCH(Data!$N$4:$N$1003,Helper!$C$4:$C$9,0),MATCH(Data!$O$4:$O$1003,Helper!$D$3:$F$3,0))</f>
        <v>5000</v>
      </c>
      <c r="Z584" s="16">
        <f ca="1">Table1[[#This Row],[Order Total]]+Table1[[#This Row],[Shipping Cost]]</f>
        <v>411381.5</v>
      </c>
    </row>
    <row r="585" spans="1:26" ht="15.75" customHeight="1" x14ac:dyDescent="0.3">
      <c r="A585" s="9" t="s">
        <v>1347</v>
      </c>
      <c r="B585" s="18">
        <v>43348</v>
      </c>
      <c r="C585" s="10">
        <f>YEAR(Table1[[#This Row],[Order Date]])</f>
        <v>2018</v>
      </c>
      <c r="D585" s="10" t="s">
        <v>1122</v>
      </c>
      <c r="E585" s="10" t="s">
        <v>145</v>
      </c>
      <c r="F585" s="10" t="s">
        <v>71</v>
      </c>
      <c r="G585" s="10" t="s">
        <v>72</v>
      </c>
      <c r="H585" s="10" t="s">
        <v>146</v>
      </c>
      <c r="I585" s="10" t="str">
        <f>VLOOKUP(Table1[[#This Row],[Account Manager ID]],Table2[[Employee ID]:[Full Name]],4,FALSE)</f>
        <v>Kenari Rajasa</v>
      </c>
      <c r="J585" s="10" t="str">
        <f>INDEX(Employee!$D$4:$D$47,MATCH($H$4:$H$1003,Employee!$A$4:$A$47,0))</f>
        <v>Kenari Rajasa</v>
      </c>
      <c r="K585" s="10" t="s">
        <v>117</v>
      </c>
      <c r="L585" s="10" t="s">
        <v>89</v>
      </c>
      <c r="M585" s="10" t="s">
        <v>59</v>
      </c>
      <c r="N585" s="10" t="s">
        <v>67</v>
      </c>
      <c r="O585" s="10" t="s">
        <v>61</v>
      </c>
      <c r="P585" s="10">
        <v>43349</v>
      </c>
      <c r="Q585" s="15">
        <v>13500</v>
      </c>
      <c r="R585" s="15">
        <v>31500</v>
      </c>
      <c r="S585" s="15">
        <f>Table1[[#This Row],[Retail Price]]-Table1[[#This Row],[Cost Price]]</f>
        <v>18000</v>
      </c>
      <c r="T585" s="10">
        <v>17</v>
      </c>
      <c r="U585" s="15">
        <f>Table1[[#This Row],[Profit Margin]]*Table1[[#This Row],[Order Quantity]]</f>
        <v>306000</v>
      </c>
      <c r="V585" s="11">
        <v>0.09</v>
      </c>
      <c r="W585" s="15">
        <f t="shared" si="9"/>
        <v>27540</v>
      </c>
      <c r="X585" s="15">
        <f>Table1[[#This Row],[Sub Total]]-Table1[[#This Row],[Discount Rp]]</f>
        <v>278460</v>
      </c>
      <c r="Y585" s="15">
        <f ca="1">OFFSET(Helper!$C$3,MATCH(Data!$N$4:$N$1003,Helper!$C$4:$C$9,0),MATCH(Data!$O$4:$O$1003,Helper!$D$3:$F$3,0))</f>
        <v>5000</v>
      </c>
      <c r="Z585" s="16">
        <f ca="1">Table1[[#This Row],[Order Total]]+Table1[[#This Row],[Shipping Cost]]</f>
        <v>283460</v>
      </c>
    </row>
    <row r="586" spans="1:26" ht="15.75" customHeight="1" x14ac:dyDescent="0.3">
      <c r="A586" s="9" t="s">
        <v>1348</v>
      </c>
      <c r="B586" s="18">
        <v>43348</v>
      </c>
      <c r="C586" s="10">
        <f>YEAR(Table1[[#This Row],[Order Date]])</f>
        <v>2018</v>
      </c>
      <c r="D586" s="10" t="s">
        <v>947</v>
      </c>
      <c r="E586" s="10" t="s">
        <v>340</v>
      </c>
      <c r="F586" s="10" t="s">
        <v>54</v>
      </c>
      <c r="G586" s="10" t="s">
        <v>87</v>
      </c>
      <c r="H586" s="10" t="s">
        <v>65</v>
      </c>
      <c r="I586" s="10" t="str">
        <f>VLOOKUP(Table1[[#This Row],[Account Manager ID]],Table2[[Employee ID]:[Full Name]],4,FALSE)</f>
        <v>Laras Nuraini</v>
      </c>
      <c r="J586" s="10" t="str">
        <f>INDEX(Employee!$D$4:$D$47,MATCH($H$4:$H$1003,Employee!$A$4:$A$47,0))</f>
        <v>Laras Nuraini</v>
      </c>
      <c r="K586" s="10" t="s">
        <v>92</v>
      </c>
      <c r="L586" s="10" t="s">
        <v>248</v>
      </c>
      <c r="M586" s="10" t="s">
        <v>59</v>
      </c>
      <c r="N586" s="10" t="s">
        <v>67</v>
      </c>
      <c r="O586" s="10" t="s">
        <v>61</v>
      </c>
      <c r="P586" s="10">
        <v>43352</v>
      </c>
      <c r="Q586" s="15">
        <v>56250</v>
      </c>
      <c r="R586" s="15">
        <v>106200</v>
      </c>
      <c r="S586" s="15">
        <f>Table1[[#This Row],[Retail Price]]-Table1[[#This Row],[Cost Price]]</f>
        <v>49950</v>
      </c>
      <c r="T586" s="10">
        <v>49</v>
      </c>
      <c r="U586" s="15">
        <f>Table1[[#This Row],[Profit Margin]]*Table1[[#This Row],[Order Quantity]]</f>
        <v>2447550</v>
      </c>
      <c r="V586" s="11">
        <v>0</v>
      </c>
      <c r="W586" s="15">
        <f t="shared" si="9"/>
        <v>0</v>
      </c>
      <c r="X586" s="15">
        <f>Table1[[#This Row],[Sub Total]]-Table1[[#This Row],[Discount Rp]]</f>
        <v>2447550</v>
      </c>
      <c r="Y586" s="15">
        <f ca="1">OFFSET(Helper!$C$3,MATCH(Data!$N$4:$N$1003,Helper!$C$4:$C$9,0),MATCH(Data!$O$4:$O$1003,Helper!$D$3:$F$3,0))</f>
        <v>5000</v>
      </c>
      <c r="Z586" s="16">
        <f ca="1">Table1[[#This Row],[Order Total]]+Table1[[#This Row],[Shipping Cost]]</f>
        <v>2452550</v>
      </c>
    </row>
    <row r="587" spans="1:26" ht="15.75" customHeight="1" x14ac:dyDescent="0.3">
      <c r="A587" s="9" t="s">
        <v>1349</v>
      </c>
      <c r="B587" s="18">
        <v>43350</v>
      </c>
      <c r="C587" s="10">
        <f>YEAR(Table1[[#This Row],[Order Date]])</f>
        <v>2018</v>
      </c>
      <c r="D587" s="10" t="s">
        <v>1350</v>
      </c>
      <c r="E587" s="10" t="s">
        <v>1351</v>
      </c>
      <c r="F587" s="10" t="s">
        <v>54</v>
      </c>
      <c r="G587" s="10" t="s">
        <v>72</v>
      </c>
      <c r="H587" s="10" t="s">
        <v>56</v>
      </c>
      <c r="I587" s="10" t="str">
        <f>VLOOKUP(Table1[[#This Row],[Account Manager ID]],Table2[[Employee ID]:[Full Name]],4,FALSE)</f>
        <v>Gaduh Pratama</v>
      </c>
      <c r="J587" s="10" t="str">
        <f>INDEX(Employee!$D$4:$D$47,MATCH($H$4:$H$1003,Employee!$A$4:$A$47,0))</f>
        <v>Gaduh Pratama</v>
      </c>
      <c r="K587" s="10" t="s">
        <v>74</v>
      </c>
      <c r="L587" s="10" t="s">
        <v>93</v>
      </c>
      <c r="M587" s="10" t="s">
        <v>59</v>
      </c>
      <c r="N587" s="10" t="s">
        <v>67</v>
      </c>
      <c r="O587" s="10" t="s">
        <v>61</v>
      </c>
      <c r="P587" s="10">
        <v>43352</v>
      </c>
      <c r="Q587" s="15">
        <v>16350.000000000002</v>
      </c>
      <c r="R587" s="15">
        <v>39000</v>
      </c>
      <c r="S587" s="15">
        <f>Table1[[#This Row],[Retail Price]]-Table1[[#This Row],[Cost Price]]</f>
        <v>22650</v>
      </c>
      <c r="T587" s="10">
        <v>8</v>
      </c>
      <c r="U587" s="15">
        <f>Table1[[#This Row],[Profit Margin]]*Table1[[#This Row],[Order Quantity]]</f>
        <v>181200</v>
      </c>
      <c r="V587" s="11">
        <v>0.04</v>
      </c>
      <c r="W587" s="15">
        <f t="shared" si="9"/>
        <v>7248</v>
      </c>
      <c r="X587" s="15">
        <f>Table1[[#This Row],[Sub Total]]-Table1[[#This Row],[Discount Rp]]</f>
        <v>173952</v>
      </c>
      <c r="Y587" s="15">
        <f ca="1">OFFSET(Helper!$C$3,MATCH(Data!$N$4:$N$1003,Helper!$C$4:$C$9,0),MATCH(Data!$O$4:$O$1003,Helper!$D$3:$F$3,0))</f>
        <v>5000</v>
      </c>
      <c r="Z587" s="16">
        <f ca="1">Table1[[#This Row],[Order Total]]+Table1[[#This Row],[Shipping Cost]]</f>
        <v>178952</v>
      </c>
    </row>
    <row r="588" spans="1:26" ht="15.75" customHeight="1" x14ac:dyDescent="0.3">
      <c r="A588" s="9" t="s">
        <v>1352</v>
      </c>
      <c r="B588" s="18">
        <v>43351</v>
      </c>
      <c r="C588" s="10">
        <f>YEAR(Table1[[#This Row],[Order Date]])</f>
        <v>2018</v>
      </c>
      <c r="D588" s="10" t="s">
        <v>192</v>
      </c>
      <c r="E588" s="10" t="s">
        <v>193</v>
      </c>
      <c r="F588" s="10" t="s">
        <v>71</v>
      </c>
      <c r="G588" s="10" t="s">
        <v>106</v>
      </c>
      <c r="H588" s="10" t="s">
        <v>194</v>
      </c>
      <c r="I588" s="10" t="str">
        <f>VLOOKUP(Table1[[#This Row],[Account Manager ID]],Table2[[Employee ID]:[Full Name]],4,FALSE)</f>
        <v>Nabila Prakasa</v>
      </c>
      <c r="J588" s="10" t="str">
        <f>INDEX(Employee!$D$4:$D$47,MATCH($H$4:$H$1003,Employee!$A$4:$A$47,0))</f>
        <v>Nabila Prakasa</v>
      </c>
      <c r="K588" s="10" t="s">
        <v>107</v>
      </c>
      <c r="L588" s="10" t="s">
        <v>186</v>
      </c>
      <c r="M588" s="10" t="s">
        <v>81</v>
      </c>
      <c r="N588" s="10" t="s">
        <v>60</v>
      </c>
      <c r="O588" s="10" t="s">
        <v>61</v>
      </c>
      <c r="P588" s="10">
        <v>43353</v>
      </c>
      <c r="Q588" s="15">
        <v>95850</v>
      </c>
      <c r="R588" s="15">
        <v>299700</v>
      </c>
      <c r="S588" s="15">
        <f>Table1[[#This Row],[Retail Price]]-Table1[[#This Row],[Cost Price]]</f>
        <v>203850</v>
      </c>
      <c r="T588" s="10">
        <v>7</v>
      </c>
      <c r="U588" s="15">
        <f>Table1[[#This Row],[Profit Margin]]*Table1[[#This Row],[Order Quantity]]</f>
        <v>1426950</v>
      </c>
      <c r="V588" s="11">
        <v>0.09</v>
      </c>
      <c r="W588" s="15">
        <f t="shared" si="9"/>
        <v>128425.5</v>
      </c>
      <c r="X588" s="15">
        <f>Table1[[#This Row],[Sub Total]]-Table1[[#This Row],[Discount Rp]]</f>
        <v>1298524.5</v>
      </c>
      <c r="Y588" s="15">
        <f ca="1">OFFSET(Helper!$C$3,MATCH(Data!$N$4:$N$1003,Helper!$C$4:$C$9,0),MATCH(Data!$O$4:$O$1003,Helper!$D$3:$F$3,0))</f>
        <v>15000</v>
      </c>
      <c r="Z588" s="16">
        <f ca="1">Table1[[#This Row],[Order Total]]+Table1[[#This Row],[Shipping Cost]]</f>
        <v>1313524.5</v>
      </c>
    </row>
    <row r="589" spans="1:26" ht="15.75" customHeight="1" x14ac:dyDescent="0.3">
      <c r="A589" s="9" t="s">
        <v>1353</v>
      </c>
      <c r="B589" s="18">
        <v>43352</v>
      </c>
      <c r="C589" s="10">
        <f>YEAR(Table1[[#This Row],[Order Date]])</f>
        <v>2018</v>
      </c>
      <c r="D589" s="10" t="s">
        <v>211</v>
      </c>
      <c r="E589" s="10" t="s">
        <v>121</v>
      </c>
      <c r="F589" s="10" t="s">
        <v>71</v>
      </c>
      <c r="G589" s="10" t="s">
        <v>72</v>
      </c>
      <c r="H589" s="10" t="s">
        <v>122</v>
      </c>
      <c r="I589" s="10" t="str">
        <f>VLOOKUP(Table1[[#This Row],[Account Manager ID]],Table2[[Employee ID]:[Full Name]],4,FALSE)</f>
        <v>Ophelia Mustofa</v>
      </c>
      <c r="J589" s="10" t="str">
        <f>INDEX(Employee!$D$4:$D$47,MATCH($H$4:$H$1003,Employee!$A$4:$A$47,0))</f>
        <v>Ophelia Mustofa</v>
      </c>
      <c r="K589" s="10" t="s">
        <v>107</v>
      </c>
      <c r="L589" s="10" t="s">
        <v>93</v>
      </c>
      <c r="M589" s="10" t="s">
        <v>59</v>
      </c>
      <c r="N589" s="10" t="s">
        <v>67</v>
      </c>
      <c r="O589" s="10" t="s">
        <v>76</v>
      </c>
      <c r="P589" s="10">
        <v>43353</v>
      </c>
      <c r="Q589" s="15">
        <v>16350.000000000002</v>
      </c>
      <c r="R589" s="15">
        <v>39000</v>
      </c>
      <c r="S589" s="15">
        <f>Table1[[#This Row],[Retail Price]]-Table1[[#This Row],[Cost Price]]</f>
        <v>22650</v>
      </c>
      <c r="T589" s="10">
        <v>42</v>
      </c>
      <c r="U589" s="15">
        <f>Table1[[#This Row],[Profit Margin]]*Table1[[#This Row],[Order Quantity]]</f>
        <v>951300</v>
      </c>
      <c r="V589" s="11">
        <v>0.05</v>
      </c>
      <c r="W589" s="15">
        <f t="shared" si="9"/>
        <v>47565</v>
      </c>
      <c r="X589" s="15">
        <f>Table1[[#This Row],[Sub Total]]-Table1[[#This Row],[Discount Rp]]</f>
        <v>903735</v>
      </c>
      <c r="Y589" s="15">
        <f ca="1">OFFSET(Helper!$C$3,MATCH(Data!$N$4:$N$1003,Helper!$C$4:$C$9,0),MATCH(Data!$O$4:$O$1003,Helper!$D$3:$F$3,0))</f>
        <v>10000</v>
      </c>
      <c r="Z589" s="16">
        <f ca="1">Table1[[#This Row],[Order Total]]+Table1[[#This Row],[Shipping Cost]]</f>
        <v>913735</v>
      </c>
    </row>
    <row r="590" spans="1:26" ht="15.75" customHeight="1" x14ac:dyDescent="0.3">
      <c r="A590" s="9" t="s">
        <v>1354</v>
      </c>
      <c r="B590" s="18">
        <v>43353</v>
      </c>
      <c r="C590" s="10">
        <f>YEAR(Table1[[#This Row],[Order Date]])</f>
        <v>2018</v>
      </c>
      <c r="D590" s="10" t="s">
        <v>1313</v>
      </c>
      <c r="E590" s="10" t="s">
        <v>172</v>
      </c>
      <c r="F590" s="10" t="s">
        <v>54</v>
      </c>
      <c r="G590" s="10" t="s">
        <v>72</v>
      </c>
      <c r="H590" s="10" t="s">
        <v>65</v>
      </c>
      <c r="I590" s="10" t="str">
        <f>VLOOKUP(Table1[[#This Row],[Account Manager ID]],Table2[[Employee ID]:[Full Name]],4,FALSE)</f>
        <v>Laras Nuraini</v>
      </c>
      <c r="J590" s="10" t="str">
        <f>INDEX(Employee!$D$4:$D$47,MATCH($H$4:$H$1003,Employee!$A$4:$A$47,0))</f>
        <v>Laras Nuraini</v>
      </c>
      <c r="K590" s="10" t="s">
        <v>57</v>
      </c>
      <c r="L590" s="10" t="s">
        <v>931</v>
      </c>
      <c r="M590" s="10" t="s">
        <v>59</v>
      </c>
      <c r="N590" s="10" t="s">
        <v>60</v>
      </c>
      <c r="O590" s="10" t="s">
        <v>61</v>
      </c>
      <c r="P590" s="10">
        <v>43355</v>
      </c>
      <c r="Q590" s="15">
        <v>27600</v>
      </c>
      <c r="R590" s="15">
        <v>43200</v>
      </c>
      <c r="S590" s="15">
        <f>Table1[[#This Row],[Retail Price]]-Table1[[#This Row],[Cost Price]]</f>
        <v>15600</v>
      </c>
      <c r="T590" s="10">
        <v>24</v>
      </c>
      <c r="U590" s="15">
        <f>Table1[[#This Row],[Profit Margin]]*Table1[[#This Row],[Order Quantity]]</f>
        <v>374400</v>
      </c>
      <c r="V590" s="11">
        <v>7.0000000000000007E-2</v>
      </c>
      <c r="W590" s="15">
        <f t="shared" si="9"/>
        <v>26208.000000000004</v>
      </c>
      <c r="X590" s="15">
        <f>Table1[[#This Row],[Sub Total]]-Table1[[#This Row],[Discount Rp]]</f>
        <v>348192</v>
      </c>
      <c r="Y590" s="15">
        <f ca="1">OFFSET(Helper!$C$3,MATCH(Data!$N$4:$N$1003,Helper!$C$4:$C$9,0),MATCH(Data!$O$4:$O$1003,Helper!$D$3:$F$3,0))</f>
        <v>15000</v>
      </c>
      <c r="Z590" s="16">
        <f ca="1">Table1[[#This Row],[Order Total]]+Table1[[#This Row],[Shipping Cost]]</f>
        <v>363192</v>
      </c>
    </row>
    <row r="591" spans="1:26" ht="15.75" customHeight="1" x14ac:dyDescent="0.3">
      <c r="A591" s="9" t="s">
        <v>1355</v>
      </c>
      <c r="B591" s="18">
        <v>43355</v>
      </c>
      <c r="C591" s="10">
        <f>YEAR(Table1[[#This Row],[Order Date]])</f>
        <v>2018</v>
      </c>
      <c r="D591" s="10" t="s">
        <v>1356</v>
      </c>
      <c r="E591" s="10" t="s">
        <v>189</v>
      </c>
      <c r="F591" s="10" t="s">
        <v>54</v>
      </c>
      <c r="G591" s="10" t="s">
        <v>72</v>
      </c>
      <c r="H591" s="10" t="s">
        <v>56</v>
      </c>
      <c r="I591" s="10" t="str">
        <f>VLOOKUP(Table1[[#This Row],[Account Manager ID]],Table2[[Employee ID]:[Full Name]],4,FALSE)</f>
        <v>Gaduh Pratama</v>
      </c>
      <c r="J591" s="10" t="str">
        <f>INDEX(Employee!$D$4:$D$47,MATCH($H$4:$H$1003,Employee!$A$4:$A$47,0))</f>
        <v>Gaduh Pratama</v>
      </c>
      <c r="K591" s="10" t="s">
        <v>107</v>
      </c>
      <c r="L591" s="10" t="s">
        <v>226</v>
      </c>
      <c r="M591" s="10" t="s">
        <v>81</v>
      </c>
      <c r="N591" s="10" t="s">
        <v>227</v>
      </c>
      <c r="O591" s="10" t="s">
        <v>76</v>
      </c>
      <c r="P591" s="10">
        <v>43357</v>
      </c>
      <c r="Q591" s="15">
        <v>132300</v>
      </c>
      <c r="R591" s="15">
        <v>314850</v>
      </c>
      <c r="S591" s="15">
        <f>Table1[[#This Row],[Retail Price]]-Table1[[#This Row],[Cost Price]]</f>
        <v>182550</v>
      </c>
      <c r="T591" s="10">
        <v>18</v>
      </c>
      <c r="U591" s="15">
        <f>Table1[[#This Row],[Profit Margin]]*Table1[[#This Row],[Order Quantity]]</f>
        <v>3285900</v>
      </c>
      <c r="V591" s="11">
        <v>0</v>
      </c>
      <c r="W591" s="15">
        <f t="shared" si="9"/>
        <v>0</v>
      </c>
      <c r="X591" s="15">
        <f>Table1[[#This Row],[Sub Total]]-Table1[[#This Row],[Discount Rp]]</f>
        <v>3285900</v>
      </c>
      <c r="Y591" s="15">
        <f ca="1">OFFSET(Helper!$C$3,MATCH(Data!$N$4:$N$1003,Helper!$C$4:$C$9,0),MATCH(Data!$O$4:$O$1003,Helper!$D$3:$F$3,0))</f>
        <v>40000</v>
      </c>
      <c r="Z591" s="16">
        <f ca="1">Table1[[#This Row],[Order Total]]+Table1[[#This Row],[Shipping Cost]]</f>
        <v>3325900</v>
      </c>
    </row>
    <row r="592" spans="1:26" ht="15.75" customHeight="1" x14ac:dyDescent="0.3">
      <c r="A592" s="9" t="s">
        <v>1357</v>
      </c>
      <c r="B592" s="18">
        <v>43355</v>
      </c>
      <c r="C592" s="10">
        <f>YEAR(Table1[[#This Row],[Order Date]])</f>
        <v>2018</v>
      </c>
      <c r="D592" s="10" t="s">
        <v>1096</v>
      </c>
      <c r="E592" s="10" t="s">
        <v>813</v>
      </c>
      <c r="F592" s="10" t="s">
        <v>54</v>
      </c>
      <c r="G592" s="10" t="s">
        <v>87</v>
      </c>
      <c r="H592" s="10" t="s">
        <v>65</v>
      </c>
      <c r="I592" s="10" t="str">
        <f>VLOOKUP(Table1[[#This Row],[Account Manager ID]],Table2[[Employee ID]:[Full Name]],4,FALSE)</f>
        <v>Laras Nuraini</v>
      </c>
      <c r="J592" s="10" t="str">
        <f>INDEX(Employee!$D$4:$D$47,MATCH($H$4:$H$1003,Employee!$A$4:$A$47,0))</f>
        <v>Laras Nuraini</v>
      </c>
      <c r="K592" s="10" t="s">
        <v>117</v>
      </c>
      <c r="L592" s="10" t="s">
        <v>216</v>
      </c>
      <c r="M592" s="10" t="s">
        <v>81</v>
      </c>
      <c r="N592" s="10" t="s">
        <v>136</v>
      </c>
      <c r="O592" s="10" t="s">
        <v>61</v>
      </c>
      <c r="P592" s="10">
        <v>43356</v>
      </c>
      <c r="Q592" s="15">
        <v>28050</v>
      </c>
      <c r="R592" s="15">
        <v>121799.99999999999</v>
      </c>
      <c r="S592" s="15">
        <f>Table1[[#This Row],[Retail Price]]-Table1[[#This Row],[Cost Price]]</f>
        <v>93749.999999999985</v>
      </c>
      <c r="T592" s="10">
        <v>3</v>
      </c>
      <c r="U592" s="15">
        <f>Table1[[#This Row],[Profit Margin]]*Table1[[#This Row],[Order Quantity]]</f>
        <v>281249.99999999994</v>
      </c>
      <c r="V592" s="11">
        <v>0.03</v>
      </c>
      <c r="W592" s="15">
        <f t="shared" si="9"/>
        <v>8437.4999999999982</v>
      </c>
      <c r="X592" s="15">
        <f>Table1[[#This Row],[Sub Total]]-Table1[[#This Row],[Discount Rp]]</f>
        <v>272812.49999999994</v>
      </c>
      <c r="Y592" s="15">
        <f ca="1">OFFSET(Helper!$C$3,MATCH(Data!$N$4:$N$1003,Helper!$C$4:$C$9,0),MATCH(Data!$O$4:$O$1003,Helper!$D$3:$F$3,0))</f>
        <v>10000</v>
      </c>
      <c r="Z592" s="16">
        <f ca="1">Table1[[#This Row],[Order Total]]+Table1[[#This Row],[Shipping Cost]]</f>
        <v>282812.49999999994</v>
      </c>
    </row>
    <row r="593" spans="1:26" ht="15.75" customHeight="1" x14ac:dyDescent="0.3">
      <c r="A593" s="9" t="s">
        <v>1358</v>
      </c>
      <c r="B593" s="18">
        <v>43355</v>
      </c>
      <c r="C593" s="10">
        <f>YEAR(Table1[[#This Row],[Order Date]])</f>
        <v>2018</v>
      </c>
      <c r="D593" s="10" t="s">
        <v>1359</v>
      </c>
      <c r="E593" s="10" t="s">
        <v>521</v>
      </c>
      <c r="F593" s="10" t="s">
        <v>71</v>
      </c>
      <c r="G593" s="10" t="s">
        <v>55</v>
      </c>
      <c r="H593" s="10" t="s">
        <v>88</v>
      </c>
      <c r="I593" s="10" t="str">
        <f>VLOOKUP(Table1[[#This Row],[Account Manager ID]],Table2[[Employee ID]:[Full Name]],4,FALSE)</f>
        <v>Bagiya Sihombing</v>
      </c>
      <c r="J593" s="10" t="str">
        <f>INDEX(Employee!$D$4:$D$47,MATCH($H$4:$H$1003,Employee!$A$4:$A$47,0))</f>
        <v>Bagiya Sihombing</v>
      </c>
      <c r="K593" s="10" t="s">
        <v>92</v>
      </c>
      <c r="L593" s="10" t="s">
        <v>546</v>
      </c>
      <c r="M593" s="10" t="s">
        <v>59</v>
      </c>
      <c r="N593" s="10" t="s">
        <v>60</v>
      </c>
      <c r="O593" s="10" t="s">
        <v>61</v>
      </c>
      <c r="P593" s="10">
        <v>43360</v>
      </c>
      <c r="Q593" s="15">
        <v>224250</v>
      </c>
      <c r="R593" s="15">
        <v>521399.99999999994</v>
      </c>
      <c r="S593" s="15">
        <f>Table1[[#This Row],[Retail Price]]-Table1[[#This Row],[Cost Price]]</f>
        <v>297149.99999999994</v>
      </c>
      <c r="T593" s="10">
        <v>43</v>
      </c>
      <c r="U593" s="15">
        <f>Table1[[#This Row],[Profit Margin]]*Table1[[#This Row],[Order Quantity]]</f>
        <v>12777449.999999998</v>
      </c>
      <c r="V593" s="11">
        <v>0.08</v>
      </c>
      <c r="W593" s="15">
        <f t="shared" si="9"/>
        <v>1022195.9999999999</v>
      </c>
      <c r="X593" s="15">
        <f>Table1[[#This Row],[Sub Total]]-Table1[[#This Row],[Discount Rp]]</f>
        <v>11755253.999999998</v>
      </c>
      <c r="Y593" s="15">
        <f ca="1">OFFSET(Helper!$C$3,MATCH(Data!$N$4:$N$1003,Helper!$C$4:$C$9,0),MATCH(Data!$O$4:$O$1003,Helper!$D$3:$F$3,0))</f>
        <v>15000</v>
      </c>
      <c r="Z593" s="16">
        <f ca="1">Table1[[#This Row],[Order Total]]+Table1[[#This Row],[Shipping Cost]]</f>
        <v>11770253.999999998</v>
      </c>
    </row>
    <row r="594" spans="1:26" ht="15.75" customHeight="1" x14ac:dyDescent="0.3">
      <c r="A594" s="9" t="s">
        <v>1360</v>
      </c>
      <c r="B594" s="18">
        <v>43356</v>
      </c>
      <c r="C594" s="10">
        <f>YEAR(Table1[[#This Row],[Order Date]])</f>
        <v>2018</v>
      </c>
      <c r="D594" s="10" t="s">
        <v>1037</v>
      </c>
      <c r="E594" s="10" t="s">
        <v>233</v>
      </c>
      <c r="F594" s="10" t="s">
        <v>54</v>
      </c>
      <c r="G594" s="10" t="s">
        <v>72</v>
      </c>
      <c r="H594" s="10" t="s">
        <v>65</v>
      </c>
      <c r="I594" s="10" t="str">
        <f>VLOOKUP(Table1[[#This Row],[Account Manager ID]],Table2[[Employee ID]:[Full Name]],4,FALSE)</f>
        <v>Laras Nuraini</v>
      </c>
      <c r="J594" s="10" t="str">
        <f>INDEX(Employee!$D$4:$D$47,MATCH($H$4:$H$1003,Employee!$A$4:$A$47,0))</f>
        <v>Laras Nuraini</v>
      </c>
      <c r="K594" s="10" t="s">
        <v>92</v>
      </c>
      <c r="L594" s="10" t="s">
        <v>775</v>
      </c>
      <c r="M594" s="10" t="s">
        <v>59</v>
      </c>
      <c r="N594" s="10" t="s">
        <v>136</v>
      </c>
      <c r="O594" s="10" t="s">
        <v>61</v>
      </c>
      <c r="P594" s="10">
        <v>43361</v>
      </c>
      <c r="Q594" s="15">
        <v>62850.000000000007</v>
      </c>
      <c r="R594" s="15">
        <v>153450</v>
      </c>
      <c r="S594" s="15">
        <f>Table1[[#This Row],[Retail Price]]-Table1[[#This Row],[Cost Price]]</f>
        <v>90600</v>
      </c>
      <c r="T594" s="10">
        <v>35</v>
      </c>
      <c r="U594" s="15">
        <f>Table1[[#This Row],[Profit Margin]]*Table1[[#This Row],[Order Quantity]]</f>
        <v>3171000</v>
      </c>
      <c r="V594" s="11">
        <v>0.01</v>
      </c>
      <c r="W594" s="15">
        <f t="shared" si="9"/>
        <v>31710</v>
      </c>
      <c r="X594" s="15">
        <f>Table1[[#This Row],[Sub Total]]-Table1[[#This Row],[Discount Rp]]</f>
        <v>3139290</v>
      </c>
      <c r="Y594" s="15">
        <f ca="1">OFFSET(Helper!$C$3,MATCH(Data!$N$4:$N$1003,Helper!$C$4:$C$9,0),MATCH(Data!$O$4:$O$1003,Helper!$D$3:$F$3,0))</f>
        <v>10000</v>
      </c>
      <c r="Z594" s="16">
        <f ca="1">Table1[[#This Row],[Order Total]]+Table1[[#This Row],[Shipping Cost]]</f>
        <v>3149290</v>
      </c>
    </row>
    <row r="595" spans="1:26" ht="15.75" customHeight="1" x14ac:dyDescent="0.3">
      <c r="A595" s="9" t="s">
        <v>1361</v>
      </c>
      <c r="B595" s="18">
        <v>43363</v>
      </c>
      <c r="C595" s="10">
        <f>YEAR(Table1[[#This Row],[Order Date]])</f>
        <v>2018</v>
      </c>
      <c r="D595" s="10" t="s">
        <v>1362</v>
      </c>
      <c r="E595" s="10" t="s">
        <v>1363</v>
      </c>
      <c r="F595" s="10" t="s">
        <v>71</v>
      </c>
      <c r="G595" s="10" t="s">
        <v>87</v>
      </c>
      <c r="H595" s="10" t="s">
        <v>122</v>
      </c>
      <c r="I595" s="10" t="str">
        <f>VLOOKUP(Table1[[#This Row],[Account Manager ID]],Table2[[Employee ID]:[Full Name]],4,FALSE)</f>
        <v>Ophelia Mustofa</v>
      </c>
      <c r="J595" s="10" t="str">
        <f>INDEX(Employee!$D$4:$D$47,MATCH($H$4:$H$1003,Employee!$A$4:$A$47,0))</f>
        <v>Ophelia Mustofa</v>
      </c>
      <c r="K595" s="10" t="s">
        <v>74</v>
      </c>
      <c r="L595" s="10" t="s">
        <v>573</v>
      </c>
      <c r="M595" s="10" t="s">
        <v>81</v>
      </c>
      <c r="N595" s="10" t="s">
        <v>60</v>
      </c>
      <c r="O595" s="10" t="s">
        <v>61</v>
      </c>
      <c r="P595" s="10">
        <v>43365</v>
      </c>
      <c r="Q595" s="15">
        <v>936000</v>
      </c>
      <c r="R595" s="15">
        <v>2339850</v>
      </c>
      <c r="S595" s="15">
        <f>Table1[[#This Row],[Retail Price]]-Table1[[#This Row],[Cost Price]]</f>
        <v>1403850</v>
      </c>
      <c r="T595" s="10">
        <v>21</v>
      </c>
      <c r="U595" s="15">
        <f>Table1[[#This Row],[Profit Margin]]*Table1[[#This Row],[Order Quantity]]</f>
        <v>29480850</v>
      </c>
      <c r="V595" s="11">
        <v>0.08</v>
      </c>
      <c r="W595" s="15">
        <f t="shared" si="9"/>
        <v>2358468</v>
      </c>
      <c r="X595" s="15">
        <f>Table1[[#This Row],[Sub Total]]-Table1[[#This Row],[Discount Rp]]</f>
        <v>27122382</v>
      </c>
      <c r="Y595" s="15">
        <f ca="1">OFFSET(Helper!$C$3,MATCH(Data!$N$4:$N$1003,Helper!$C$4:$C$9,0),MATCH(Data!$O$4:$O$1003,Helper!$D$3:$F$3,0))</f>
        <v>15000</v>
      </c>
      <c r="Z595" s="16">
        <f ca="1">Table1[[#This Row],[Order Total]]+Table1[[#This Row],[Shipping Cost]]</f>
        <v>27137382</v>
      </c>
    </row>
    <row r="596" spans="1:26" ht="15.75" customHeight="1" x14ac:dyDescent="0.3">
      <c r="A596" s="9" t="s">
        <v>1364</v>
      </c>
      <c r="B596" s="18">
        <v>43363</v>
      </c>
      <c r="C596" s="10">
        <f>YEAR(Table1[[#This Row],[Order Date]])</f>
        <v>2018</v>
      </c>
      <c r="D596" s="10" t="s">
        <v>192</v>
      </c>
      <c r="E596" s="10" t="s">
        <v>193</v>
      </c>
      <c r="F596" s="10" t="s">
        <v>71</v>
      </c>
      <c r="G596" s="10" t="s">
        <v>55</v>
      </c>
      <c r="H596" s="10" t="s">
        <v>194</v>
      </c>
      <c r="I596" s="10" t="str">
        <f>VLOOKUP(Table1[[#This Row],[Account Manager ID]],Table2[[Employee ID]:[Full Name]],4,FALSE)</f>
        <v>Nabila Prakasa</v>
      </c>
      <c r="J596" s="10" t="str">
        <f>INDEX(Employee!$D$4:$D$47,MATCH($H$4:$H$1003,Employee!$A$4:$A$47,0))</f>
        <v>Nabila Prakasa</v>
      </c>
      <c r="K596" s="10" t="s">
        <v>107</v>
      </c>
      <c r="L596" s="10" t="s">
        <v>751</v>
      </c>
      <c r="M596" s="10" t="s">
        <v>81</v>
      </c>
      <c r="N596" s="10" t="s">
        <v>459</v>
      </c>
      <c r="O596" s="10" t="s">
        <v>61</v>
      </c>
      <c r="P596" s="10">
        <v>43364</v>
      </c>
      <c r="Q596" s="15">
        <v>5669850</v>
      </c>
      <c r="R596" s="15">
        <v>8999850</v>
      </c>
      <c r="S596" s="15">
        <f>Table1[[#This Row],[Retail Price]]-Table1[[#This Row],[Cost Price]]</f>
        <v>3330000</v>
      </c>
      <c r="T596" s="10">
        <v>41</v>
      </c>
      <c r="U596" s="15">
        <f>Table1[[#This Row],[Profit Margin]]*Table1[[#This Row],[Order Quantity]]</f>
        <v>136530000</v>
      </c>
      <c r="V596" s="11">
        <v>0.09</v>
      </c>
      <c r="W596" s="15">
        <f t="shared" si="9"/>
        <v>12287700</v>
      </c>
      <c r="X596" s="15">
        <f>Table1[[#This Row],[Sub Total]]-Table1[[#This Row],[Discount Rp]]</f>
        <v>124242300</v>
      </c>
      <c r="Y596" s="15">
        <f ca="1">OFFSET(Helper!$C$3,MATCH(Data!$N$4:$N$1003,Helper!$C$4:$C$9,0),MATCH(Data!$O$4:$O$1003,Helper!$D$3:$F$3,0))</f>
        <v>50000</v>
      </c>
      <c r="Z596" s="16">
        <f ca="1">Table1[[#This Row],[Order Total]]+Table1[[#This Row],[Shipping Cost]]</f>
        <v>124292300</v>
      </c>
    </row>
    <row r="597" spans="1:26" ht="15.75" customHeight="1" x14ac:dyDescent="0.3">
      <c r="A597" s="9" t="s">
        <v>1365</v>
      </c>
      <c r="B597" s="18">
        <v>43365</v>
      </c>
      <c r="C597" s="10">
        <f>YEAR(Table1[[#This Row],[Order Date]])</f>
        <v>2018</v>
      </c>
      <c r="D597" s="10" t="s">
        <v>1366</v>
      </c>
      <c r="E597" s="10" t="s">
        <v>1296</v>
      </c>
      <c r="F597" s="10" t="s">
        <v>71</v>
      </c>
      <c r="G597" s="10" t="s">
        <v>72</v>
      </c>
      <c r="H597" s="10" t="s">
        <v>304</v>
      </c>
      <c r="I597" s="10" t="str">
        <f>VLOOKUP(Table1[[#This Row],[Account Manager ID]],Table2[[Employee ID]:[Full Name]],4,FALSE)</f>
        <v>Sutan Tirtayasa Wasita</v>
      </c>
      <c r="J597" s="10" t="str">
        <f>INDEX(Employee!$D$4:$D$47,MATCH($H$4:$H$1003,Employee!$A$4:$A$47,0))</f>
        <v>Sutan Tirtayasa Wasita</v>
      </c>
      <c r="K597" s="10" t="s">
        <v>74</v>
      </c>
      <c r="L597" s="10" t="s">
        <v>98</v>
      </c>
      <c r="M597" s="10" t="s">
        <v>59</v>
      </c>
      <c r="N597" s="10" t="s">
        <v>60</v>
      </c>
      <c r="O597" s="10" t="s">
        <v>61</v>
      </c>
      <c r="P597" s="10">
        <v>43367</v>
      </c>
      <c r="Q597" s="15">
        <v>1490850</v>
      </c>
      <c r="R597" s="15">
        <v>2443950</v>
      </c>
      <c r="S597" s="15">
        <f>Table1[[#This Row],[Retail Price]]-Table1[[#This Row],[Cost Price]]</f>
        <v>953100</v>
      </c>
      <c r="T597" s="10">
        <v>36</v>
      </c>
      <c r="U597" s="15">
        <f>Table1[[#This Row],[Profit Margin]]*Table1[[#This Row],[Order Quantity]]</f>
        <v>34311600</v>
      </c>
      <c r="V597" s="11">
        <v>0.09</v>
      </c>
      <c r="W597" s="15">
        <f t="shared" si="9"/>
        <v>3088044</v>
      </c>
      <c r="X597" s="15">
        <f>Table1[[#This Row],[Sub Total]]-Table1[[#This Row],[Discount Rp]]</f>
        <v>31223556</v>
      </c>
      <c r="Y597" s="15">
        <f ca="1">OFFSET(Helper!$C$3,MATCH(Data!$N$4:$N$1003,Helper!$C$4:$C$9,0),MATCH(Data!$O$4:$O$1003,Helper!$D$3:$F$3,0))</f>
        <v>15000</v>
      </c>
      <c r="Z597" s="16">
        <f ca="1">Table1[[#This Row],[Order Total]]+Table1[[#This Row],[Shipping Cost]]</f>
        <v>31238556</v>
      </c>
    </row>
    <row r="598" spans="1:26" ht="15.75" customHeight="1" x14ac:dyDescent="0.3">
      <c r="A598" s="9" t="s">
        <v>1367</v>
      </c>
      <c r="B598" s="18">
        <v>43365</v>
      </c>
      <c r="C598" s="10">
        <f>YEAR(Table1[[#This Row],[Order Date]])</f>
        <v>2018</v>
      </c>
      <c r="D598" s="10" t="s">
        <v>333</v>
      </c>
      <c r="E598" s="10" t="s">
        <v>334</v>
      </c>
      <c r="F598" s="10" t="s">
        <v>54</v>
      </c>
      <c r="G598" s="10" t="s">
        <v>72</v>
      </c>
      <c r="H598" s="10" t="s">
        <v>65</v>
      </c>
      <c r="I598" s="10" t="str">
        <f>VLOOKUP(Table1[[#This Row],[Account Manager ID]],Table2[[Employee ID]:[Full Name]],4,FALSE)</f>
        <v>Laras Nuraini</v>
      </c>
      <c r="J598" s="10" t="str">
        <f>INDEX(Employee!$D$4:$D$47,MATCH($H$4:$H$1003,Employee!$A$4:$A$47,0))</f>
        <v>Laras Nuraini</v>
      </c>
      <c r="K598" s="10" t="s">
        <v>92</v>
      </c>
      <c r="L598" s="10" t="s">
        <v>162</v>
      </c>
      <c r="M598" s="10" t="s">
        <v>59</v>
      </c>
      <c r="N598" s="10" t="s">
        <v>60</v>
      </c>
      <c r="O598" s="10" t="s">
        <v>61</v>
      </c>
      <c r="P598" s="10">
        <v>43369</v>
      </c>
      <c r="Q598" s="15">
        <v>52800</v>
      </c>
      <c r="R598" s="15">
        <v>85200</v>
      </c>
      <c r="S598" s="15">
        <f>Table1[[#This Row],[Retail Price]]-Table1[[#This Row],[Cost Price]]</f>
        <v>32400</v>
      </c>
      <c r="T598" s="10">
        <v>8</v>
      </c>
      <c r="U598" s="15">
        <f>Table1[[#This Row],[Profit Margin]]*Table1[[#This Row],[Order Quantity]]</f>
        <v>259200</v>
      </c>
      <c r="V598" s="11">
        <v>0.05</v>
      </c>
      <c r="W598" s="15">
        <f t="shared" si="9"/>
        <v>12960</v>
      </c>
      <c r="X598" s="15">
        <f>Table1[[#This Row],[Sub Total]]-Table1[[#This Row],[Discount Rp]]</f>
        <v>246240</v>
      </c>
      <c r="Y598" s="15">
        <f ca="1">OFFSET(Helper!$C$3,MATCH(Data!$N$4:$N$1003,Helper!$C$4:$C$9,0),MATCH(Data!$O$4:$O$1003,Helper!$D$3:$F$3,0))</f>
        <v>15000</v>
      </c>
      <c r="Z598" s="16">
        <f ca="1">Table1[[#This Row],[Order Total]]+Table1[[#This Row],[Shipping Cost]]</f>
        <v>261240</v>
      </c>
    </row>
    <row r="599" spans="1:26" ht="15.75" customHeight="1" x14ac:dyDescent="0.3">
      <c r="A599" s="9" t="s">
        <v>1368</v>
      </c>
      <c r="B599" s="18">
        <v>43366</v>
      </c>
      <c r="C599" s="10">
        <f>YEAR(Table1[[#This Row],[Order Date]])</f>
        <v>2018</v>
      </c>
      <c r="D599" s="10" t="s">
        <v>1369</v>
      </c>
      <c r="E599" s="10" t="s">
        <v>1335</v>
      </c>
      <c r="F599" s="10" t="s">
        <v>71</v>
      </c>
      <c r="G599" s="10" t="s">
        <v>87</v>
      </c>
      <c r="H599" s="10" t="s">
        <v>122</v>
      </c>
      <c r="I599" s="10" t="str">
        <f>VLOOKUP(Table1[[#This Row],[Account Manager ID]],Table2[[Employee ID]:[Full Name]],4,FALSE)</f>
        <v>Ophelia Mustofa</v>
      </c>
      <c r="J599" s="10" t="str">
        <f>INDEX(Employee!$D$4:$D$47,MATCH($H$4:$H$1003,Employee!$A$4:$A$47,0))</f>
        <v>Ophelia Mustofa</v>
      </c>
      <c r="K599" s="10" t="s">
        <v>92</v>
      </c>
      <c r="L599" s="10" t="s">
        <v>634</v>
      </c>
      <c r="M599" s="10" t="s">
        <v>59</v>
      </c>
      <c r="N599" s="10" t="s">
        <v>136</v>
      </c>
      <c r="O599" s="10" t="s">
        <v>61</v>
      </c>
      <c r="P599" s="10">
        <v>43366</v>
      </c>
      <c r="Q599" s="15">
        <v>52650</v>
      </c>
      <c r="R599" s="15">
        <v>128550</v>
      </c>
      <c r="S599" s="15">
        <f>Table1[[#This Row],[Retail Price]]-Table1[[#This Row],[Cost Price]]</f>
        <v>75900</v>
      </c>
      <c r="T599" s="10">
        <v>22</v>
      </c>
      <c r="U599" s="15">
        <f>Table1[[#This Row],[Profit Margin]]*Table1[[#This Row],[Order Quantity]]</f>
        <v>1669800</v>
      </c>
      <c r="V599" s="11">
        <v>0.1</v>
      </c>
      <c r="W599" s="15">
        <f t="shared" si="9"/>
        <v>166980</v>
      </c>
      <c r="X599" s="15">
        <f>Table1[[#This Row],[Sub Total]]-Table1[[#This Row],[Discount Rp]]</f>
        <v>1502820</v>
      </c>
      <c r="Y599" s="15">
        <f ca="1">OFFSET(Helper!$C$3,MATCH(Data!$N$4:$N$1003,Helper!$C$4:$C$9,0),MATCH(Data!$O$4:$O$1003,Helper!$D$3:$F$3,0))</f>
        <v>10000</v>
      </c>
      <c r="Z599" s="16">
        <f ca="1">Table1[[#This Row],[Order Total]]+Table1[[#This Row],[Shipping Cost]]</f>
        <v>1512820</v>
      </c>
    </row>
    <row r="600" spans="1:26" ht="15.75" customHeight="1" x14ac:dyDescent="0.3">
      <c r="A600" s="9" t="s">
        <v>1370</v>
      </c>
      <c r="B600" s="18">
        <v>43366</v>
      </c>
      <c r="C600" s="10">
        <f>YEAR(Table1[[#This Row],[Order Date]])</f>
        <v>2018</v>
      </c>
      <c r="D600" s="10" t="s">
        <v>1155</v>
      </c>
      <c r="E600" s="10" t="s">
        <v>101</v>
      </c>
      <c r="F600" s="10" t="s">
        <v>71</v>
      </c>
      <c r="G600" s="10" t="s">
        <v>87</v>
      </c>
      <c r="H600" s="10" t="s">
        <v>97</v>
      </c>
      <c r="I600" s="10" t="str">
        <f>VLOOKUP(Table1[[#This Row],[Account Manager ID]],Table2[[Employee ID]:[Full Name]],4,FALSE)</f>
        <v>Violet Mentari</v>
      </c>
      <c r="J600" s="10" t="str">
        <f>INDEX(Employee!$D$4:$D$47,MATCH($H$4:$H$1003,Employee!$A$4:$A$47,0))</f>
        <v>Violet Mentari</v>
      </c>
      <c r="K600" s="10" t="s">
        <v>57</v>
      </c>
      <c r="L600" s="10" t="s">
        <v>661</v>
      </c>
      <c r="M600" s="10" t="s">
        <v>59</v>
      </c>
      <c r="N600" s="10" t="s">
        <v>67</v>
      </c>
      <c r="O600" s="10" t="s">
        <v>76</v>
      </c>
      <c r="P600" s="10">
        <v>43368</v>
      </c>
      <c r="Q600" s="15">
        <v>13950</v>
      </c>
      <c r="R600" s="15">
        <v>24000</v>
      </c>
      <c r="S600" s="15">
        <f>Table1[[#This Row],[Retail Price]]-Table1[[#This Row],[Cost Price]]</f>
        <v>10050</v>
      </c>
      <c r="T600" s="10">
        <v>24</v>
      </c>
      <c r="U600" s="15">
        <f>Table1[[#This Row],[Profit Margin]]*Table1[[#This Row],[Order Quantity]]</f>
        <v>241200</v>
      </c>
      <c r="V600" s="11">
        <v>0.04</v>
      </c>
      <c r="W600" s="15">
        <f t="shared" si="9"/>
        <v>9648</v>
      </c>
      <c r="X600" s="15">
        <f>Table1[[#This Row],[Sub Total]]-Table1[[#This Row],[Discount Rp]]</f>
        <v>231552</v>
      </c>
      <c r="Y600" s="15">
        <f ca="1">OFFSET(Helper!$C$3,MATCH(Data!$N$4:$N$1003,Helper!$C$4:$C$9,0),MATCH(Data!$O$4:$O$1003,Helper!$D$3:$F$3,0))</f>
        <v>10000</v>
      </c>
      <c r="Z600" s="16">
        <f ca="1">Table1[[#This Row],[Order Total]]+Table1[[#This Row],[Shipping Cost]]</f>
        <v>241552</v>
      </c>
    </row>
    <row r="601" spans="1:26" ht="15.75" customHeight="1" x14ac:dyDescent="0.3">
      <c r="A601" s="9" t="s">
        <v>1371</v>
      </c>
      <c r="B601" s="18">
        <v>43368</v>
      </c>
      <c r="C601" s="10">
        <f>YEAR(Table1[[#This Row],[Order Date]])</f>
        <v>2018</v>
      </c>
      <c r="D601" s="10" t="s">
        <v>408</v>
      </c>
      <c r="E601" s="10" t="s">
        <v>165</v>
      </c>
      <c r="F601" s="10" t="s">
        <v>71</v>
      </c>
      <c r="G601" s="10" t="s">
        <v>72</v>
      </c>
      <c r="H601" s="10" t="s">
        <v>88</v>
      </c>
      <c r="I601" s="10" t="str">
        <f>VLOOKUP(Table1[[#This Row],[Account Manager ID]],Table2[[Employee ID]:[Full Name]],4,FALSE)</f>
        <v>Bagiya Sihombing</v>
      </c>
      <c r="J601" s="10" t="str">
        <f>INDEX(Employee!$D$4:$D$47,MATCH($H$4:$H$1003,Employee!$A$4:$A$47,0))</f>
        <v>Bagiya Sihombing</v>
      </c>
      <c r="K601" s="10" t="s">
        <v>107</v>
      </c>
      <c r="L601" s="10" t="s">
        <v>252</v>
      </c>
      <c r="M601" s="10" t="s">
        <v>253</v>
      </c>
      <c r="N601" s="10" t="s">
        <v>136</v>
      </c>
      <c r="O601" s="10" t="s">
        <v>61</v>
      </c>
      <c r="P601" s="10">
        <v>43371</v>
      </c>
      <c r="Q601" s="15">
        <v>82500</v>
      </c>
      <c r="R601" s="15">
        <v>183300</v>
      </c>
      <c r="S601" s="15">
        <f>Table1[[#This Row],[Retail Price]]-Table1[[#This Row],[Cost Price]]</f>
        <v>100800</v>
      </c>
      <c r="T601" s="10">
        <v>8</v>
      </c>
      <c r="U601" s="15">
        <f>Table1[[#This Row],[Profit Margin]]*Table1[[#This Row],[Order Quantity]]</f>
        <v>806400</v>
      </c>
      <c r="V601" s="11">
        <v>0.1</v>
      </c>
      <c r="W601" s="15">
        <f t="shared" si="9"/>
        <v>80640</v>
      </c>
      <c r="X601" s="15">
        <f>Table1[[#This Row],[Sub Total]]-Table1[[#This Row],[Discount Rp]]</f>
        <v>725760</v>
      </c>
      <c r="Y601" s="15">
        <f ca="1">OFFSET(Helper!$C$3,MATCH(Data!$N$4:$N$1003,Helper!$C$4:$C$9,0),MATCH(Data!$O$4:$O$1003,Helper!$D$3:$F$3,0))</f>
        <v>10000</v>
      </c>
      <c r="Z601" s="16">
        <f ca="1">Table1[[#This Row],[Order Total]]+Table1[[#This Row],[Shipping Cost]]</f>
        <v>735760</v>
      </c>
    </row>
    <row r="602" spans="1:26" ht="15.75" customHeight="1" x14ac:dyDescent="0.3">
      <c r="A602" s="9" t="s">
        <v>1372</v>
      </c>
      <c r="B602" s="18">
        <v>43369</v>
      </c>
      <c r="C602" s="10">
        <f>YEAR(Table1[[#This Row],[Order Date]])</f>
        <v>2018</v>
      </c>
      <c r="D602" s="10" t="s">
        <v>1373</v>
      </c>
      <c r="E602" s="10" t="s">
        <v>319</v>
      </c>
      <c r="F602" s="10" t="s">
        <v>54</v>
      </c>
      <c r="G602" s="10" t="s">
        <v>55</v>
      </c>
      <c r="H602" s="10" t="s">
        <v>65</v>
      </c>
      <c r="I602" s="10" t="str">
        <f>VLOOKUP(Table1[[#This Row],[Account Manager ID]],Table2[[Employee ID]:[Full Name]],4,FALSE)</f>
        <v>Laras Nuraini</v>
      </c>
      <c r="J602" s="10" t="str">
        <f>INDEX(Employee!$D$4:$D$47,MATCH($H$4:$H$1003,Employee!$A$4:$A$47,0))</f>
        <v>Laras Nuraini</v>
      </c>
      <c r="K602" s="10" t="s">
        <v>57</v>
      </c>
      <c r="L602" s="10" t="s">
        <v>390</v>
      </c>
      <c r="M602" s="10" t="s">
        <v>59</v>
      </c>
      <c r="N602" s="10" t="s">
        <v>67</v>
      </c>
      <c r="O602" s="10" t="s">
        <v>61</v>
      </c>
      <c r="P602" s="10">
        <v>43370</v>
      </c>
      <c r="Q602" s="15">
        <v>19650</v>
      </c>
      <c r="R602" s="15">
        <v>42600</v>
      </c>
      <c r="S602" s="15">
        <f>Table1[[#This Row],[Retail Price]]-Table1[[#This Row],[Cost Price]]</f>
        <v>22950</v>
      </c>
      <c r="T602" s="10">
        <v>23</v>
      </c>
      <c r="U602" s="15">
        <f>Table1[[#This Row],[Profit Margin]]*Table1[[#This Row],[Order Quantity]]</f>
        <v>527850</v>
      </c>
      <c r="V602" s="11">
        <v>0.06</v>
      </c>
      <c r="W602" s="15">
        <f t="shared" si="9"/>
        <v>31671</v>
      </c>
      <c r="X602" s="15">
        <f>Table1[[#This Row],[Sub Total]]-Table1[[#This Row],[Discount Rp]]</f>
        <v>496179</v>
      </c>
      <c r="Y602" s="15">
        <f ca="1">OFFSET(Helper!$C$3,MATCH(Data!$N$4:$N$1003,Helper!$C$4:$C$9,0),MATCH(Data!$O$4:$O$1003,Helper!$D$3:$F$3,0))</f>
        <v>5000</v>
      </c>
      <c r="Z602" s="16">
        <f ca="1">Table1[[#This Row],[Order Total]]+Table1[[#This Row],[Shipping Cost]]</f>
        <v>501179</v>
      </c>
    </row>
    <row r="603" spans="1:26" ht="15.75" customHeight="1" x14ac:dyDescent="0.3">
      <c r="A603" s="9" t="s">
        <v>1374</v>
      </c>
      <c r="B603" s="18">
        <v>43375</v>
      </c>
      <c r="C603" s="10">
        <f>YEAR(Table1[[#This Row],[Order Date]])</f>
        <v>2018</v>
      </c>
      <c r="D603" s="10" t="s">
        <v>1375</v>
      </c>
      <c r="E603" s="10" t="s">
        <v>340</v>
      </c>
      <c r="F603" s="10" t="s">
        <v>54</v>
      </c>
      <c r="G603" s="10" t="s">
        <v>106</v>
      </c>
      <c r="H603" s="10" t="s">
        <v>65</v>
      </c>
      <c r="I603" s="10" t="str">
        <f>VLOOKUP(Table1[[#This Row],[Account Manager ID]],Table2[[Employee ID]:[Full Name]],4,FALSE)</f>
        <v>Laras Nuraini</v>
      </c>
      <c r="J603" s="10" t="str">
        <f>INDEX(Employee!$D$4:$D$47,MATCH($H$4:$H$1003,Employee!$A$4:$A$47,0))</f>
        <v>Laras Nuraini</v>
      </c>
      <c r="K603" s="10" t="s">
        <v>107</v>
      </c>
      <c r="L603" s="10" t="s">
        <v>142</v>
      </c>
      <c r="M603" s="10" t="s">
        <v>59</v>
      </c>
      <c r="N603" s="10" t="s">
        <v>60</v>
      </c>
      <c r="O603" s="10" t="s">
        <v>61</v>
      </c>
      <c r="P603" s="10">
        <v>43377</v>
      </c>
      <c r="Q603" s="15">
        <v>68850</v>
      </c>
      <c r="R603" s="15">
        <v>109200</v>
      </c>
      <c r="S603" s="15">
        <f>Table1[[#This Row],[Retail Price]]-Table1[[#This Row],[Cost Price]]</f>
        <v>40350</v>
      </c>
      <c r="T603" s="10">
        <v>16</v>
      </c>
      <c r="U603" s="15">
        <f>Table1[[#This Row],[Profit Margin]]*Table1[[#This Row],[Order Quantity]]</f>
        <v>645600</v>
      </c>
      <c r="V603" s="11">
        <v>7.0000000000000007E-2</v>
      </c>
      <c r="W603" s="15">
        <f t="shared" si="9"/>
        <v>45192.000000000007</v>
      </c>
      <c r="X603" s="15">
        <f>Table1[[#This Row],[Sub Total]]-Table1[[#This Row],[Discount Rp]]</f>
        <v>600408</v>
      </c>
      <c r="Y603" s="15">
        <f ca="1">OFFSET(Helper!$C$3,MATCH(Data!$N$4:$N$1003,Helper!$C$4:$C$9,0),MATCH(Data!$O$4:$O$1003,Helper!$D$3:$F$3,0))</f>
        <v>15000</v>
      </c>
      <c r="Z603" s="16">
        <f ca="1">Table1[[#This Row],[Order Total]]+Table1[[#This Row],[Shipping Cost]]</f>
        <v>615408</v>
      </c>
    </row>
    <row r="604" spans="1:26" ht="15.75" customHeight="1" x14ac:dyDescent="0.3">
      <c r="A604" s="9" t="s">
        <v>1376</v>
      </c>
      <c r="B604" s="18">
        <v>43376</v>
      </c>
      <c r="C604" s="10">
        <f>YEAR(Table1[[#This Row],[Order Date]])</f>
        <v>2018</v>
      </c>
      <c r="D604" s="10" t="s">
        <v>1377</v>
      </c>
      <c r="E604" s="10" t="s">
        <v>222</v>
      </c>
      <c r="F604" s="10" t="s">
        <v>71</v>
      </c>
      <c r="G604" s="10" t="s">
        <v>72</v>
      </c>
      <c r="H604" s="10" t="s">
        <v>155</v>
      </c>
      <c r="I604" s="10" t="str">
        <f>VLOOKUP(Table1[[#This Row],[Account Manager ID]],Table2[[Employee ID]:[Full Name]],4,FALSE)</f>
        <v>Puti Nadine Prakasa</v>
      </c>
      <c r="J604" s="10" t="str">
        <f>INDEX(Employee!$D$4:$D$47,MATCH($H$4:$H$1003,Employee!$A$4:$A$47,0))</f>
        <v>Puti Nadine Prakasa</v>
      </c>
      <c r="K604" s="10" t="s">
        <v>117</v>
      </c>
      <c r="L604" s="10" t="s">
        <v>284</v>
      </c>
      <c r="M604" s="10" t="s">
        <v>59</v>
      </c>
      <c r="N604" s="10" t="s">
        <v>60</v>
      </c>
      <c r="O604" s="10" t="s">
        <v>61</v>
      </c>
      <c r="P604" s="10">
        <v>43378</v>
      </c>
      <c r="Q604" s="15">
        <v>33750</v>
      </c>
      <c r="R604" s="15">
        <v>55350</v>
      </c>
      <c r="S604" s="15">
        <f>Table1[[#This Row],[Retail Price]]-Table1[[#This Row],[Cost Price]]</f>
        <v>21600</v>
      </c>
      <c r="T604" s="10">
        <v>42</v>
      </c>
      <c r="U604" s="15">
        <f>Table1[[#This Row],[Profit Margin]]*Table1[[#This Row],[Order Quantity]]</f>
        <v>907200</v>
      </c>
      <c r="V604" s="11">
        <v>0.06</v>
      </c>
      <c r="W604" s="15">
        <f t="shared" si="9"/>
        <v>54432</v>
      </c>
      <c r="X604" s="15">
        <f>Table1[[#This Row],[Sub Total]]-Table1[[#This Row],[Discount Rp]]</f>
        <v>852768</v>
      </c>
      <c r="Y604" s="15">
        <f ca="1">OFFSET(Helper!$C$3,MATCH(Data!$N$4:$N$1003,Helper!$C$4:$C$9,0),MATCH(Data!$O$4:$O$1003,Helper!$D$3:$F$3,0))</f>
        <v>15000</v>
      </c>
      <c r="Z604" s="16">
        <f ca="1">Table1[[#This Row],[Order Total]]+Table1[[#This Row],[Shipping Cost]]</f>
        <v>867768</v>
      </c>
    </row>
    <row r="605" spans="1:26" ht="15.75" customHeight="1" x14ac:dyDescent="0.3">
      <c r="A605" s="9" t="s">
        <v>1378</v>
      </c>
      <c r="B605" s="18">
        <v>43380</v>
      </c>
      <c r="C605" s="10">
        <f>YEAR(Table1[[#This Row],[Order Date]])</f>
        <v>2018</v>
      </c>
      <c r="D605" s="10" t="s">
        <v>686</v>
      </c>
      <c r="E605" s="10" t="s">
        <v>251</v>
      </c>
      <c r="F605" s="10" t="s">
        <v>71</v>
      </c>
      <c r="G605" s="10" t="s">
        <v>55</v>
      </c>
      <c r="H605" s="10" t="s">
        <v>122</v>
      </c>
      <c r="I605" s="10" t="str">
        <f>VLOOKUP(Table1[[#This Row],[Account Manager ID]],Table2[[Employee ID]:[Full Name]],4,FALSE)</f>
        <v>Ophelia Mustofa</v>
      </c>
      <c r="J605" s="10" t="str">
        <f>INDEX(Employee!$D$4:$D$47,MATCH($H$4:$H$1003,Employee!$A$4:$A$47,0))</f>
        <v>Ophelia Mustofa</v>
      </c>
      <c r="K605" s="10" t="s">
        <v>117</v>
      </c>
      <c r="L605" s="10" t="s">
        <v>93</v>
      </c>
      <c r="M605" s="10" t="s">
        <v>59</v>
      </c>
      <c r="N605" s="10" t="s">
        <v>67</v>
      </c>
      <c r="O605" s="10" t="s">
        <v>61</v>
      </c>
      <c r="P605" s="10">
        <v>43380</v>
      </c>
      <c r="Q605" s="15">
        <v>16350.000000000002</v>
      </c>
      <c r="R605" s="15">
        <v>39000</v>
      </c>
      <c r="S605" s="15">
        <f>Table1[[#This Row],[Retail Price]]-Table1[[#This Row],[Cost Price]]</f>
        <v>22650</v>
      </c>
      <c r="T605" s="10">
        <v>26</v>
      </c>
      <c r="U605" s="15">
        <f>Table1[[#This Row],[Profit Margin]]*Table1[[#This Row],[Order Quantity]]</f>
        <v>588900</v>
      </c>
      <c r="V605" s="11">
        <v>0.08</v>
      </c>
      <c r="W605" s="15">
        <f t="shared" si="9"/>
        <v>47112</v>
      </c>
      <c r="X605" s="15">
        <f>Table1[[#This Row],[Sub Total]]-Table1[[#This Row],[Discount Rp]]</f>
        <v>541788</v>
      </c>
      <c r="Y605" s="15">
        <f ca="1">OFFSET(Helper!$C$3,MATCH(Data!$N$4:$N$1003,Helper!$C$4:$C$9,0),MATCH(Data!$O$4:$O$1003,Helper!$D$3:$F$3,0))</f>
        <v>5000</v>
      </c>
      <c r="Z605" s="16">
        <f ca="1">Table1[[#This Row],[Order Total]]+Table1[[#This Row],[Shipping Cost]]</f>
        <v>546788</v>
      </c>
    </row>
    <row r="606" spans="1:26" ht="15.75" customHeight="1" x14ac:dyDescent="0.3">
      <c r="A606" s="9" t="s">
        <v>1379</v>
      </c>
      <c r="B606" s="18">
        <v>43380</v>
      </c>
      <c r="C606" s="10">
        <f>YEAR(Table1[[#This Row],[Order Date]])</f>
        <v>2018</v>
      </c>
      <c r="D606" s="10" t="s">
        <v>686</v>
      </c>
      <c r="E606" s="10" t="s">
        <v>251</v>
      </c>
      <c r="F606" s="10" t="s">
        <v>71</v>
      </c>
      <c r="G606" s="10" t="s">
        <v>55</v>
      </c>
      <c r="H606" s="10" t="s">
        <v>122</v>
      </c>
      <c r="I606" s="10" t="str">
        <f>VLOOKUP(Table1[[#This Row],[Account Manager ID]],Table2[[Employee ID]:[Full Name]],4,FALSE)</f>
        <v>Ophelia Mustofa</v>
      </c>
      <c r="J606" s="10" t="str">
        <f>INDEX(Employee!$D$4:$D$47,MATCH($H$4:$H$1003,Employee!$A$4:$A$47,0))</f>
        <v>Ophelia Mustofa</v>
      </c>
      <c r="K606" s="10" t="s">
        <v>117</v>
      </c>
      <c r="L606" s="10" t="s">
        <v>526</v>
      </c>
      <c r="M606" s="10" t="s">
        <v>81</v>
      </c>
      <c r="N606" s="10" t="s">
        <v>60</v>
      </c>
      <c r="O606" s="10" t="s">
        <v>61</v>
      </c>
      <c r="P606" s="10">
        <v>43382</v>
      </c>
      <c r="Q606" s="15">
        <v>631650</v>
      </c>
      <c r="R606" s="15">
        <v>1214700</v>
      </c>
      <c r="S606" s="15">
        <f>Table1[[#This Row],[Retail Price]]-Table1[[#This Row],[Cost Price]]</f>
        <v>583050</v>
      </c>
      <c r="T606" s="10">
        <v>34</v>
      </c>
      <c r="U606" s="15">
        <f>Table1[[#This Row],[Profit Margin]]*Table1[[#This Row],[Order Quantity]]</f>
        <v>19823700</v>
      </c>
      <c r="V606" s="11">
        <v>0.02</v>
      </c>
      <c r="W606" s="15">
        <f t="shared" si="9"/>
        <v>396474</v>
      </c>
      <c r="X606" s="15">
        <f>Table1[[#This Row],[Sub Total]]-Table1[[#This Row],[Discount Rp]]</f>
        <v>19427226</v>
      </c>
      <c r="Y606" s="15">
        <f ca="1">OFFSET(Helper!$C$3,MATCH(Data!$N$4:$N$1003,Helper!$C$4:$C$9,0),MATCH(Data!$O$4:$O$1003,Helper!$D$3:$F$3,0))</f>
        <v>15000</v>
      </c>
      <c r="Z606" s="16">
        <f ca="1">Table1[[#This Row],[Order Total]]+Table1[[#This Row],[Shipping Cost]]</f>
        <v>19442226</v>
      </c>
    </row>
    <row r="607" spans="1:26" ht="15.75" customHeight="1" x14ac:dyDescent="0.3">
      <c r="A607" s="9" t="s">
        <v>1380</v>
      </c>
      <c r="B607" s="18">
        <v>43380</v>
      </c>
      <c r="C607" s="10">
        <f>YEAR(Table1[[#This Row],[Order Date]])</f>
        <v>2018</v>
      </c>
      <c r="D607" s="10" t="s">
        <v>1381</v>
      </c>
      <c r="E607" s="10" t="s">
        <v>376</v>
      </c>
      <c r="F607" s="10" t="s">
        <v>71</v>
      </c>
      <c r="G607" s="10" t="s">
        <v>87</v>
      </c>
      <c r="H607" s="10" t="s">
        <v>146</v>
      </c>
      <c r="I607" s="10" t="str">
        <f>VLOOKUP(Table1[[#This Row],[Account Manager ID]],Table2[[Employee ID]:[Full Name]],4,FALSE)</f>
        <v>Kenari Rajasa</v>
      </c>
      <c r="J607" s="10" t="str">
        <f>INDEX(Employee!$D$4:$D$47,MATCH($H$4:$H$1003,Employee!$A$4:$A$47,0))</f>
        <v>Kenari Rajasa</v>
      </c>
      <c r="K607" s="10" t="s">
        <v>57</v>
      </c>
      <c r="L607" s="10" t="s">
        <v>265</v>
      </c>
      <c r="M607" s="10" t="s">
        <v>59</v>
      </c>
      <c r="N607" s="10" t="s">
        <v>60</v>
      </c>
      <c r="O607" s="10" t="s">
        <v>76</v>
      </c>
      <c r="P607" s="10">
        <v>43381</v>
      </c>
      <c r="Q607" s="15">
        <v>17700</v>
      </c>
      <c r="R607" s="15">
        <v>28200</v>
      </c>
      <c r="S607" s="15">
        <f>Table1[[#This Row],[Retail Price]]-Table1[[#This Row],[Cost Price]]</f>
        <v>10500</v>
      </c>
      <c r="T607" s="10">
        <v>5</v>
      </c>
      <c r="U607" s="15">
        <f>Table1[[#This Row],[Profit Margin]]*Table1[[#This Row],[Order Quantity]]</f>
        <v>52500</v>
      </c>
      <c r="V607" s="11">
        <v>0.08</v>
      </c>
      <c r="W607" s="15">
        <f t="shared" si="9"/>
        <v>4200</v>
      </c>
      <c r="X607" s="15">
        <f>Table1[[#This Row],[Sub Total]]-Table1[[#This Row],[Discount Rp]]</f>
        <v>48300</v>
      </c>
      <c r="Y607" s="15">
        <f ca="1">OFFSET(Helper!$C$3,MATCH(Data!$N$4:$N$1003,Helper!$C$4:$C$9,0),MATCH(Data!$O$4:$O$1003,Helper!$D$3:$F$3,0))</f>
        <v>30000</v>
      </c>
      <c r="Z607" s="16">
        <f ca="1">Table1[[#This Row],[Order Total]]+Table1[[#This Row],[Shipping Cost]]</f>
        <v>78300</v>
      </c>
    </row>
    <row r="608" spans="1:26" ht="15.75" customHeight="1" x14ac:dyDescent="0.3">
      <c r="A608" s="9" t="s">
        <v>1382</v>
      </c>
      <c r="B608" s="18">
        <v>43382</v>
      </c>
      <c r="C608" s="10">
        <f>YEAR(Table1[[#This Row],[Order Date]])</f>
        <v>2018</v>
      </c>
      <c r="D608" s="10" t="s">
        <v>1383</v>
      </c>
      <c r="E608" s="10" t="s">
        <v>340</v>
      </c>
      <c r="F608" s="10" t="s">
        <v>54</v>
      </c>
      <c r="G608" s="10" t="s">
        <v>72</v>
      </c>
      <c r="H608" s="10" t="s">
        <v>65</v>
      </c>
      <c r="I608" s="10" t="str">
        <f>VLOOKUP(Table1[[#This Row],[Account Manager ID]],Table2[[Employee ID]:[Full Name]],4,FALSE)</f>
        <v>Laras Nuraini</v>
      </c>
      <c r="J608" s="10" t="str">
        <f>INDEX(Employee!$D$4:$D$47,MATCH($H$4:$H$1003,Employee!$A$4:$A$47,0))</f>
        <v>Laras Nuraini</v>
      </c>
      <c r="K608" s="10" t="s">
        <v>117</v>
      </c>
      <c r="L608" s="10" t="s">
        <v>415</v>
      </c>
      <c r="M608" s="10" t="s">
        <v>59</v>
      </c>
      <c r="N608" s="10" t="s">
        <v>60</v>
      </c>
      <c r="O608" s="10" t="s">
        <v>61</v>
      </c>
      <c r="P608" s="10">
        <v>43384</v>
      </c>
      <c r="Q608" s="15">
        <v>54750</v>
      </c>
      <c r="R608" s="15">
        <v>89700</v>
      </c>
      <c r="S608" s="15">
        <f>Table1[[#This Row],[Retail Price]]-Table1[[#This Row],[Cost Price]]</f>
        <v>34950</v>
      </c>
      <c r="T608" s="10">
        <v>50</v>
      </c>
      <c r="U608" s="15">
        <f>Table1[[#This Row],[Profit Margin]]*Table1[[#This Row],[Order Quantity]]</f>
        <v>1747500</v>
      </c>
      <c r="V608" s="11">
        <v>0.02</v>
      </c>
      <c r="W608" s="15">
        <f t="shared" si="9"/>
        <v>34950</v>
      </c>
      <c r="X608" s="15">
        <f>Table1[[#This Row],[Sub Total]]-Table1[[#This Row],[Discount Rp]]</f>
        <v>1712550</v>
      </c>
      <c r="Y608" s="15">
        <f ca="1">OFFSET(Helper!$C$3,MATCH(Data!$N$4:$N$1003,Helper!$C$4:$C$9,0),MATCH(Data!$O$4:$O$1003,Helper!$D$3:$F$3,0))</f>
        <v>15000</v>
      </c>
      <c r="Z608" s="16">
        <f ca="1">Table1[[#This Row],[Order Total]]+Table1[[#This Row],[Shipping Cost]]</f>
        <v>1727550</v>
      </c>
    </row>
    <row r="609" spans="1:26" ht="15.75" customHeight="1" x14ac:dyDescent="0.3">
      <c r="A609" s="9" t="s">
        <v>1384</v>
      </c>
      <c r="B609" s="18">
        <v>43382</v>
      </c>
      <c r="C609" s="10">
        <f>YEAR(Table1[[#This Row],[Order Date]])</f>
        <v>2018</v>
      </c>
      <c r="D609" s="10" t="s">
        <v>1385</v>
      </c>
      <c r="E609" s="10" t="s">
        <v>133</v>
      </c>
      <c r="F609" s="10" t="s">
        <v>54</v>
      </c>
      <c r="G609" s="10" t="s">
        <v>72</v>
      </c>
      <c r="H609" s="10" t="s">
        <v>65</v>
      </c>
      <c r="I609" s="10" t="str">
        <f>VLOOKUP(Table1[[#This Row],[Account Manager ID]],Table2[[Employee ID]:[Full Name]],4,FALSE)</f>
        <v>Laras Nuraini</v>
      </c>
      <c r="J609" s="10" t="str">
        <f>INDEX(Employee!$D$4:$D$47,MATCH($H$4:$H$1003,Employee!$A$4:$A$47,0))</f>
        <v>Laras Nuraini</v>
      </c>
      <c r="K609" s="10" t="s">
        <v>57</v>
      </c>
      <c r="L609" s="10" t="s">
        <v>442</v>
      </c>
      <c r="M609" s="10" t="s">
        <v>59</v>
      </c>
      <c r="N609" s="10" t="s">
        <v>67</v>
      </c>
      <c r="O609" s="10" t="s">
        <v>61</v>
      </c>
      <c r="P609" s="10">
        <v>43382</v>
      </c>
      <c r="Q609" s="15">
        <v>22950</v>
      </c>
      <c r="R609" s="15">
        <v>41700</v>
      </c>
      <c r="S609" s="15">
        <f>Table1[[#This Row],[Retail Price]]-Table1[[#This Row],[Cost Price]]</f>
        <v>18750</v>
      </c>
      <c r="T609" s="10">
        <v>44</v>
      </c>
      <c r="U609" s="15">
        <f>Table1[[#This Row],[Profit Margin]]*Table1[[#This Row],[Order Quantity]]</f>
        <v>825000</v>
      </c>
      <c r="V609" s="11">
        <v>7.0000000000000007E-2</v>
      </c>
      <c r="W609" s="15">
        <f t="shared" si="9"/>
        <v>57750.000000000007</v>
      </c>
      <c r="X609" s="15">
        <f>Table1[[#This Row],[Sub Total]]-Table1[[#This Row],[Discount Rp]]</f>
        <v>767250</v>
      </c>
      <c r="Y609" s="15">
        <f ca="1">OFFSET(Helper!$C$3,MATCH(Data!$N$4:$N$1003,Helper!$C$4:$C$9,0),MATCH(Data!$O$4:$O$1003,Helper!$D$3:$F$3,0))</f>
        <v>5000</v>
      </c>
      <c r="Z609" s="16">
        <f ca="1">Table1[[#This Row],[Order Total]]+Table1[[#This Row],[Shipping Cost]]</f>
        <v>772250</v>
      </c>
    </row>
    <row r="610" spans="1:26" ht="15.75" customHeight="1" x14ac:dyDescent="0.3">
      <c r="A610" s="9" t="s">
        <v>1386</v>
      </c>
      <c r="B610" s="18">
        <v>43382</v>
      </c>
      <c r="C610" s="10">
        <f>YEAR(Table1[[#This Row],[Order Date]])</f>
        <v>2018</v>
      </c>
      <c r="D610" s="10" t="s">
        <v>1359</v>
      </c>
      <c r="E610" s="10" t="s">
        <v>521</v>
      </c>
      <c r="F610" s="10" t="s">
        <v>71</v>
      </c>
      <c r="G610" s="10" t="s">
        <v>72</v>
      </c>
      <c r="H610" s="10" t="s">
        <v>88</v>
      </c>
      <c r="I610" s="10" t="str">
        <f>VLOOKUP(Table1[[#This Row],[Account Manager ID]],Table2[[Employee ID]:[Full Name]],4,FALSE)</f>
        <v>Bagiya Sihombing</v>
      </c>
      <c r="J610" s="10" t="str">
        <f>INDEX(Employee!$D$4:$D$47,MATCH($H$4:$H$1003,Employee!$A$4:$A$47,0))</f>
        <v>Bagiya Sihombing</v>
      </c>
      <c r="K610" s="10" t="s">
        <v>107</v>
      </c>
      <c r="L610" s="10" t="s">
        <v>473</v>
      </c>
      <c r="M610" s="10" t="s">
        <v>59</v>
      </c>
      <c r="N610" s="10" t="s">
        <v>60</v>
      </c>
      <c r="O610" s="10" t="s">
        <v>61</v>
      </c>
      <c r="P610" s="10">
        <v>43384</v>
      </c>
      <c r="Q610" s="15">
        <v>32700.000000000004</v>
      </c>
      <c r="R610" s="15">
        <v>52800</v>
      </c>
      <c r="S610" s="15">
        <f>Table1[[#This Row],[Retail Price]]-Table1[[#This Row],[Cost Price]]</f>
        <v>20099.999999999996</v>
      </c>
      <c r="T610" s="10">
        <v>1</v>
      </c>
      <c r="U610" s="15">
        <f>Table1[[#This Row],[Profit Margin]]*Table1[[#This Row],[Order Quantity]]</f>
        <v>20099.999999999996</v>
      </c>
      <c r="V610" s="11">
        <v>0.04</v>
      </c>
      <c r="W610" s="15">
        <f t="shared" si="9"/>
        <v>803.99999999999989</v>
      </c>
      <c r="X610" s="15">
        <f>Table1[[#This Row],[Sub Total]]-Table1[[#This Row],[Discount Rp]]</f>
        <v>19295.999999999996</v>
      </c>
      <c r="Y610" s="15">
        <f ca="1">OFFSET(Helper!$C$3,MATCH(Data!$N$4:$N$1003,Helper!$C$4:$C$9,0),MATCH(Data!$O$4:$O$1003,Helper!$D$3:$F$3,0))</f>
        <v>15000</v>
      </c>
      <c r="Z610" s="16">
        <f ca="1">Table1[[#This Row],[Order Total]]+Table1[[#This Row],[Shipping Cost]]</f>
        <v>34296</v>
      </c>
    </row>
    <row r="611" spans="1:26" ht="15.75" customHeight="1" x14ac:dyDescent="0.3">
      <c r="A611" s="9" t="s">
        <v>1387</v>
      </c>
      <c r="B611" s="18">
        <v>43383</v>
      </c>
      <c r="C611" s="10">
        <f>YEAR(Table1[[#This Row],[Order Date]])</f>
        <v>2018</v>
      </c>
      <c r="D611" s="10" t="s">
        <v>681</v>
      </c>
      <c r="E611" s="10" t="s">
        <v>206</v>
      </c>
      <c r="F611" s="10" t="s">
        <v>71</v>
      </c>
      <c r="G611" s="10" t="s">
        <v>106</v>
      </c>
      <c r="H611" s="10" t="s">
        <v>155</v>
      </c>
      <c r="I611" s="10" t="str">
        <f>VLOOKUP(Table1[[#This Row],[Account Manager ID]],Table2[[Employee ID]:[Full Name]],4,FALSE)</f>
        <v>Puti Nadine Prakasa</v>
      </c>
      <c r="J611" s="10" t="str">
        <f>INDEX(Employee!$D$4:$D$47,MATCH($H$4:$H$1003,Employee!$A$4:$A$47,0))</f>
        <v>Puti Nadine Prakasa</v>
      </c>
      <c r="K611" s="10" t="s">
        <v>117</v>
      </c>
      <c r="L611" s="10" t="s">
        <v>500</v>
      </c>
      <c r="M611" s="10" t="s">
        <v>59</v>
      </c>
      <c r="N611" s="10" t="s">
        <v>60</v>
      </c>
      <c r="O611" s="10" t="s">
        <v>76</v>
      </c>
      <c r="P611" s="10">
        <v>43385</v>
      </c>
      <c r="Q611" s="15">
        <v>36750</v>
      </c>
      <c r="R611" s="15">
        <v>58350</v>
      </c>
      <c r="S611" s="15">
        <f>Table1[[#This Row],[Retail Price]]-Table1[[#This Row],[Cost Price]]</f>
        <v>21600</v>
      </c>
      <c r="T611" s="10">
        <v>32</v>
      </c>
      <c r="U611" s="15">
        <f>Table1[[#This Row],[Profit Margin]]*Table1[[#This Row],[Order Quantity]]</f>
        <v>691200</v>
      </c>
      <c r="V611" s="11">
        <v>0.1</v>
      </c>
      <c r="W611" s="15">
        <f t="shared" si="9"/>
        <v>69120</v>
      </c>
      <c r="X611" s="15">
        <f>Table1[[#This Row],[Sub Total]]-Table1[[#This Row],[Discount Rp]]</f>
        <v>622080</v>
      </c>
      <c r="Y611" s="15">
        <f ca="1">OFFSET(Helper!$C$3,MATCH(Data!$N$4:$N$1003,Helper!$C$4:$C$9,0),MATCH(Data!$O$4:$O$1003,Helper!$D$3:$F$3,0))</f>
        <v>30000</v>
      </c>
      <c r="Z611" s="16">
        <f ca="1">Table1[[#This Row],[Order Total]]+Table1[[#This Row],[Shipping Cost]]</f>
        <v>652080</v>
      </c>
    </row>
    <row r="612" spans="1:26" ht="15.75" customHeight="1" x14ac:dyDescent="0.3">
      <c r="A612" s="9" t="s">
        <v>1388</v>
      </c>
      <c r="B612" s="18">
        <v>43383</v>
      </c>
      <c r="C612" s="10">
        <f>YEAR(Table1[[#This Row],[Order Date]])</f>
        <v>2018</v>
      </c>
      <c r="D612" s="10" t="s">
        <v>1389</v>
      </c>
      <c r="E612" s="10" t="s">
        <v>159</v>
      </c>
      <c r="F612" s="10" t="s">
        <v>71</v>
      </c>
      <c r="G612" s="10" t="s">
        <v>72</v>
      </c>
      <c r="H612" s="10" t="s">
        <v>122</v>
      </c>
      <c r="I612" s="10" t="str">
        <f>VLOOKUP(Table1[[#This Row],[Account Manager ID]],Table2[[Employee ID]:[Full Name]],4,FALSE)</f>
        <v>Ophelia Mustofa</v>
      </c>
      <c r="J612" s="10" t="str">
        <f>INDEX(Employee!$D$4:$D$47,MATCH($H$4:$H$1003,Employee!$A$4:$A$47,0))</f>
        <v>Ophelia Mustofa</v>
      </c>
      <c r="K612" s="10" t="s">
        <v>107</v>
      </c>
      <c r="L612" s="10" t="s">
        <v>410</v>
      </c>
      <c r="M612" s="10" t="s">
        <v>81</v>
      </c>
      <c r="N612" s="10" t="s">
        <v>60</v>
      </c>
      <c r="O612" s="10" t="s">
        <v>61</v>
      </c>
      <c r="P612" s="10">
        <v>43384</v>
      </c>
      <c r="Q612" s="15">
        <v>97650</v>
      </c>
      <c r="R612" s="15">
        <v>464700</v>
      </c>
      <c r="S612" s="15">
        <f>Table1[[#This Row],[Retail Price]]-Table1[[#This Row],[Cost Price]]</f>
        <v>367050</v>
      </c>
      <c r="T612" s="10">
        <v>6</v>
      </c>
      <c r="U612" s="15">
        <f>Table1[[#This Row],[Profit Margin]]*Table1[[#This Row],[Order Quantity]]</f>
        <v>2202300</v>
      </c>
      <c r="V612" s="11">
        <v>0.01</v>
      </c>
      <c r="W612" s="15">
        <f t="shared" si="9"/>
        <v>22023</v>
      </c>
      <c r="X612" s="15">
        <f>Table1[[#This Row],[Sub Total]]-Table1[[#This Row],[Discount Rp]]</f>
        <v>2180277</v>
      </c>
      <c r="Y612" s="15">
        <f ca="1">OFFSET(Helper!$C$3,MATCH(Data!$N$4:$N$1003,Helper!$C$4:$C$9,0),MATCH(Data!$O$4:$O$1003,Helper!$D$3:$F$3,0))</f>
        <v>15000</v>
      </c>
      <c r="Z612" s="16">
        <f ca="1">Table1[[#This Row],[Order Total]]+Table1[[#This Row],[Shipping Cost]]</f>
        <v>2195277</v>
      </c>
    </row>
    <row r="613" spans="1:26" ht="15.75" customHeight="1" x14ac:dyDescent="0.3">
      <c r="A613" s="9" t="s">
        <v>1390</v>
      </c>
      <c r="B613" s="18">
        <v>43384</v>
      </c>
      <c r="C613" s="10">
        <f>YEAR(Table1[[#This Row],[Order Date]])</f>
        <v>2018</v>
      </c>
      <c r="D613" s="10" t="s">
        <v>1391</v>
      </c>
      <c r="E613" s="10" t="s">
        <v>1291</v>
      </c>
      <c r="F613" s="10" t="s">
        <v>71</v>
      </c>
      <c r="G613" s="10" t="s">
        <v>55</v>
      </c>
      <c r="H613" s="10" t="s">
        <v>122</v>
      </c>
      <c r="I613" s="10" t="str">
        <f>VLOOKUP(Table1[[#This Row],[Account Manager ID]],Table2[[Employee ID]:[Full Name]],4,FALSE)</f>
        <v>Ophelia Mustofa</v>
      </c>
      <c r="J613" s="10" t="str">
        <f>INDEX(Employee!$D$4:$D$47,MATCH($H$4:$H$1003,Employee!$A$4:$A$47,0))</f>
        <v>Ophelia Mustofa</v>
      </c>
      <c r="K613" s="10" t="s">
        <v>92</v>
      </c>
      <c r="L613" s="10" t="s">
        <v>931</v>
      </c>
      <c r="M613" s="10" t="s">
        <v>59</v>
      </c>
      <c r="N613" s="10" t="s">
        <v>60</v>
      </c>
      <c r="O613" s="10" t="s">
        <v>61</v>
      </c>
      <c r="P613" s="10">
        <v>43388</v>
      </c>
      <c r="Q613" s="15">
        <v>27600</v>
      </c>
      <c r="R613" s="15">
        <v>43200</v>
      </c>
      <c r="S613" s="15">
        <f>Table1[[#This Row],[Retail Price]]-Table1[[#This Row],[Cost Price]]</f>
        <v>15600</v>
      </c>
      <c r="T613" s="10">
        <v>49</v>
      </c>
      <c r="U613" s="15">
        <f>Table1[[#This Row],[Profit Margin]]*Table1[[#This Row],[Order Quantity]]</f>
        <v>764400</v>
      </c>
      <c r="V613" s="11">
        <v>0.01</v>
      </c>
      <c r="W613" s="15">
        <f t="shared" si="9"/>
        <v>7644</v>
      </c>
      <c r="X613" s="15">
        <f>Table1[[#This Row],[Sub Total]]-Table1[[#This Row],[Discount Rp]]</f>
        <v>756756</v>
      </c>
      <c r="Y613" s="15">
        <f ca="1">OFFSET(Helper!$C$3,MATCH(Data!$N$4:$N$1003,Helper!$C$4:$C$9,0),MATCH(Data!$O$4:$O$1003,Helper!$D$3:$F$3,0))</f>
        <v>15000</v>
      </c>
      <c r="Z613" s="16">
        <f ca="1">Table1[[#This Row],[Order Total]]+Table1[[#This Row],[Shipping Cost]]</f>
        <v>771756</v>
      </c>
    </row>
    <row r="614" spans="1:26" ht="15.75" customHeight="1" x14ac:dyDescent="0.3">
      <c r="A614" s="9" t="s">
        <v>1392</v>
      </c>
      <c r="B614" s="18">
        <v>43387</v>
      </c>
      <c r="C614" s="10">
        <f>YEAR(Table1[[#This Row],[Order Date]])</f>
        <v>2018</v>
      </c>
      <c r="D614" s="10" t="s">
        <v>1393</v>
      </c>
      <c r="E614" s="10" t="s">
        <v>206</v>
      </c>
      <c r="F614" s="10" t="s">
        <v>71</v>
      </c>
      <c r="G614" s="10" t="s">
        <v>55</v>
      </c>
      <c r="H614" s="10" t="s">
        <v>155</v>
      </c>
      <c r="I614" s="10" t="str">
        <f>VLOOKUP(Table1[[#This Row],[Account Manager ID]],Table2[[Employee ID]:[Full Name]],4,FALSE)</f>
        <v>Puti Nadine Prakasa</v>
      </c>
      <c r="J614" s="10" t="str">
        <f>INDEX(Employee!$D$4:$D$47,MATCH($H$4:$H$1003,Employee!$A$4:$A$47,0))</f>
        <v>Puti Nadine Prakasa</v>
      </c>
      <c r="K614" s="10" t="s">
        <v>74</v>
      </c>
      <c r="L614" s="10" t="s">
        <v>349</v>
      </c>
      <c r="M614" s="10" t="s">
        <v>59</v>
      </c>
      <c r="N614" s="10" t="s">
        <v>67</v>
      </c>
      <c r="O614" s="10" t="s">
        <v>61</v>
      </c>
      <c r="P614" s="10">
        <v>43389</v>
      </c>
      <c r="Q614" s="15">
        <v>166650</v>
      </c>
      <c r="R614" s="15">
        <v>297600</v>
      </c>
      <c r="S614" s="15">
        <f>Table1[[#This Row],[Retail Price]]-Table1[[#This Row],[Cost Price]]</f>
        <v>130950</v>
      </c>
      <c r="T614" s="10">
        <v>1</v>
      </c>
      <c r="U614" s="15">
        <f>Table1[[#This Row],[Profit Margin]]*Table1[[#This Row],[Order Quantity]]</f>
        <v>130950</v>
      </c>
      <c r="V614" s="11">
        <v>0.05</v>
      </c>
      <c r="W614" s="15">
        <f t="shared" si="9"/>
        <v>6547.5</v>
      </c>
      <c r="X614" s="15">
        <f>Table1[[#This Row],[Sub Total]]-Table1[[#This Row],[Discount Rp]]</f>
        <v>124402.5</v>
      </c>
      <c r="Y614" s="15">
        <f ca="1">OFFSET(Helper!$C$3,MATCH(Data!$N$4:$N$1003,Helper!$C$4:$C$9,0),MATCH(Data!$O$4:$O$1003,Helper!$D$3:$F$3,0))</f>
        <v>5000</v>
      </c>
      <c r="Z614" s="16">
        <f ca="1">Table1[[#This Row],[Order Total]]+Table1[[#This Row],[Shipping Cost]]</f>
        <v>129402.5</v>
      </c>
    </row>
    <row r="615" spans="1:26" ht="15.75" customHeight="1" x14ac:dyDescent="0.3">
      <c r="A615" s="9" t="s">
        <v>1394</v>
      </c>
      <c r="B615" s="18">
        <v>43389</v>
      </c>
      <c r="C615" s="10">
        <f>YEAR(Table1[[#This Row],[Order Date]])</f>
        <v>2018</v>
      </c>
      <c r="D615" s="10" t="s">
        <v>1395</v>
      </c>
      <c r="E615" s="10" t="s">
        <v>1396</v>
      </c>
      <c r="F615" s="10" t="s">
        <v>71</v>
      </c>
      <c r="G615" s="10" t="s">
        <v>72</v>
      </c>
      <c r="H615" s="10" t="s">
        <v>146</v>
      </c>
      <c r="I615" s="10" t="str">
        <f>VLOOKUP(Table1[[#This Row],[Account Manager ID]],Table2[[Employee ID]:[Full Name]],4,FALSE)</f>
        <v>Kenari Rajasa</v>
      </c>
      <c r="J615" s="10" t="str">
        <f>INDEX(Employee!$D$4:$D$47,MATCH($H$4:$H$1003,Employee!$A$4:$A$47,0))</f>
        <v>Kenari Rajasa</v>
      </c>
      <c r="K615" s="10" t="s">
        <v>107</v>
      </c>
      <c r="L615" s="10" t="s">
        <v>648</v>
      </c>
      <c r="M615" s="10" t="s">
        <v>253</v>
      </c>
      <c r="N615" s="10" t="s">
        <v>136</v>
      </c>
      <c r="O615" s="10" t="s">
        <v>61</v>
      </c>
      <c r="P615" s="10">
        <v>43389</v>
      </c>
      <c r="Q615" s="15">
        <v>170700</v>
      </c>
      <c r="R615" s="15">
        <v>279750</v>
      </c>
      <c r="S615" s="15">
        <f>Table1[[#This Row],[Retail Price]]-Table1[[#This Row],[Cost Price]]</f>
        <v>109050</v>
      </c>
      <c r="T615" s="10">
        <v>44</v>
      </c>
      <c r="U615" s="15">
        <f>Table1[[#This Row],[Profit Margin]]*Table1[[#This Row],[Order Quantity]]</f>
        <v>4798200</v>
      </c>
      <c r="V615" s="11">
        <v>0.03</v>
      </c>
      <c r="W615" s="15">
        <f t="shared" si="9"/>
        <v>143946</v>
      </c>
      <c r="X615" s="15">
        <f>Table1[[#This Row],[Sub Total]]-Table1[[#This Row],[Discount Rp]]</f>
        <v>4654254</v>
      </c>
      <c r="Y615" s="15">
        <f ca="1">OFFSET(Helper!$C$3,MATCH(Data!$N$4:$N$1003,Helper!$C$4:$C$9,0),MATCH(Data!$O$4:$O$1003,Helper!$D$3:$F$3,0))</f>
        <v>10000</v>
      </c>
      <c r="Z615" s="16">
        <f ca="1">Table1[[#This Row],[Order Total]]+Table1[[#This Row],[Shipping Cost]]</f>
        <v>4664254</v>
      </c>
    </row>
    <row r="616" spans="1:26" ht="15.75" customHeight="1" x14ac:dyDescent="0.3">
      <c r="A616" s="9" t="s">
        <v>1397</v>
      </c>
      <c r="B616" s="18">
        <v>43389</v>
      </c>
      <c r="C616" s="10">
        <f>YEAR(Table1[[#This Row],[Order Date]])</f>
        <v>2018</v>
      </c>
      <c r="D616" s="10" t="s">
        <v>1350</v>
      </c>
      <c r="E616" s="10" t="s">
        <v>1351</v>
      </c>
      <c r="F616" s="10" t="s">
        <v>54</v>
      </c>
      <c r="G616" s="10" t="s">
        <v>72</v>
      </c>
      <c r="H616" s="10" t="s">
        <v>56</v>
      </c>
      <c r="I616" s="10" t="str">
        <f>VLOOKUP(Table1[[#This Row],[Account Manager ID]],Table2[[Employee ID]:[Full Name]],4,FALSE)</f>
        <v>Gaduh Pratama</v>
      </c>
      <c r="J616" s="10" t="str">
        <f>INDEX(Employee!$D$4:$D$47,MATCH($H$4:$H$1003,Employee!$A$4:$A$47,0))</f>
        <v>Gaduh Pratama</v>
      </c>
      <c r="K616" s="10" t="s">
        <v>57</v>
      </c>
      <c r="L616" s="10" t="s">
        <v>382</v>
      </c>
      <c r="M616" s="10" t="s">
        <v>59</v>
      </c>
      <c r="N616" s="10" t="s">
        <v>60</v>
      </c>
      <c r="O616" s="10" t="s">
        <v>61</v>
      </c>
      <c r="P616" s="10">
        <v>43390</v>
      </c>
      <c r="Q616" s="15">
        <v>41100</v>
      </c>
      <c r="R616" s="15">
        <v>67350</v>
      </c>
      <c r="S616" s="15">
        <f>Table1[[#This Row],[Retail Price]]-Table1[[#This Row],[Cost Price]]</f>
        <v>26250</v>
      </c>
      <c r="T616" s="10">
        <v>15</v>
      </c>
      <c r="U616" s="15">
        <f>Table1[[#This Row],[Profit Margin]]*Table1[[#This Row],[Order Quantity]]</f>
        <v>393750</v>
      </c>
      <c r="V616" s="11">
        <v>0.05</v>
      </c>
      <c r="W616" s="15">
        <f t="shared" si="9"/>
        <v>19687.5</v>
      </c>
      <c r="X616" s="15">
        <f>Table1[[#This Row],[Sub Total]]-Table1[[#This Row],[Discount Rp]]</f>
        <v>374062.5</v>
      </c>
      <c r="Y616" s="15">
        <f ca="1">OFFSET(Helper!$C$3,MATCH(Data!$N$4:$N$1003,Helper!$C$4:$C$9,0),MATCH(Data!$O$4:$O$1003,Helper!$D$3:$F$3,0))</f>
        <v>15000</v>
      </c>
      <c r="Z616" s="16">
        <f ca="1">Table1[[#This Row],[Order Total]]+Table1[[#This Row],[Shipping Cost]]</f>
        <v>389062.5</v>
      </c>
    </row>
    <row r="617" spans="1:26" ht="15.75" customHeight="1" x14ac:dyDescent="0.3">
      <c r="A617" s="9" t="s">
        <v>1398</v>
      </c>
      <c r="B617" s="18">
        <v>43390</v>
      </c>
      <c r="C617" s="10">
        <f>YEAR(Table1[[#This Row],[Order Date]])</f>
        <v>2018</v>
      </c>
      <c r="D617" s="10" t="s">
        <v>660</v>
      </c>
      <c r="E617" s="10" t="s">
        <v>215</v>
      </c>
      <c r="F617" s="10" t="s">
        <v>71</v>
      </c>
      <c r="G617" s="10" t="s">
        <v>55</v>
      </c>
      <c r="H617" s="10" t="s">
        <v>146</v>
      </c>
      <c r="I617" s="10" t="str">
        <f>VLOOKUP(Table1[[#This Row],[Account Manager ID]],Table2[[Employee ID]:[Full Name]],4,FALSE)</f>
        <v>Kenari Rajasa</v>
      </c>
      <c r="J617" s="10" t="str">
        <f>INDEX(Employee!$D$4:$D$47,MATCH($H$4:$H$1003,Employee!$A$4:$A$47,0))</f>
        <v>Kenari Rajasa</v>
      </c>
      <c r="K617" s="10" t="s">
        <v>74</v>
      </c>
      <c r="L617" s="10" t="s">
        <v>226</v>
      </c>
      <c r="M617" s="10" t="s">
        <v>81</v>
      </c>
      <c r="N617" s="10" t="s">
        <v>227</v>
      </c>
      <c r="O617" s="10" t="s">
        <v>61</v>
      </c>
      <c r="P617" s="10">
        <v>43392</v>
      </c>
      <c r="Q617" s="15">
        <v>132300</v>
      </c>
      <c r="R617" s="15">
        <v>314850</v>
      </c>
      <c r="S617" s="15">
        <f>Table1[[#This Row],[Retail Price]]-Table1[[#This Row],[Cost Price]]</f>
        <v>182550</v>
      </c>
      <c r="T617" s="10">
        <v>49</v>
      </c>
      <c r="U617" s="15">
        <f>Table1[[#This Row],[Profit Margin]]*Table1[[#This Row],[Order Quantity]]</f>
        <v>8944950</v>
      </c>
      <c r="V617" s="11">
        <v>0.06</v>
      </c>
      <c r="W617" s="15">
        <f t="shared" si="9"/>
        <v>536697</v>
      </c>
      <c r="X617" s="15">
        <f>Table1[[#This Row],[Sub Total]]-Table1[[#This Row],[Discount Rp]]</f>
        <v>8408253</v>
      </c>
      <c r="Y617" s="15">
        <f ca="1">OFFSET(Helper!$C$3,MATCH(Data!$N$4:$N$1003,Helper!$C$4:$C$9,0),MATCH(Data!$O$4:$O$1003,Helper!$D$3:$F$3,0))</f>
        <v>20000</v>
      </c>
      <c r="Z617" s="16">
        <f ca="1">Table1[[#This Row],[Order Total]]+Table1[[#This Row],[Shipping Cost]]</f>
        <v>8428253</v>
      </c>
    </row>
    <row r="618" spans="1:26" ht="15.75" customHeight="1" x14ac:dyDescent="0.3">
      <c r="A618" s="9" t="s">
        <v>1399</v>
      </c>
      <c r="B618" s="18">
        <v>43394</v>
      </c>
      <c r="C618" s="10">
        <f>YEAR(Table1[[#This Row],[Order Date]])</f>
        <v>2018</v>
      </c>
      <c r="D618" s="10" t="s">
        <v>1256</v>
      </c>
      <c r="E618" s="10" t="s">
        <v>141</v>
      </c>
      <c r="F618" s="10" t="s">
        <v>71</v>
      </c>
      <c r="G618" s="10" t="s">
        <v>55</v>
      </c>
      <c r="H618" s="10" t="s">
        <v>112</v>
      </c>
      <c r="I618" s="10" t="str">
        <f>VLOOKUP(Table1[[#This Row],[Account Manager ID]],Table2[[Employee ID]:[Full Name]],4,FALSE)</f>
        <v>Paiman Firgantoro</v>
      </c>
      <c r="J618" s="10" t="str">
        <f>INDEX(Employee!$D$4:$D$47,MATCH($H$4:$H$1003,Employee!$A$4:$A$47,0))</f>
        <v>Paiman Firgantoro</v>
      </c>
      <c r="K618" s="10" t="s">
        <v>107</v>
      </c>
      <c r="L618" s="10" t="s">
        <v>480</v>
      </c>
      <c r="M618" s="10" t="s">
        <v>253</v>
      </c>
      <c r="N618" s="10" t="s">
        <v>459</v>
      </c>
      <c r="O618" s="10" t="s">
        <v>61</v>
      </c>
      <c r="P618" s="10">
        <v>43395</v>
      </c>
      <c r="Q618" s="15">
        <v>842400</v>
      </c>
      <c r="R618" s="15">
        <v>2054699.9999999998</v>
      </c>
      <c r="S618" s="15">
        <f>Table1[[#This Row],[Retail Price]]-Table1[[#This Row],[Cost Price]]</f>
        <v>1212299.9999999998</v>
      </c>
      <c r="T618" s="10">
        <v>7</v>
      </c>
      <c r="U618" s="15">
        <f>Table1[[#This Row],[Profit Margin]]*Table1[[#This Row],[Order Quantity]]</f>
        <v>8486099.9999999981</v>
      </c>
      <c r="V618" s="11">
        <v>0.02</v>
      </c>
      <c r="W618" s="15">
        <f t="shared" si="9"/>
        <v>169721.99999999997</v>
      </c>
      <c r="X618" s="15">
        <f>Table1[[#This Row],[Sub Total]]-Table1[[#This Row],[Discount Rp]]</f>
        <v>8316377.9999999981</v>
      </c>
      <c r="Y618" s="15">
        <f ca="1">OFFSET(Helper!$C$3,MATCH(Data!$N$4:$N$1003,Helper!$C$4:$C$9,0),MATCH(Data!$O$4:$O$1003,Helper!$D$3:$F$3,0))</f>
        <v>50000</v>
      </c>
      <c r="Z618" s="16">
        <f ca="1">Table1[[#This Row],[Order Total]]+Table1[[#This Row],[Shipping Cost]]</f>
        <v>8366377.9999999981</v>
      </c>
    </row>
    <row r="619" spans="1:26" ht="15.75" customHeight="1" x14ac:dyDescent="0.3">
      <c r="A619" s="9" t="s">
        <v>1400</v>
      </c>
      <c r="B619" s="18">
        <v>43396</v>
      </c>
      <c r="C619" s="10">
        <f>YEAR(Table1[[#This Row],[Order Date]])</f>
        <v>2018</v>
      </c>
      <c r="D619" s="10" t="s">
        <v>1149</v>
      </c>
      <c r="E619" s="10" t="s">
        <v>1150</v>
      </c>
      <c r="F619" s="10" t="s">
        <v>71</v>
      </c>
      <c r="G619" s="10" t="s">
        <v>106</v>
      </c>
      <c r="H619" s="10" t="s">
        <v>185</v>
      </c>
      <c r="I619" s="10" t="str">
        <f>VLOOKUP(Table1[[#This Row],[Account Manager ID]],Table2[[Employee ID]:[Full Name]],4,FALSE)</f>
        <v>Clara Prasetyo</v>
      </c>
      <c r="J619" s="10" t="str">
        <f>INDEX(Employee!$D$4:$D$47,MATCH($H$4:$H$1003,Employee!$A$4:$A$47,0))</f>
        <v>Clara Prasetyo</v>
      </c>
      <c r="K619" s="10" t="s">
        <v>117</v>
      </c>
      <c r="L619" s="10" t="s">
        <v>1105</v>
      </c>
      <c r="M619" s="10" t="s">
        <v>59</v>
      </c>
      <c r="N619" s="10" t="s">
        <v>67</v>
      </c>
      <c r="O619" s="10" t="s">
        <v>61</v>
      </c>
      <c r="P619" s="10">
        <v>43398</v>
      </c>
      <c r="Q619" s="15">
        <v>14100</v>
      </c>
      <c r="R619" s="15">
        <v>28200</v>
      </c>
      <c r="S619" s="15">
        <f>Table1[[#This Row],[Retail Price]]-Table1[[#This Row],[Cost Price]]</f>
        <v>14100</v>
      </c>
      <c r="T619" s="10">
        <v>22</v>
      </c>
      <c r="U619" s="15">
        <f>Table1[[#This Row],[Profit Margin]]*Table1[[#This Row],[Order Quantity]]</f>
        <v>310200</v>
      </c>
      <c r="V619" s="11">
        <v>7.0000000000000007E-2</v>
      </c>
      <c r="W619" s="15">
        <f t="shared" si="9"/>
        <v>21714.000000000004</v>
      </c>
      <c r="X619" s="15">
        <f>Table1[[#This Row],[Sub Total]]-Table1[[#This Row],[Discount Rp]]</f>
        <v>288486</v>
      </c>
      <c r="Y619" s="15">
        <f ca="1">OFFSET(Helper!$C$3,MATCH(Data!$N$4:$N$1003,Helper!$C$4:$C$9,0),MATCH(Data!$O$4:$O$1003,Helper!$D$3:$F$3,0))</f>
        <v>5000</v>
      </c>
      <c r="Z619" s="16">
        <f ca="1">Table1[[#This Row],[Order Total]]+Table1[[#This Row],[Shipping Cost]]</f>
        <v>293486</v>
      </c>
    </row>
    <row r="620" spans="1:26" ht="15.75" customHeight="1" x14ac:dyDescent="0.3">
      <c r="A620" s="9" t="s">
        <v>1401</v>
      </c>
      <c r="B620" s="18">
        <v>43397</v>
      </c>
      <c r="C620" s="10">
        <f>YEAR(Table1[[#This Row],[Order Date]])</f>
        <v>2018</v>
      </c>
      <c r="D620" s="10" t="s">
        <v>1402</v>
      </c>
      <c r="E620" s="10" t="s">
        <v>724</v>
      </c>
      <c r="F620" s="10" t="s">
        <v>71</v>
      </c>
      <c r="G620" s="10" t="s">
        <v>55</v>
      </c>
      <c r="H620" s="10" t="s">
        <v>185</v>
      </c>
      <c r="I620" s="10" t="str">
        <f>VLOOKUP(Table1[[#This Row],[Account Manager ID]],Table2[[Employee ID]:[Full Name]],4,FALSE)</f>
        <v>Clara Prasetyo</v>
      </c>
      <c r="J620" s="10" t="str">
        <f>INDEX(Employee!$D$4:$D$47,MATCH($H$4:$H$1003,Employee!$A$4:$A$47,0))</f>
        <v>Clara Prasetyo</v>
      </c>
      <c r="K620" s="10" t="s">
        <v>92</v>
      </c>
      <c r="L620" s="10" t="s">
        <v>591</v>
      </c>
      <c r="M620" s="10" t="s">
        <v>59</v>
      </c>
      <c r="N620" s="10" t="s">
        <v>60</v>
      </c>
      <c r="O620" s="10" t="s">
        <v>61</v>
      </c>
      <c r="P620" s="10">
        <v>43399</v>
      </c>
      <c r="Q620" s="15">
        <v>165600</v>
      </c>
      <c r="R620" s="15">
        <v>254700</v>
      </c>
      <c r="S620" s="15">
        <f>Table1[[#This Row],[Retail Price]]-Table1[[#This Row],[Cost Price]]</f>
        <v>89100</v>
      </c>
      <c r="T620" s="10">
        <v>1</v>
      </c>
      <c r="U620" s="15">
        <f>Table1[[#This Row],[Profit Margin]]*Table1[[#This Row],[Order Quantity]]</f>
        <v>89100</v>
      </c>
      <c r="V620" s="11">
        <v>0.03</v>
      </c>
      <c r="W620" s="15">
        <f t="shared" si="9"/>
        <v>2673</v>
      </c>
      <c r="X620" s="15">
        <f>Table1[[#This Row],[Sub Total]]-Table1[[#This Row],[Discount Rp]]</f>
        <v>86427</v>
      </c>
      <c r="Y620" s="15">
        <f ca="1">OFFSET(Helper!$C$3,MATCH(Data!$N$4:$N$1003,Helper!$C$4:$C$9,0),MATCH(Data!$O$4:$O$1003,Helper!$D$3:$F$3,0))</f>
        <v>15000</v>
      </c>
      <c r="Z620" s="16">
        <f ca="1">Table1[[#This Row],[Order Total]]+Table1[[#This Row],[Shipping Cost]]</f>
        <v>101427</v>
      </c>
    </row>
    <row r="621" spans="1:26" ht="15.75" customHeight="1" x14ac:dyDescent="0.3">
      <c r="A621" s="9" t="s">
        <v>1403</v>
      </c>
      <c r="B621" s="18">
        <v>43399</v>
      </c>
      <c r="C621" s="10">
        <f>YEAR(Table1[[#This Row],[Order Date]])</f>
        <v>2018</v>
      </c>
      <c r="D621" s="10" t="s">
        <v>293</v>
      </c>
      <c r="E621" s="10" t="s">
        <v>145</v>
      </c>
      <c r="F621" s="10" t="s">
        <v>71</v>
      </c>
      <c r="G621" s="10" t="s">
        <v>106</v>
      </c>
      <c r="H621" s="10" t="s">
        <v>146</v>
      </c>
      <c r="I621" s="10" t="str">
        <f>VLOOKUP(Table1[[#This Row],[Account Manager ID]],Table2[[Employee ID]:[Full Name]],4,FALSE)</f>
        <v>Kenari Rajasa</v>
      </c>
      <c r="J621" s="10" t="str">
        <f>INDEX(Employee!$D$4:$D$47,MATCH($H$4:$H$1003,Employee!$A$4:$A$47,0))</f>
        <v>Kenari Rajasa</v>
      </c>
      <c r="K621" s="10" t="s">
        <v>92</v>
      </c>
      <c r="L621" s="10" t="s">
        <v>297</v>
      </c>
      <c r="M621" s="10" t="s">
        <v>59</v>
      </c>
      <c r="N621" s="10" t="s">
        <v>67</v>
      </c>
      <c r="O621" s="10" t="s">
        <v>76</v>
      </c>
      <c r="P621" s="10">
        <v>43404</v>
      </c>
      <c r="Q621" s="15">
        <v>52200</v>
      </c>
      <c r="R621" s="15">
        <v>81450</v>
      </c>
      <c r="S621" s="15">
        <f>Table1[[#This Row],[Retail Price]]-Table1[[#This Row],[Cost Price]]</f>
        <v>29250</v>
      </c>
      <c r="T621" s="10">
        <v>48</v>
      </c>
      <c r="U621" s="15">
        <f>Table1[[#This Row],[Profit Margin]]*Table1[[#This Row],[Order Quantity]]</f>
        <v>1404000</v>
      </c>
      <c r="V621" s="11">
        <v>0.05</v>
      </c>
      <c r="W621" s="15">
        <f t="shared" si="9"/>
        <v>70200</v>
      </c>
      <c r="X621" s="15">
        <f>Table1[[#This Row],[Sub Total]]-Table1[[#This Row],[Discount Rp]]</f>
        <v>1333800</v>
      </c>
      <c r="Y621" s="15">
        <f ca="1">OFFSET(Helper!$C$3,MATCH(Data!$N$4:$N$1003,Helper!$C$4:$C$9,0),MATCH(Data!$O$4:$O$1003,Helper!$D$3:$F$3,0))</f>
        <v>10000</v>
      </c>
      <c r="Z621" s="16">
        <f ca="1">Table1[[#This Row],[Order Total]]+Table1[[#This Row],[Shipping Cost]]</f>
        <v>1343800</v>
      </c>
    </row>
    <row r="622" spans="1:26" ht="15.75" customHeight="1" x14ac:dyDescent="0.3">
      <c r="A622" s="9" t="s">
        <v>1404</v>
      </c>
      <c r="B622" s="18">
        <v>43400</v>
      </c>
      <c r="C622" s="10">
        <f>YEAR(Table1[[#This Row],[Order Date]])</f>
        <v>2018</v>
      </c>
      <c r="D622" s="10" t="s">
        <v>1405</v>
      </c>
      <c r="E622" s="10" t="s">
        <v>184</v>
      </c>
      <c r="F622" s="10" t="s">
        <v>71</v>
      </c>
      <c r="G622" s="10" t="s">
        <v>87</v>
      </c>
      <c r="H622" s="10" t="s">
        <v>97</v>
      </c>
      <c r="I622" s="10" t="str">
        <f>VLOOKUP(Table1[[#This Row],[Account Manager ID]],Table2[[Employee ID]:[Full Name]],4,FALSE)</f>
        <v>Violet Mentari</v>
      </c>
      <c r="J622" s="10" t="str">
        <f>INDEX(Employee!$D$4:$D$47,MATCH($H$4:$H$1003,Employee!$A$4:$A$47,0))</f>
        <v>Violet Mentari</v>
      </c>
      <c r="K622" s="10" t="s">
        <v>92</v>
      </c>
      <c r="L622" s="10" t="s">
        <v>615</v>
      </c>
      <c r="M622" s="10" t="s">
        <v>59</v>
      </c>
      <c r="N622" s="10" t="s">
        <v>67</v>
      </c>
      <c r="O622" s="10" t="s">
        <v>61</v>
      </c>
      <c r="P622" s="10">
        <v>43404</v>
      </c>
      <c r="Q622" s="15">
        <v>78300</v>
      </c>
      <c r="R622" s="15">
        <v>147750</v>
      </c>
      <c r="S622" s="15">
        <f>Table1[[#This Row],[Retail Price]]-Table1[[#This Row],[Cost Price]]</f>
        <v>69450</v>
      </c>
      <c r="T622" s="10">
        <v>21</v>
      </c>
      <c r="U622" s="15">
        <f>Table1[[#This Row],[Profit Margin]]*Table1[[#This Row],[Order Quantity]]</f>
        <v>1458450</v>
      </c>
      <c r="V622" s="11">
        <v>0.1</v>
      </c>
      <c r="W622" s="15">
        <f t="shared" si="9"/>
        <v>145845</v>
      </c>
      <c r="X622" s="15">
        <f>Table1[[#This Row],[Sub Total]]-Table1[[#This Row],[Discount Rp]]</f>
        <v>1312605</v>
      </c>
      <c r="Y622" s="15">
        <f ca="1">OFFSET(Helper!$C$3,MATCH(Data!$N$4:$N$1003,Helper!$C$4:$C$9,0),MATCH(Data!$O$4:$O$1003,Helper!$D$3:$F$3,0))</f>
        <v>5000</v>
      </c>
      <c r="Z622" s="16">
        <f ca="1">Table1[[#This Row],[Order Total]]+Table1[[#This Row],[Shipping Cost]]</f>
        <v>1317605</v>
      </c>
    </row>
    <row r="623" spans="1:26" ht="15.75" customHeight="1" x14ac:dyDescent="0.3">
      <c r="A623" s="9" t="s">
        <v>1406</v>
      </c>
      <c r="B623" s="18">
        <v>43401</v>
      </c>
      <c r="C623" s="10">
        <f>YEAR(Table1[[#This Row],[Order Date]])</f>
        <v>2018</v>
      </c>
      <c r="D623" s="10" t="s">
        <v>835</v>
      </c>
      <c r="E623" s="10" t="s">
        <v>169</v>
      </c>
      <c r="F623" s="10" t="s">
        <v>54</v>
      </c>
      <c r="G623" s="10" t="s">
        <v>72</v>
      </c>
      <c r="H623" s="10" t="s">
        <v>65</v>
      </c>
      <c r="I623" s="10" t="str">
        <f>VLOOKUP(Table1[[#This Row],[Account Manager ID]],Table2[[Employee ID]:[Full Name]],4,FALSE)</f>
        <v>Laras Nuraini</v>
      </c>
      <c r="J623" s="10" t="str">
        <f>INDEX(Employee!$D$4:$D$47,MATCH($H$4:$H$1003,Employee!$A$4:$A$47,0))</f>
        <v>Laras Nuraini</v>
      </c>
      <c r="K623" s="10" t="s">
        <v>92</v>
      </c>
      <c r="L623" s="10" t="s">
        <v>963</v>
      </c>
      <c r="M623" s="10" t="s">
        <v>59</v>
      </c>
      <c r="N623" s="10" t="s">
        <v>67</v>
      </c>
      <c r="O623" s="10" t="s">
        <v>61</v>
      </c>
      <c r="P623" s="10">
        <v>43405</v>
      </c>
      <c r="Q623" s="15">
        <v>13800</v>
      </c>
      <c r="R623" s="15">
        <v>27150</v>
      </c>
      <c r="S623" s="15">
        <f>Table1[[#This Row],[Retail Price]]-Table1[[#This Row],[Cost Price]]</f>
        <v>13350</v>
      </c>
      <c r="T623" s="10">
        <v>48</v>
      </c>
      <c r="U623" s="15">
        <f>Table1[[#This Row],[Profit Margin]]*Table1[[#This Row],[Order Quantity]]</f>
        <v>640800</v>
      </c>
      <c r="V623" s="11">
        <v>0.02</v>
      </c>
      <c r="W623" s="15">
        <f t="shared" si="9"/>
        <v>12816</v>
      </c>
      <c r="X623" s="15">
        <f>Table1[[#This Row],[Sub Total]]-Table1[[#This Row],[Discount Rp]]</f>
        <v>627984</v>
      </c>
      <c r="Y623" s="15">
        <f ca="1">OFFSET(Helper!$C$3,MATCH(Data!$N$4:$N$1003,Helper!$C$4:$C$9,0),MATCH(Data!$O$4:$O$1003,Helper!$D$3:$F$3,0))</f>
        <v>5000</v>
      </c>
      <c r="Z623" s="16">
        <f ca="1">Table1[[#This Row],[Order Total]]+Table1[[#This Row],[Shipping Cost]]</f>
        <v>632984</v>
      </c>
    </row>
    <row r="624" spans="1:26" ht="15.75" customHeight="1" x14ac:dyDescent="0.3">
      <c r="A624" s="9" t="s">
        <v>1407</v>
      </c>
      <c r="B624" s="18">
        <v>43402</v>
      </c>
      <c r="C624" s="10">
        <f>YEAR(Table1[[#This Row],[Order Date]])</f>
        <v>2018</v>
      </c>
      <c r="D624" s="10" t="s">
        <v>1408</v>
      </c>
      <c r="E624" s="10" t="s">
        <v>1271</v>
      </c>
      <c r="F624" s="10" t="s">
        <v>71</v>
      </c>
      <c r="G624" s="10" t="s">
        <v>106</v>
      </c>
      <c r="H624" s="10" t="s">
        <v>122</v>
      </c>
      <c r="I624" s="10" t="str">
        <f>VLOOKUP(Table1[[#This Row],[Account Manager ID]],Table2[[Employee ID]:[Full Name]],4,FALSE)</f>
        <v>Ophelia Mustofa</v>
      </c>
      <c r="J624" s="10" t="str">
        <f>INDEX(Employee!$D$4:$D$47,MATCH($H$4:$H$1003,Employee!$A$4:$A$47,0))</f>
        <v>Ophelia Mustofa</v>
      </c>
      <c r="K624" s="10" t="s">
        <v>57</v>
      </c>
      <c r="L624" s="10" t="s">
        <v>75</v>
      </c>
      <c r="M624" s="10" t="s">
        <v>59</v>
      </c>
      <c r="N624" s="10" t="s">
        <v>67</v>
      </c>
      <c r="O624" s="10" t="s">
        <v>61</v>
      </c>
      <c r="P624" s="10">
        <v>43402</v>
      </c>
      <c r="Q624" s="15">
        <v>36150</v>
      </c>
      <c r="R624" s="15">
        <v>55650</v>
      </c>
      <c r="S624" s="15">
        <f>Table1[[#This Row],[Retail Price]]-Table1[[#This Row],[Cost Price]]</f>
        <v>19500</v>
      </c>
      <c r="T624" s="10">
        <v>13</v>
      </c>
      <c r="U624" s="15">
        <f>Table1[[#This Row],[Profit Margin]]*Table1[[#This Row],[Order Quantity]]</f>
        <v>253500</v>
      </c>
      <c r="V624" s="11">
        <v>0.06</v>
      </c>
      <c r="W624" s="15">
        <f t="shared" si="9"/>
        <v>15210</v>
      </c>
      <c r="X624" s="15">
        <f>Table1[[#This Row],[Sub Total]]-Table1[[#This Row],[Discount Rp]]</f>
        <v>238290</v>
      </c>
      <c r="Y624" s="15">
        <f ca="1">OFFSET(Helper!$C$3,MATCH(Data!$N$4:$N$1003,Helper!$C$4:$C$9,0),MATCH(Data!$O$4:$O$1003,Helper!$D$3:$F$3,0))</f>
        <v>5000</v>
      </c>
      <c r="Z624" s="16">
        <f ca="1">Table1[[#This Row],[Order Total]]+Table1[[#This Row],[Shipping Cost]]</f>
        <v>243290</v>
      </c>
    </row>
    <row r="625" spans="1:26" ht="15.75" customHeight="1" x14ac:dyDescent="0.3">
      <c r="A625" s="9" t="s">
        <v>1409</v>
      </c>
      <c r="B625" s="18">
        <v>43403</v>
      </c>
      <c r="C625" s="10">
        <f>YEAR(Table1[[#This Row],[Order Date]])</f>
        <v>2018</v>
      </c>
      <c r="D625" s="10" t="s">
        <v>550</v>
      </c>
      <c r="E625" s="10" t="s">
        <v>551</v>
      </c>
      <c r="F625" s="10" t="s">
        <v>71</v>
      </c>
      <c r="G625" s="10" t="s">
        <v>72</v>
      </c>
      <c r="H625" s="10" t="s">
        <v>112</v>
      </c>
      <c r="I625" s="10" t="str">
        <f>VLOOKUP(Table1[[#This Row],[Account Manager ID]],Table2[[Employee ID]:[Full Name]],4,FALSE)</f>
        <v>Paiman Firgantoro</v>
      </c>
      <c r="J625" s="10" t="str">
        <f>INDEX(Employee!$D$4:$D$47,MATCH($H$4:$H$1003,Employee!$A$4:$A$47,0))</f>
        <v>Paiman Firgantoro</v>
      </c>
      <c r="K625" s="10" t="s">
        <v>57</v>
      </c>
      <c r="L625" s="10" t="s">
        <v>530</v>
      </c>
      <c r="M625" s="10" t="s">
        <v>59</v>
      </c>
      <c r="N625" s="10" t="s">
        <v>136</v>
      </c>
      <c r="O625" s="10" t="s">
        <v>61</v>
      </c>
      <c r="P625" s="10">
        <v>43405</v>
      </c>
      <c r="Q625" s="15">
        <v>37500</v>
      </c>
      <c r="R625" s="15">
        <v>85200</v>
      </c>
      <c r="S625" s="15">
        <f>Table1[[#This Row],[Retail Price]]-Table1[[#This Row],[Cost Price]]</f>
        <v>47700</v>
      </c>
      <c r="T625" s="10">
        <v>21</v>
      </c>
      <c r="U625" s="15">
        <f>Table1[[#This Row],[Profit Margin]]*Table1[[#This Row],[Order Quantity]]</f>
        <v>1001700</v>
      </c>
      <c r="V625" s="11">
        <v>7.0000000000000007E-2</v>
      </c>
      <c r="W625" s="15">
        <f t="shared" si="9"/>
        <v>70119</v>
      </c>
      <c r="X625" s="15">
        <f>Table1[[#This Row],[Sub Total]]-Table1[[#This Row],[Discount Rp]]</f>
        <v>931581</v>
      </c>
      <c r="Y625" s="15">
        <f ca="1">OFFSET(Helper!$C$3,MATCH(Data!$N$4:$N$1003,Helper!$C$4:$C$9,0),MATCH(Data!$O$4:$O$1003,Helper!$D$3:$F$3,0))</f>
        <v>10000</v>
      </c>
      <c r="Z625" s="16">
        <f ca="1">Table1[[#This Row],[Order Total]]+Table1[[#This Row],[Shipping Cost]]</f>
        <v>941581</v>
      </c>
    </row>
    <row r="626" spans="1:26" ht="15.75" customHeight="1" x14ac:dyDescent="0.3">
      <c r="A626" s="9" t="s">
        <v>1410</v>
      </c>
      <c r="B626" s="18">
        <v>43403</v>
      </c>
      <c r="C626" s="10">
        <f>YEAR(Table1[[#This Row],[Order Date]])</f>
        <v>2018</v>
      </c>
      <c r="D626" s="10" t="s">
        <v>78</v>
      </c>
      <c r="E626" s="10" t="s">
        <v>79</v>
      </c>
      <c r="F626" s="10" t="s">
        <v>54</v>
      </c>
      <c r="G626" s="10" t="s">
        <v>72</v>
      </c>
      <c r="H626" s="10" t="s">
        <v>56</v>
      </c>
      <c r="I626" s="10" t="str">
        <f>VLOOKUP(Table1[[#This Row],[Account Manager ID]],Table2[[Employee ID]:[Full Name]],4,FALSE)</f>
        <v>Gaduh Pratama</v>
      </c>
      <c r="J626" s="10" t="str">
        <f>INDEX(Employee!$D$4:$D$47,MATCH($H$4:$H$1003,Employee!$A$4:$A$47,0))</f>
        <v>Gaduh Pratama</v>
      </c>
      <c r="K626" s="10" t="s">
        <v>57</v>
      </c>
      <c r="L626" s="10" t="s">
        <v>446</v>
      </c>
      <c r="M626" s="10" t="s">
        <v>59</v>
      </c>
      <c r="N626" s="10" t="s">
        <v>60</v>
      </c>
      <c r="O626" s="10" t="s">
        <v>61</v>
      </c>
      <c r="P626" s="10">
        <v>43405</v>
      </c>
      <c r="Q626" s="15">
        <v>33900</v>
      </c>
      <c r="R626" s="15">
        <v>53700</v>
      </c>
      <c r="S626" s="15">
        <f>Table1[[#This Row],[Retail Price]]-Table1[[#This Row],[Cost Price]]</f>
        <v>19800</v>
      </c>
      <c r="T626" s="10">
        <v>43</v>
      </c>
      <c r="U626" s="15">
        <f>Table1[[#This Row],[Profit Margin]]*Table1[[#This Row],[Order Quantity]]</f>
        <v>851400</v>
      </c>
      <c r="V626" s="11">
        <v>0.08</v>
      </c>
      <c r="W626" s="15">
        <f t="shared" si="9"/>
        <v>68112</v>
      </c>
      <c r="X626" s="15">
        <f>Table1[[#This Row],[Sub Total]]-Table1[[#This Row],[Discount Rp]]</f>
        <v>783288</v>
      </c>
      <c r="Y626" s="15">
        <f ca="1">OFFSET(Helper!$C$3,MATCH(Data!$N$4:$N$1003,Helper!$C$4:$C$9,0),MATCH(Data!$O$4:$O$1003,Helper!$D$3:$F$3,0))</f>
        <v>15000</v>
      </c>
      <c r="Z626" s="16">
        <f ca="1">Table1[[#This Row],[Order Total]]+Table1[[#This Row],[Shipping Cost]]</f>
        <v>798288</v>
      </c>
    </row>
    <row r="627" spans="1:26" ht="15.75" customHeight="1" x14ac:dyDescent="0.3">
      <c r="A627" s="9" t="s">
        <v>1411</v>
      </c>
      <c r="B627" s="18">
        <v>43404</v>
      </c>
      <c r="C627" s="10">
        <f>YEAR(Table1[[#This Row],[Order Date]])</f>
        <v>2018</v>
      </c>
      <c r="D627" s="10" t="s">
        <v>171</v>
      </c>
      <c r="E627" s="10" t="s">
        <v>172</v>
      </c>
      <c r="F627" s="10" t="s">
        <v>54</v>
      </c>
      <c r="G627" s="10" t="s">
        <v>106</v>
      </c>
      <c r="H627" s="10" t="s">
        <v>65</v>
      </c>
      <c r="I627" s="10" t="str">
        <f>VLOOKUP(Table1[[#This Row],[Account Manager ID]],Table2[[Employee ID]:[Full Name]],4,FALSE)</f>
        <v>Laras Nuraini</v>
      </c>
      <c r="J627" s="10" t="str">
        <f>INDEX(Employee!$D$4:$D$47,MATCH($H$4:$H$1003,Employee!$A$4:$A$47,0))</f>
        <v>Laras Nuraini</v>
      </c>
      <c r="K627" s="10" t="s">
        <v>117</v>
      </c>
      <c r="L627" s="10" t="s">
        <v>465</v>
      </c>
      <c r="M627" s="10" t="s">
        <v>59</v>
      </c>
      <c r="N627" s="10" t="s">
        <v>60</v>
      </c>
      <c r="O627" s="10" t="s">
        <v>61</v>
      </c>
      <c r="P627" s="10">
        <v>43405</v>
      </c>
      <c r="Q627" s="15">
        <v>52500</v>
      </c>
      <c r="R627" s="15">
        <v>86100</v>
      </c>
      <c r="S627" s="15">
        <f>Table1[[#This Row],[Retail Price]]-Table1[[#This Row],[Cost Price]]</f>
        <v>33600</v>
      </c>
      <c r="T627" s="10">
        <v>41</v>
      </c>
      <c r="U627" s="15">
        <f>Table1[[#This Row],[Profit Margin]]*Table1[[#This Row],[Order Quantity]]</f>
        <v>1377600</v>
      </c>
      <c r="V627" s="11">
        <v>0.08</v>
      </c>
      <c r="W627" s="15">
        <f t="shared" si="9"/>
        <v>110208</v>
      </c>
      <c r="X627" s="15">
        <f>Table1[[#This Row],[Sub Total]]-Table1[[#This Row],[Discount Rp]]</f>
        <v>1267392</v>
      </c>
      <c r="Y627" s="15">
        <f ca="1">OFFSET(Helper!$C$3,MATCH(Data!$N$4:$N$1003,Helper!$C$4:$C$9,0),MATCH(Data!$O$4:$O$1003,Helper!$D$3:$F$3,0))</f>
        <v>15000</v>
      </c>
      <c r="Z627" s="16">
        <f ca="1">Table1[[#This Row],[Order Total]]+Table1[[#This Row],[Shipping Cost]]</f>
        <v>1282392</v>
      </c>
    </row>
    <row r="628" spans="1:26" ht="15.75" customHeight="1" x14ac:dyDescent="0.3">
      <c r="A628" s="9" t="s">
        <v>1412</v>
      </c>
      <c r="B628" s="18">
        <v>43405</v>
      </c>
      <c r="C628" s="10">
        <f>YEAR(Table1[[#This Row],[Order Date]])</f>
        <v>2018</v>
      </c>
      <c r="D628" s="10" t="s">
        <v>495</v>
      </c>
      <c r="E628" s="10" t="s">
        <v>154</v>
      </c>
      <c r="F628" s="10" t="s">
        <v>71</v>
      </c>
      <c r="G628" s="10" t="s">
        <v>87</v>
      </c>
      <c r="H628" s="10" t="s">
        <v>155</v>
      </c>
      <c r="I628" s="10" t="str">
        <f>VLOOKUP(Table1[[#This Row],[Account Manager ID]],Table2[[Employee ID]:[Full Name]],4,FALSE)</f>
        <v>Puti Nadine Prakasa</v>
      </c>
      <c r="J628" s="10" t="str">
        <f>INDEX(Employee!$D$4:$D$47,MATCH($H$4:$H$1003,Employee!$A$4:$A$47,0))</f>
        <v>Puti Nadine Prakasa</v>
      </c>
      <c r="K628" s="10" t="s">
        <v>74</v>
      </c>
      <c r="L628" s="10" t="s">
        <v>691</v>
      </c>
      <c r="M628" s="10" t="s">
        <v>59</v>
      </c>
      <c r="N628" s="10" t="s">
        <v>136</v>
      </c>
      <c r="O628" s="10" t="s">
        <v>61</v>
      </c>
      <c r="P628" s="10">
        <v>43408</v>
      </c>
      <c r="Q628" s="15">
        <v>61499.999999999993</v>
      </c>
      <c r="R628" s="15">
        <v>139650</v>
      </c>
      <c r="S628" s="15">
        <f>Table1[[#This Row],[Retail Price]]-Table1[[#This Row],[Cost Price]]</f>
        <v>78150</v>
      </c>
      <c r="T628" s="10">
        <v>26</v>
      </c>
      <c r="U628" s="15">
        <f>Table1[[#This Row],[Profit Margin]]*Table1[[#This Row],[Order Quantity]]</f>
        <v>2031900</v>
      </c>
      <c r="V628" s="11">
        <v>0.06</v>
      </c>
      <c r="W628" s="15">
        <f t="shared" si="9"/>
        <v>121914</v>
      </c>
      <c r="X628" s="15">
        <f>Table1[[#This Row],[Sub Total]]-Table1[[#This Row],[Discount Rp]]</f>
        <v>1909986</v>
      </c>
      <c r="Y628" s="15">
        <f ca="1">OFFSET(Helper!$C$3,MATCH(Data!$N$4:$N$1003,Helper!$C$4:$C$9,0),MATCH(Data!$O$4:$O$1003,Helper!$D$3:$F$3,0))</f>
        <v>10000</v>
      </c>
      <c r="Z628" s="16">
        <f ca="1">Table1[[#This Row],[Order Total]]+Table1[[#This Row],[Shipping Cost]]</f>
        <v>1919986</v>
      </c>
    </row>
    <row r="629" spans="1:26" ht="15.75" customHeight="1" x14ac:dyDescent="0.3">
      <c r="A629" s="9" t="s">
        <v>1413</v>
      </c>
      <c r="B629" s="18">
        <v>43408</v>
      </c>
      <c r="C629" s="10">
        <f>YEAR(Table1[[#This Row],[Order Date]])</f>
        <v>2018</v>
      </c>
      <c r="D629" s="10" t="s">
        <v>1414</v>
      </c>
      <c r="E629" s="10" t="s">
        <v>756</v>
      </c>
      <c r="F629" s="10" t="s">
        <v>71</v>
      </c>
      <c r="G629" s="10" t="s">
        <v>55</v>
      </c>
      <c r="H629" s="10" t="s">
        <v>146</v>
      </c>
      <c r="I629" s="10" t="str">
        <f>VLOOKUP(Table1[[#This Row],[Account Manager ID]],Table2[[Employee ID]:[Full Name]],4,FALSE)</f>
        <v>Kenari Rajasa</v>
      </c>
      <c r="J629" s="10" t="str">
        <f>INDEX(Employee!$D$4:$D$47,MATCH($H$4:$H$1003,Employee!$A$4:$A$47,0))</f>
        <v>Kenari Rajasa</v>
      </c>
      <c r="K629" s="10" t="s">
        <v>92</v>
      </c>
      <c r="L629" s="10" t="s">
        <v>190</v>
      </c>
      <c r="M629" s="10" t="s">
        <v>81</v>
      </c>
      <c r="N629" s="10" t="s">
        <v>60</v>
      </c>
      <c r="O629" s="10" t="s">
        <v>61</v>
      </c>
      <c r="P629" s="10">
        <v>43415</v>
      </c>
      <c r="Q629" s="15">
        <v>480300.00000000006</v>
      </c>
      <c r="R629" s="15">
        <v>2287200</v>
      </c>
      <c r="S629" s="15">
        <f>Table1[[#This Row],[Retail Price]]-Table1[[#This Row],[Cost Price]]</f>
        <v>1806900</v>
      </c>
      <c r="T629" s="10">
        <v>14</v>
      </c>
      <c r="U629" s="15">
        <f>Table1[[#This Row],[Profit Margin]]*Table1[[#This Row],[Order Quantity]]</f>
        <v>25296600</v>
      </c>
      <c r="V629" s="11">
        <v>0.03</v>
      </c>
      <c r="W629" s="15">
        <f t="shared" si="9"/>
        <v>758898</v>
      </c>
      <c r="X629" s="15">
        <f>Table1[[#This Row],[Sub Total]]-Table1[[#This Row],[Discount Rp]]</f>
        <v>24537702</v>
      </c>
      <c r="Y629" s="15">
        <f ca="1">OFFSET(Helper!$C$3,MATCH(Data!$N$4:$N$1003,Helper!$C$4:$C$9,0),MATCH(Data!$O$4:$O$1003,Helper!$D$3:$F$3,0))</f>
        <v>15000</v>
      </c>
      <c r="Z629" s="16">
        <f ca="1">Table1[[#This Row],[Order Total]]+Table1[[#This Row],[Shipping Cost]]</f>
        <v>24552702</v>
      </c>
    </row>
    <row r="630" spans="1:26" ht="15.75" customHeight="1" x14ac:dyDescent="0.3">
      <c r="A630" s="9" t="s">
        <v>1415</v>
      </c>
      <c r="B630" s="18">
        <v>43408</v>
      </c>
      <c r="C630" s="10">
        <f>YEAR(Table1[[#This Row],[Order Date]])</f>
        <v>2018</v>
      </c>
      <c r="D630" s="10" t="s">
        <v>1416</v>
      </c>
      <c r="E630" s="10" t="s">
        <v>145</v>
      </c>
      <c r="F630" s="10" t="s">
        <v>71</v>
      </c>
      <c r="G630" s="10" t="s">
        <v>72</v>
      </c>
      <c r="H630" s="10" t="s">
        <v>146</v>
      </c>
      <c r="I630" s="10" t="str">
        <f>VLOOKUP(Table1[[#This Row],[Account Manager ID]],Table2[[Employee ID]:[Full Name]],4,FALSE)</f>
        <v>Kenari Rajasa</v>
      </c>
      <c r="J630" s="10" t="str">
        <f>INDEX(Employee!$D$4:$D$47,MATCH($H$4:$H$1003,Employee!$A$4:$A$47,0))</f>
        <v>Kenari Rajasa</v>
      </c>
      <c r="K630" s="10" t="s">
        <v>107</v>
      </c>
      <c r="L630" s="10" t="s">
        <v>510</v>
      </c>
      <c r="M630" s="10" t="s">
        <v>59</v>
      </c>
      <c r="N630" s="10" t="s">
        <v>67</v>
      </c>
      <c r="O630" s="10" t="s">
        <v>76</v>
      </c>
      <c r="P630" s="10">
        <v>43409</v>
      </c>
      <c r="Q630" s="15">
        <v>49800</v>
      </c>
      <c r="R630" s="15">
        <v>77700</v>
      </c>
      <c r="S630" s="15">
        <f>Table1[[#This Row],[Retail Price]]-Table1[[#This Row],[Cost Price]]</f>
        <v>27900</v>
      </c>
      <c r="T630" s="10">
        <v>1</v>
      </c>
      <c r="U630" s="15">
        <f>Table1[[#This Row],[Profit Margin]]*Table1[[#This Row],[Order Quantity]]</f>
        <v>27900</v>
      </c>
      <c r="V630" s="11">
        <v>0</v>
      </c>
      <c r="W630" s="15">
        <f t="shared" si="9"/>
        <v>0</v>
      </c>
      <c r="X630" s="15">
        <f>Table1[[#This Row],[Sub Total]]-Table1[[#This Row],[Discount Rp]]</f>
        <v>27900</v>
      </c>
      <c r="Y630" s="15">
        <f ca="1">OFFSET(Helper!$C$3,MATCH(Data!$N$4:$N$1003,Helper!$C$4:$C$9,0),MATCH(Data!$O$4:$O$1003,Helper!$D$3:$F$3,0))</f>
        <v>10000</v>
      </c>
      <c r="Z630" s="16">
        <f ca="1">Table1[[#This Row],[Order Total]]+Table1[[#This Row],[Shipping Cost]]</f>
        <v>37900</v>
      </c>
    </row>
    <row r="631" spans="1:26" ht="15.75" customHeight="1" x14ac:dyDescent="0.3">
      <c r="A631" s="9" t="s">
        <v>1417</v>
      </c>
      <c r="B631" s="18">
        <v>43408</v>
      </c>
      <c r="C631" s="10">
        <f>YEAR(Table1[[#This Row],[Order Date]])</f>
        <v>2018</v>
      </c>
      <c r="D631" s="10" t="s">
        <v>330</v>
      </c>
      <c r="E631" s="10" t="s">
        <v>172</v>
      </c>
      <c r="F631" s="10" t="s">
        <v>54</v>
      </c>
      <c r="G631" s="10" t="s">
        <v>87</v>
      </c>
      <c r="H631" s="10" t="s">
        <v>65</v>
      </c>
      <c r="I631" s="10" t="str">
        <f>VLOOKUP(Table1[[#This Row],[Account Manager ID]],Table2[[Employee ID]:[Full Name]],4,FALSE)</f>
        <v>Laras Nuraini</v>
      </c>
      <c r="J631" s="10" t="str">
        <f>INDEX(Employee!$D$4:$D$47,MATCH($H$4:$H$1003,Employee!$A$4:$A$47,0))</f>
        <v>Laras Nuraini</v>
      </c>
      <c r="K631" s="10" t="s">
        <v>74</v>
      </c>
      <c r="L631" s="10" t="s">
        <v>265</v>
      </c>
      <c r="M631" s="10" t="s">
        <v>59</v>
      </c>
      <c r="N631" s="10" t="s">
        <v>60</v>
      </c>
      <c r="O631" s="10" t="s">
        <v>61</v>
      </c>
      <c r="P631" s="10">
        <v>43409</v>
      </c>
      <c r="Q631" s="15">
        <v>17700</v>
      </c>
      <c r="R631" s="15">
        <v>28200</v>
      </c>
      <c r="S631" s="15">
        <f>Table1[[#This Row],[Retail Price]]-Table1[[#This Row],[Cost Price]]</f>
        <v>10500</v>
      </c>
      <c r="T631" s="10">
        <v>8</v>
      </c>
      <c r="U631" s="15">
        <f>Table1[[#This Row],[Profit Margin]]*Table1[[#This Row],[Order Quantity]]</f>
        <v>84000</v>
      </c>
      <c r="V631" s="11">
        <v>0.05</v>
      </c>
      <c r="W631" s="15">
        <f t="shared" si="9"/>
        <v>4200</v>
      </c>
      <c r="X631" s="15">
        <f>Table1[[#This Row],[Sub Total]]-Table1[[#This Row],[Discount Rp]]</f>
        <v>79800</v>
      </c>
      <c r="Y631" s="15">
        <f ca="1">OFFSET(Helper!$C$3,MATCH(Data!$N$4:$N$1003,Helper!$C$4:$C$9,0),MATCH(Data!$O$4:$O$1003,Helper!$D$3:$F$3,0))</f>
        <v>15000</v>
      </c>
      <c r="Z631" s="16">
        <f ca="1">Table1[[#This Row],[Order Total]]+Table1[[#This Row],[Shipping Cost]]</f>
        <v>94800</v>
      </c>
    </row>
    <row r="632" spans="1:26" ht="15.75" customHeight="1" x14ac:dyDescent="0.3">
      <c r="A632" s="9" t="s">
        <v>1418</v>
      </c>
      <c r="B632" s="18">
        <v>43409</v>
      </c>
      <c r="C632" s="10">
        <f>YEAR(Table1[[#This Row],[Order Date]])</f>
        <v>2018</v>
      </c>
      <c r="D632" s="10" t="s">
        <v>1419</v>
      </c>
      <c r="E632" s="10" t="s">
        <v>116</v>
      </c>
      <c r="F632" s="10" t="s">
        <v>54</v>
      </c>
      <c r="G632" s="10" t="s">
        <v>55</v>
      </c>
      <c r="H632" s="10" t="s">
        <v>65</v>
      </c>
      <c r="I632" s="10" t="str">
        <f>VLOOKUP(Table1[[#This Row],[Account Manager ID]],Table2[[Employee ID]:[Full Name]],4,FALSE)</f>
        <v>Laras Nuraini</v>
      </c>
      <c r="J632" s="10" t="str">
        <f>INDEX(Employee!$D$4:$D$47,MATCH($H$4:$H$1003,Employee!$A$4:$A$47,0))</f>
        <v>Laras Nuraini</v>
      </c>
      <c r="K632" s="10" t="s">
        <v>57</v>
      </c>
      <c r="L632" s="10" t="s">
        <v>1061</v>
      </c>
      <c r="M632" s="10" t="s">
        <v>59</v>
      </c>
      <c r="N632" s="10" t="s">
        <v>60</v>
      </c>
      <c r="O632" s="10" t="s">
        <v>61</v>
      </c>
      <c r="P632" s="10">
        <v>43411</v>
      </c>
      <c r="Q632" s="15">
        <v>17850</v>
      </c>
      <c r="R632" s="15">
        <v>29700</v>
      </c>
      <c r="S632" s="15">
        <f>Table1[[#This Row],[Retail Price]]-Table1[[#This Row],[Cost Price]]</f>
        <v>11850</v>
      </c>
      <c r="T632" s="10">
        <v>21</v>
      </c>
      <c r="U632" s="15">
        <f>Table1[[#This Row],[Profit Margin]]*Table1[[#This Row],[Order Quantity]]</f>
        <v>248850</v>
      </c>
      <c r="V632" s="11">
        <v>0.01</v>
      </c>
      <c r="W632" s="15">
        <f t="shared" si="9"/>
        <v>2488.5</v>
      </c>
      <c r="X632" s="15">
        <f>Table1[[#This Row],[Sub Total]]-Table1[[#This Row],[Discount Rp]]</f>
        <v>246361.5</v>
      </c>
      <c r="Y632" s="15">
        <f ca="1">OFFSET(Helper!$C$3,MATCH(Data!$N$4:$N$1003,Helper!$C$4:$C$9,0),MATCH(Data!$O$4:$O$1003,Helper!$D$3:$F$3,0))</f>
        <v>15000</v>
      </c>
      <c r="Z632" s="16">
        <f ca="1">Table1[[#This Row],[Order Total]]+Table1[[#This Row],[Shipping Cost]]</f>
        <v>261361.5</v>
      </c>
    </row>
    <row r="633" spans="1:26" ht="15.75" customHeight="1" x14ac:dyDescent="0.3">
      <c r="A633" s="9" t="s">
        <v>1420</v>
      </c>
      <c r="B633" s="18">
        <v>43409</v>
      </c>
      <c r="C633" s="10">
        <f>YEAR(Table1[[#This Row],[Order Date]])</f>
        <v>2018</v>
      </c>
      <c r="D633" s="10" t="s">
        <v>910</v>
      </c>
      <c r="E633" s="10" t="s">
        <v>393</v>
      </c>
      <c r="F633" s="10" t="s">
        <v>71</v>
      </c>
      <c r="G633" s="10" t="s">
        <v>72</v>
      </c>
      <c r="H633" s="10" t="s">
        <v>122</v>
      </c>
      <c r="I633" s="10" t="str">
        <f>VLOOKUP(Table1[[#This Row],[Account Manager ID]],Table2[[Employee ID]:[Full Name]],4,FALSE)</f>
        <v>Ophelia Mustofa</v>
      </c>
      <c r="J633" s="10" t="str">
        <f>INDEX(Employee!$D$4:$D$47,MATCH($H$4:$H$1003,Employee!$A$4:$A$47,0))</f>
        <v>Ophelia Mustofa</v>
      </c>
      <c r="K633" s="10" t="s">
        <v>57</v>
      </c>
      <c r="L633" s="10" t="s">
        <v>629</v>
      </c>
      <c r="M633" s="10" t="s">
        <v>59</v>
      </c>
      <c r="N633" s="10" t="s">
        <v>67</v>
      </c>
      <c r="O633" s="10" t="s">
        <v>61</v>
      </c>
      <c r="P633" s="10">
        <v>43411</v>
      </c>
      <c r="Q633" s="15">
        <v>26400</v>
      </c>
      <c r="R633" s="15">
        <v>44100</v>
      </c>
      <c r="S633" s="15">
        <f>Table1[[#This Row],[Retail Price]]-Table1[[#This Row],[Cost Price]]</f>
        <v>17700</v>
      </c>
      <c r="T633" s="10">
        <v>35</v>
      </c>
      <c r="U633" s="15">
        <f>Table1[[#This Row],[Profit Margin]]*Table1[[#This Row],[Order Quantity]]</f>
        <v>619500</v>
      </c>
      <c r="V633" s="11">
        <v>0.09</v>
      </c>
      <c r="W633" s="15">
        <f t="shared" si="9"/>
        <v>55755</v>
      </c>
      <c r="X633" s="15">
        <f>Table1[[#This Row],[Sub Total]]-Table1[[#This Row],[Discount Rp]]</f>
        <v>563745</v>
      </c>
      <c r="Y633" s="15">
        <f ca="1">OFFSET(Helper!$C$3,MATCH(Data!$N$4:$N$1003,Helper!$C$4:$C$9,0),MATCH(Data!$O$4:$O$1003,Helper!$D$3:$F$3,0))</f>
        <v>5000</v>
      </c>
      <c r="Z633" s="16">
        <f ca="1">Table1[[#This Row],[Order Total]]+Table1[[#This Row],[Shipping Cost]]</f>
        <v>568745</v>
      </c>
    </row>
    <row r="634" spans="1:26" ht="15.75" customHeight="1" x14ac:dyDescent="0.3">
      <c r="A634" s="9" t="s">
        <v>1421</v>
      </c>
      <c r="B634" s="18">
        <v>43410</v>
      </c>
      <c r="C634" s="10">
        <f>YEAR(Table1[[#This Row],[Order Date]])</f>
        <v>2018</v>
      </c>
      <c r="D634" s="10" t="s">
        <v>1422</v>
      </c>
      <c r="E634" s="10" t="s">
        <v>319</v>
      </c>
      <c r="F634" s="10" t="s">
        <v>54</v>
      </c>
      <c r="G634" s="10" t="s">
        <v>55</v>
      </c>
      <c r="H634" s="10" t="s">
        <v>56</v>
      </c>
      <c r="I634" s="10" t="str">
        <f>VLOOKUP(Table1[[#This Row],[Account Manager ID]],Table2[[Employee ID]:[Full Name]],4,FALSE)</f>
        <v>Gaduh Pratama</v>
      </c>
      <c r="J634" s="10" t="str">
        <f>INDEX(Employee!$D$4:$D$47,MATCH($H$4:$H$1003,Employee!$A$4:$A$47,0))</f>
        <v>Gaduh Pratama</v>
      </c>
      <c r="K634" s="10" t="s">
        <v>57</v>
      </c>
      <c r="L634" s="10" t="s">
        <v>917</v>
      </c>
      <c r="M634" s="10" t="s">
        <v>59</v>
      </c>
      <c r="N634" s="10" t="s">
        <v>67</v>
      </c>
      <c r="O634" s="10" t="s">
        <v>76</v>
      </c>
      <c r="P634" s="10">
        <v>43411</v>
      </c>
      <c r="Q634" s="15">
        <v>28200</v>
      </c>
      <c r="R634" s="15">
        <v>47100</v>
      </c>
      <c r="S634" s="15">
        <f>Table1[[#This Row],[Retail Price]]-Table1[[#This Row],[Cost Price]]</f>
        <v>18900</v>
      </c>
      <c r="T634" s="10">
        <v>43</v>
      </c>
      <c r="U634" s="15">
        <f>Table1[[#This Row],[Profit Margin]]*Table1[[#This Row],[Order Quantity]]</f>
        <v>812700</v>
      </c>
      <c r="V634" s="11">
        <v>7.0000000000000007E-2</v>
      </c>
      <c r="W634" s="15">
        <f t="shared" si="9"/>
        <v>56889.000000000007</v>
      </c>
      <c r="X634" s="15">
        <f>Table1[[#This Row],[Sub Total]]-Table1[[#This Row],[Discount Rp]]</f>
        <v>755811</v>
      </c>
      <c r="Y634" s="15">
        <f ca="1">OFFSET(Helper!$C$3,MATCH(Data!$N$4:$N$1003,Helper!$C$4:$C$9,0),MATCH(Data!$O$4:$O$1003,Helper!$D$3:$F$3,0))</f>
        <v>10000</v>
      </c>
      <c r="Z634" s="16">
        <f ca="1">Table1[[#This Row],[Order Total]]+Table1[[#This Row],[Shipping Cost]]</f>
        <v>765811</v>
      </c>
    </row>
    <row r="635" spans="1:26" ht="15.75" customHeight="1" x14ac:dyDescent="0.3">
      <c r="A635" s="9" t="s">
        <v>1423</v>
      </c>
      <c r="B635" s="18">
        <v>43410</v>
      </c>
      <c r="C635" s="10">
        <f>YEAR(Table1[[#This Row],[Order Date]])</f>
        <v>2018</v>
      </c>
      <c r="D635" s="10" t="s">
        <v>1422</v>
      </c>
      <c r="E635" s="10" t="s">
        <v>319</v>
      </c>
      <c r="F635" s="10" t="s">
        <v>54</v>
      </c>
      <c r="G635" s="10" t="s">
        <v>55</v>
      </c>
      <c r="H635" s="10" t="s">
        <v>56</v>
      </c>
      <c r="I635" s="10" t="str">
        <f>VLOOKUP(Table1[[#This Row],[Account Manager ID]],Table2[[Employee ID]:[Full Name]],4,FALSE)</f>
        <v>Gaduh Pratama</v>
      </c>
      <c r="J635" s="10" t="str">
        <f>INDEX(Employee!$D$4:$D$47,MATCH($H$4:$H$1003,Employee!$A$4:$A$47,0))</f>
        <v>Gaduh Pratama</v>
      </c>
      <c r="K635" s="10" t="s">
        <v>57</v>
      </c>
      <c r="L635" s="10" t="s">
        <v>450</v>
      </c>
      <c r="M635" s="10" t="s">
        <v>59</v>
      </c>
      <c r="N635" s="10" t="s">
        <v>136</v>
      </c>
      <c r="O635" s="10" t="s">
        <v>61</v>
      </c>
      <c r="P635" s="10">
        <v>43412</v>
      </c>
      <c r="Q635" s="15">
        <v>21900</v>
      </c>
      <c r="R635" s="15">
        <v>53550</v>
      </c>
      <c r="S635" s="15">
        <f>Table1[[#This Row],[Retail Price]]-Table1[[#This Row],[Cost Price]]</f>
        <v>31650</v>
      </c>
      <c r="T635" s="10">
        <v>19</v>
      </c>
      <c r="U635" s="15">
        <f>Table1[[#This Row],[Profit Margin]]*Table1[[#This Row],[Order Quantity]]</f>
        <v>601350</v>
      </c>
      <c r="V635" s="11">
        <v>0.08</v>
      </c>
      <c r="W635" s="15">
        <f t="shared" si="9"/>
        <v>48108</v>
      </c>
      <c r="X635" s="15">
        <f>Table1[[#This Row],[Sub Total]]-Table1[[#This Row],[Discount Rp]]</f>
        <v>553242</v>
      </c>
      <c r="Y635" s="15">
        <f ca="1">OFFSET(Helper!$C$3,MATCH(Data!$N$4:$N$1003,Helper!$C$4:$C$9,0),MATCH(Data!$O$4:$O$1003,Helper!$D$3:$F$3,0))</f>
        <v>10000</v>
      </c>
      <c r="Z635" s="16">
        <f ca="1">Table1[[#This Row],[Order Total]]+Table1[[#This Row],[Shipping Cost]]</f>
        <v>563242</v>
      </c>
    </row>
    <row r="636" spans="1:26" ht="15.75" customHeight="1" x14ac:dyDescent="0.3">
      <c r="A636" s="9" t="s">
        <v>1424</v>
      </c>
      <c r="B636" s="18">
        <v>43410</v>
      </c>
      <c r="C636" s="10">
        <f>YEAR(Table1[[#This Row],[Order Date]])</f>
        <v>2018</v>
      </c>
      <c r="D636" s="10" t="s">
        <v>1309</v>
      </c>
      <c r="E636" s="10" t="s">
        <v>449</v>
      </c>
      <c r="F636" s="10" t="s">
        <v>54</v>
      </c>
      <c r="G636" s="10" t="s">
        <v>55</v>
      </c>
      <c r="H636" s="10" t="s">
        <v>56</v>
      </c>
      <c r="I636" s="10" t="str">
        <f>VLOOKUP(Table1[[#This Row],[Account Manager ID]],Table2[[Employee ID]:[Full Name]],4,FALSE)</f>
        <v>Gaduh Pratama</v>
      </c>
      <c r="J636" s="10" t="str">
        <f>INDEX(Employee!$D$4:$D$47,MATCH($H$4:$H$1003,Employee!$A$4:$A$47,0))</f>
        <v>Gaduh Pratama</v>
      </c>
      <c r="K636" s="10" t="s">
        <v>74</v>
      </c>
      <c r="L636" s="10" t="s">
        <v>367</v>
      </c>
      <c r="M636" s="10" t="s">
        <v>59</v>
      </c>
      <c r="N636" s="10" t="s">
        <v>60</v>
      </c>
      <c r="O636" s="10" t="s">
        <v>61</v>
      </c>
      <c r="P636" s="10">
        <v>43413</v>
      </c>
      <c r="Q636" s="15">
        <v>29700</v>
      </c>
      <c r="R636" s="15">
        <v>47250</v>
      </c>
      <c r="S636" s="15">
        <f>Table1[[#This Row],[Retail Price]]-Table1[[#This Row],[Cost Price]]</f>
        <v>17550</v>
      </c>
      <c r="T636" s="10">
        <v>17</v>
      </c>
      <c r="U636" s="15">
        <f>Table1[[#This Row],[Profit Margin]]*Table1[[#This Row],[Order Quantity]]</f>
        <v>298350</v>
      </c>
      <c r="V636" s="11">
        <v>0.05</v>
      </c>
      <c r="W636" s="15">
        <f t="shared" si="9"/>
        <v>14917.5</v>
      </c>
      <c r="X636" s="15">
        <f>Table1[[#This Row],[Sub Total]]-Table1[[#This Row],[Discount Rp]]</f>
        <v>283432.5</v>
      </c>
      <c r="Y636" s="15">
        <f ca="1">OFFSET(Helper!$C$3,MATCH(Data!$N$4:$N$1003,Helper!$C$4:$C$9,0),MATCH(Data!$O$4:$O$1003,Helper!$D$3:$F$3,0))</f>
        <v>15000</v>
      </c>
      <c r="Z636" s="16">
        <f ca="1">Table1[[#This Row],[Order Total]]+Table1[[#This Row],[Shipping Cost]]</f>
        <v>298432.5</v>
      </c>
    </row>
    <row r="637" spans="1:26" ht="15.75" customHeight="1" x14ac:dyDescent="0.3">
      <c r="A637" s="9" t="s">
        <v>1425</v>
      </c>
      <c r="B637" s="18">
        <v>43411</v>
      </c>
      <c r="C637" s="10">
        <f>YEAR(Table1[[#This Row],[Order Date]])</f>
        <v>2018</v>
      </c>
      <c r="D637" s="10" t="s">
        <v>192</v>
      </c>
      <c r="E637" s="10" t="s">
        <v>193</v>
      </c>
      <c r="F637" s="10" t="s">
        <v>71</v>
      </c>
      <c r="G637" s="10" t="s">
        <v>87</v>
      </c>
      <c r="H637" s="10" t="s">
        <v>194</v>
      </c>
      <c r="I637" s="10" t="str">
        <f>VLOOKUP(Table1[[#This Row],[Account Manager ID]],Table2[[Employee ID]:[Full Name]],4,FALSE)</f>
        <v>Nabila Prakasa</v>
      </c>
      <c r="J637" s="10" t="str">
        <f>INDEX(Employee!$D$4:$D$47,MATCH($H$4:$H$1003,Employee!$A$4:$A$47,0))</f>
        <v>Nabila Prakasa</v>
      </c>
      <c r="K637" s="10" t="s">
        <v>117</v>
      </c>
      <c r="L637" s="10" t="s">
        <v>142</v>
      </c>
      <c r="M637" s="10" t="s">
        <v>59</v>
      </c>
      <c r="N637" s="10" t="s">
        <v>60</v>
      </c>
      <c r="O637" s="10" t="s">
        <v>76</v>
      </c>
      <c r="P637" s="10">
        <v>43412</v>
      </c>
      <c r="Q637" s="15">
        <v>68850</v>
      </c>
      <c r="R637" s="15">
        <v>109200</v>
      </c>
      <c r="S637" s="15">
        <f>Table1[[#This Row],[Retail Price]]-Table1[[#This Row],[Cost Price]]</f>
        <v>40350</v>
      </c>
      <c r="T637" s="10">
        <v>20</v>
      </c>
      <c r="U637" s="15">
        <f>Table1[[#This Row],[Profit Margin]]*Table1[[#This Row],[Order Quantity]]</f>
        <v>807000</v>
      </c>
      <c r="V637" s="11">
        <v>0.1</v>
      </c>
      <c r="W637" s="15">
        <f t="shared" si="9"/>
        <v>80700</v>
      </c>
      <c r="X637" s="15">
        <f>Table1[[#This Row],[Sub Total]]-Table1[[#This Row],[Discount Rp]]</f>
        <v>726300</v>
      </c>
      <c r="Y637" s="15">
        <f ca="1">OFFSET(Helper!$C$3,MATCH(Data!$N$4:$N$1003,Helper!$C$4:$C$9,0),MATCH(Data!$O$4:$O$1003,Helper!$D$3:$F$3,0))</f>
        <v>30000</v>
      </c>
      <c r="Z637" s="16">
        <f ca="1">Table1[[#This Row],[Order Total]]+Table1[[#This Row],[Shipping Cost]]</f>
        <v>756300</v>
      </c>
    </row>
    <row r="638" spans="1:26" ht="15.75" customHeight="1" x14ac:dyDescent="0.3">
      <c r="A638" s="9" t="s">
        <v>1426</v>
      </c>
      <c r="B638" s="18">
        <v>43411</v>
      </c>
      <c r="C638" s="10">
        <f>YEAR(Table1[[#This Row],[Order Date]])</f>
        <v>2018</v>
      </c>
      <c r="D638" s="10" t="s">
        <v>1050</v>
      </c>
      <c r="E638" s="10" t="s">
        <v>1051</v>
      </c>
      <c r="F638" s="10" t="s">
        <v>71</v>
      </c>
      <c r="G638" s="10" t="s">
        <v>72</v>
      </c>
      <c r="H638" s="10" t="s">
        <v>122</v>
      </c>
      <c r="I638" s="10" t="str">
        <f>VLOOKUP(Table1[[#This Row],[Account Manager ID]],Table2[[Employee ID]:[Full Name]],4,FALSE)</f>
        <v>Ophelia Mustofa</v>
      </c>
      <c r="J638" s="10" t="str">
        <f>INDEX(Employee!$D$4:$D$47,MATCH($H$4:$H$1003,Employee!$A$4:$A$47,0))</f>
        <v>Ophelia Mustofa</v>
      </c>
      <c r="K638" s="10" t="s">
        <v>57</v>
      </c>
      <c r="L638" s="10" t="s">
        <v>588</v>
      </c>
      <c r="M638" s="10" t="s">
        <v>59</v>
      </c>
      <c r="N638" s="10" t="s">
        <v>60</v>
      </c>
      <c r="O638" s="10" t="s">
        <v>61</v>
      </c>
      <c r="P638" s="10">
        <v>43411</v>
      </c>
      <c r="Q638" s="15">
        <v>67950</v>
      </c>
      <c r="R638" s="15">
        <v>109500</v>
      </c>
      <c r="S638" s="15">
        <f>Table1[[#This Row],[Retail Price]]-Table1[[#This Row],[Cost Price]]</f>
        <v>41550</v>
      </c>
      <c r="T638" s="10">
        <v>12</v>
      </c>
      <c r="U638" s="15">
        <f>Table1[[#This Row],[Profit Margin]]*Table1[[#This Row],[Order Quantity]]</f>
        <v>498600</v>
      </c>
      <c r="V638" s="11">
        <v>0.03</v>
      </c>
      <c r="W638" s="15">
        <f t="shared" si="9"/>
        <v>14958</v>
      </c>
      <c r="X638" s="15">
        <f>Table1[[#This Row],[Sub Total]]-Table1[[#This Row],[Discount Rp]]</f>
        <v>483642</v>
      </c>
      <c r="Y638" s="15">
        <f ca="1">OFFSET(Helper!$C$3,MATCH(Data!$N$4:$N$1003,Helper!$C$4:$C$9,0),MATCH(Data!$O$4:$O$1003,Helper!$D$3:$F$3,0))</f>
        <v>15000</v>
      </c>
      <c r="Z638" s="16">
        <f ca="1">Table1[[#This Row],[Order Total]]+Table1[[#This Row],[Shipping Cost]]</f>
        <v>498642</v>
      </c>
    </row>
    <row r="639" spans="1:26" ht="15.75" customHeight="1" x14ac:dyDescent="0.3">
      <c r="A639" s="9" t="s">
        <v>1427</v>
      </c>
      <c r="B639" s="18">
        <v>43412</v>
      </c>
      <c r="C639" s="10">
        <f>YEAR(Table1[[#This Row],[Order Date]])</f>
        <v>2018</v>
      </c>
      <c r="D639" s="10" t="s">
        <v>1162</v>
      </c>
      <c r="E639" s="10" t="s">
        <v>180</v>
      </c>
      <c r="F639" s="10" t="s">
        <v>54</v>
      </c>
      <c r="G639" s="10" t="s">
        <v>106</v>
      </c>
      <c r="H639" s="10" t="s">
        <v>65</v>
      </c>
      <c r="I639" s="10" t="str">
        <f>VLOOKUP(Table1[[#This Row],[Account Manager ID]],Table2[[Employee ID]:[Full Name]],4,FALSE)</f>
        <v>Laras Nuraini</v>
      </c>
      <c r="J639" s="10" t="str">
        <f>INDEX(Employee!$D$4:$D$47,MATCH($H$4:$H$1003,Employee!$A$4:$A$47,0))</f>
        <v>Laras Nuraini</v>
      </c>
      <c r="K639" s="10" t="s">
        <v>92</v>
      </c>
      <c r="L639" s="10" t="s">
        <v>468</v>
      </c>
      <c r="M639" s="10" t="s">
        <v>59</v>
      </c>
      <c r="N639" s="10" t="s">
        <v>67</v>
      </c>
      <c r="O639" s="10" t="s">
        <v>76</v>
      </c>
      <c r="P639" s="10">
        <v>43416</v>
      </c>
      <c r="Q639" s="15">
        <v>13950</v>
      </c>
      <c r="R639" s="15">
        <v>22200</v>
      </c>
      <c r="S639" s="15">
        <f>Table1[[#This Row],[Retail Price]]-Table1[[#This Row],[Cost Price]]</f>
        <v>8250</v>
      </c>
      <c r="T639" s="10">
        <v>37</v>
      </c>
      <c r="U639" s="15">
        <f>Table1[[#This Row],[Profit Margin]]*Table1[[#This Row],[Order Quantity]]</f>
        <v>305250</v>
      </c>
      <c r="V639" s="11">
        <v>0.04</v>
      </c>
      <c r="W639" s="15">
        <f t="shared" si="9"/>
        <v>12210</v>
      </c>
      <c r="X639" s="15">
        <f>Table1[[#This Row],[Sub Total]]-Table1[[#This Row],[Discount Rp]]</f>
        <v>293040</v>
      </c>
      <c r="Y639" s="15">
        <f ca="1">OFFSET(Helper!$C$3,MATCH(Data!$N$4:$N$1003,Helper!$C$4:$C$9,0),MATCH(Data!$O$4:$O$1003,Helper!$D$3:$F$3,0))</f>
        <v>10000</v>
      </c>
      <c r="Z639" s="16">
        <f ca="1">Table1[[#This Row],[Order Total]]+Table1[[#This Row],[Shipping Cost]]</f>
        <v>303040</v>
      </c>
    </row>
    <row r="640" spans="1:26" ht="15.75" customHeight="1" x14ac:dyDescent="0.3">
      <c r="A640" s="9" t="s">
        <v>1428</v>
      </c>
      <c r="B640" s="18">
        <v>43412</v>
      </c>
      <c r="C640" s="10">
        <f>YEAR(Table1[[#This Row],[Order Date]])</f>
        <v>2018</v>
      </c>
      <c r="D640" s="10" t="s">
        <v>1162</v>
      </c>
      <c r="E640" s="10" t="s">
        <v>180</v>
      </c>
      <c r="F640" s="10" t="s">
        <v>54</v>
      </c>
      <c r="G640" s="10" t="s">
        <v>106</v>
      </c>
      <c r="H640" s="10" t="s">
        <v>65</v>
      </c>
      <c r="I640" s="10" t="str">
        <f>VLOOKUP(Table1[[#This Row],[Account Manager ID]],Table2[[Employee ID]:[Full Name]],4,FALSE)</f>
        <v>Laras Nuraini</v>
      </c>
      <c r="J640" s="10" t="str">
        <f>INDEX(Employee!$D$4:$D$47,MATCH($H$4:$H$1003,Employee!$A$4:$A$47,0))</f>
        <v>Laras Nuraini</v>
      </c>
      <c r="K640" s="10" t="s">
        <v>92</v>
      </c>
      <c r="L640" s="10" t="s">
        <v>349</v>
      </c>
      <c r="M640" s="10" t="s">
        <v>59</v>
      </c>
      <c r="N640" s="10" t="s">
        <v>67</v>
      </c>
      <c r="O640" s="10" t="s">
        <v>61</v>
      </c>
      <c r="P640" s="10">
        <v>43417</v>
      </c>
      <c r="Q640" s="15">
        <v>166650</v>
      </c>
      <c r="R640" s="15">
        <v>297600</v>
      </c>
      <c r="S640" s="15">
        <f>Table1[[#This Row],[Retail Price]]-Table1[[#This Row],[Cost Price]]</f>
        <v>130950</v>
      </c>
      <c r="T640" s="10">
        <v>28</v>
      </c>
      <c r="U640" s="15">
        <f>Table1[[#This Row],[Profit Margin]]*Table1[[#This Row],[Order Quantity]]</f>
        <v>3666600</v>
      </c>
      <c r="V640" s="11">
        <v>0.08</v>
      </c>
      <c r="W640" s="15">
        <f t="shared" si="9"/>
        <v>293328</v>
      </c>
      <c r="X640" s="15">
        <f>Table1[[#This Row],[Sub Total]]-Table1[[#This Row],[Discount Rp]]</f>
        <v>3373272</v>
      </c>
      <c r="Y640" s="15">
        <f ca="1">OFFSET(Helper!$C$3,MATCH(Data!$N$4:$N$1003,Helper!$C$4:$C$9,0),MATCH(Data!$O$4:$O$1003,Helper!$D$3:$F$3,0))</f>
        <v>5000</v>
      </c>
      <c r="Z640" s="16">
        <f ca="1">Table1[[#This Row],[Order Total]]+Table1[[#This Row],[Shipping Cost]]</f>
        <v>3378272</v>
      </c>
    </row>
    <row r="641" spans="1:26" ht="15.75" customHeight="1" x14ac:dyDescent="0.3">
      <c r="A641" s="9" t="s">
        <v>1429</v>
      </c>
      <c r="B641" s="18">
        <v>43414</v>
      </c>
      <c r="C641" s="10">
        <f>YEAR(Table1[[#This Row],[Order Date]])</f>
        <v>2018</v>
      </c>
      <c r="D641" s="10" t="s">
        <v>1430</v>
      </c>
      <c r="E641" s="10" t="s">
        <v>340</v>
      </c>
      <c r="F641" s="10" t="s">
        <v>54</v>
      </c>
      <c r="G641" s="10" t="s">
        <v>72</v>
      </c>
      <c r="H641" s="10" t="s">
        <v>65</v>
      </c>
      <c r="I641" s="10" t="str">
        <f>VLOOKUP(Table1[[#This Row],[Account Manager ID]],Table2[[Employee ID]:[Full Name]],4,FALSE)</f>
        <v>Laras Nuraini</v>
      </c>
      <c r="J641" s="10" t="str">
        <f>INDEX(Employee!$D$4:$D$47,MATCH($H$4:$H$1003,Employee!$A$4:$A$47,0))</f>
        <v>Laras Nuraini</v>
      </c>
      <c r="K641" s="10" t="s">
        <v>57</v>
      </c>
      <c r="L641" s="10" t="s">
        <v>442</v>
      </c>
      <c r="M641" s="10" t="s">
        <v>59</v>
      </c>
      <c r="N641" s="10" t="s">
        <v>67</v>
      </c>
      <c r="O641" s="10" t="s">
        <v>61</v>
      </c>
      <c r="P641" s="10">
        <v>43416</v>
      </c>
      <c r="Q641" s="15">
        <v>22950</v>
      </c>
      <c r="R641" s="15">
        <v>41700</v>
      </c>
      <c r="S641" s="15">
        <f>Table1[[#This Row],[Retail Price]]-Table1[[#This Row],[Cost Price]]</f>
        <v>18750</v>
      </c>
      <c r="T641" s="10">
        <v>38</v>
      </c>
      <c r="U641" s="15">
        <f>Table1[[#This Row],[Profit Margin]]*Table1[[#This Row],[Order Quantity]]</f>
        <v>712500</v>
      </c>
      <c r="V641" s="11">
        <v>0.1</v>
      </c>
      <c r="W641" s="15">
        <f t="shared" si="9"/>
        <v>71250</v>
      </c>
      <c r="X641" s="15">
        <f>Table1[[#This Row],[Sub Total]]-Table1[[#This Row],[Discount Rp]]</f>
        <v>641250</v>
      </c>
      <c r="Y641" s="15">
        <f ca="1">OFFSET(Helper!$C$3,MATCH(Data!$N$4:$N$1003,Helper!$C$4:$C$9,0),MATCH(Data!$O$4:$O$1003,Helper!$D$3:$F$3,0))</f>
        <v>5000</v>
      </c>
      <c r="Z641" s="16">
        <f ca="1">Table1[[#This Row],[Order Total]]+Table1[[#This Row],[Shipping Cost]]</f>
        <v>646250</v>
      </c>
    </row>
    <row r="642" spans="1:26" ht="15.75" customHeight="1" x14ac:dyDescent="0.3">
      <c r="A642" s="9" t="s">
        <v>1431</v>
      </c>
      <c r="B642" s="18">
        <v>43414</v>
      </c>
      <c r="C642" s="10">
        <f>YEAR(Table1[[#This Row],[Order Date]])</f>
        <v>2018</v>
      </c>
      <c r="D642" s="10" t="s">
        <v>1432</v>
      </c>
      <c r="E642" s="10" t="s">
        <v>1433</v>
      </c>
      <c r="F642" s="10" t="s">
        <v>71</v>
      </c>
      <c r="G642" s="10" t="s">
        <v>55</v>
      </c>
      <c r="H642" s="10" t="s">
        <v>194</v>
      </c>
      <c r="I642" s="10" t="str">
        <f>VLOOKUP(Table1[[#This Row],[Account Manager ID]],Table2[[Employee ID]:[Full Name]],4,FALSE)</f>
        <v>Nabila Prakasa</v>
      </c>
      <c r="J642" s="10" t="str">
        <f>INDEX(Employee!$D$4:$D$47,MATCH($H$4:$H$1003,Employee!$A$4:$A$47,0))</f>
        <v>Nabila Prakasa</v>
      </c>
      <c r="K642" s="10" t="s">
        <v>107</v>
      </c>
      <c r="L642" s="10" t="s">
        <v>108</v>
      </c>
      <c r="M642" s="10" t="s">
        <v>59</v>
      </c>
      <c r="N642" s="10" t="s">
        <v>60</v>
      </c>
      <c r="O642" s="10" t="s">
        <v>61</v>
      </c>
      <c r="P642" s="10">
        <v>43415</v>
      </c>
      <c r="Q642" s="15">
        <v>814350</v>
      </c>
      <c r="R642" s="15">
        <v>1357200</v>
      </c>
      <c r="S642" s="15">
        <f>Table1[[#This Row],[Retail Price]]-Table1[[#This Row],[Cost Price]]</f>
        <v>542850</v>
      </c>
      <c r="T642" s="10">
        <v>15</v>
      </c>
      <c r="U642" s="15">
        <f>Table1[[#This Row],[Profit Margin]]*Table1[[#This Row],[Order Quantity]]</f>
        <v>8142750</v>
      </c>
      <c r="V642" s="11">
        <v>0.01</v>
      </c>
      <c r="W642" s="15">
        <f t="shared" si="9"/>
        <v>81427.5</v>
      </c>
      <c r="X642" s="15">
        <f>Table1[[#This Row],[Sub Total]]-Table1[[#This Row],[Discount Rp]]</f>
        <v>8061322.5</v>
      </c>
      <c r="Y642" s="15">
        <f ca="1">OFFSET(Helper!$C$3,MATCH(Data!$N$4:$N$1003,Helper!$C$4:$C$9,0),MATCH(Data!$O$4:$O$1003,Helper!$D$3:$F$3,0))</f>
        <v>15000</v>
      </c>
      <c r="Z642" s="16">
        <f ca="1">Table1[[#This Row],[Order Total]]+Table1[[#This Row],[Shipping Cost]]</f>
        <v>8076322.5</v>
      </c>
    </row>
    <row r="643" spans="1:26" ht="15.75" customHeight="1" x14ac:dyDescent="0.3">
      <c r="A643" s="9" t="s">
        <v>1434</v>
      </c>
      <c r="B643" s="18">
        <v>43415</v>
      </c>
      <c r="C643" s="10">
        <f>YEAR(Table1[[#This Row],[Order Date]])</f>
        <v>2018</v>
      </c>
      <c r="D643" s="10" t="s">
        <v>1435</v>
      </c>
      <c r="E643" s="10" t="s">
        <v>159</v>
      </c>
      <c r="F643" s="10" t="s">
        <v>71</v>
      </c>
      <c r="G643" s="10" t="s">
        <v>55</v>
      </c>
      <c r="H643" s="10" t="s">
        <v>122</v>
      </c>
      <c r="I643" s="10" t="str">
        <f>VLOOKUP(Table1[[#This Row],[Account Manager ID]],Table2[[Employee ID]:[Full Name]],4,FALSE)</f>
        <v>Ophelia Mustofa</v>
      </c>
      <c r="J643" s="10" t="str">
        <f>INDEX(Employee!$D$4:$D$47,MATCH($H$4:$H$1003,Employee!$A$4:$A$47,0))</f>
        <v>Ophelia Mustofa</v>
      </c>
      <c r="K643" s="10" t="s">
        <v>57</v>
      </c>
      <c r="L643" s="10" t="s">
        <v>611</v>
      </c>
      <c r="M643" s="10" t="s">
        <v>59</v>
      </c>
      <c r="N643" s="10" t="s">
        <v>60</v>
      </c>
      <c r="O643" s="10" t="s">
        <v>76</v>
      </c>
      <c r="P643" s="10">
        <v>43416</v>
      </c>
      <c r="Q643" s="15">
        <v>34350</v>
      </c>
      <c r="R643" s="15">
        <v>55350</v>
      </c>
      <c r="S643" s="15">
        <f>Table1[[#This Row],[Retail Price]]-Table1[[#This Row],[Cost Price]]</f>
        <v>21000</v>
      </c>
      <c r="T643" s="10">
        <v>48</v>
      </c>
      <c r="U643" s="15">
        <f>Table1[[#This Row],[Profit Margin]]*Table1[[#This Row],[Order Quantity]]</f>
        <v>1008000</v>
      </c>
      <c r="V643" s="11">
        <v>0.1</v>
      </c>
      <c r="W643" s="15">
        <f t="shared" si="9"/>
        <v>100800</v>
      </c>
      <c r="X643" s="15">
        <f>Table1[[#This Row],[Sub Total]]-Table1[[#This Row],[Discount Rp]]</f>
        <v>907200</v>
      </c>
      <c r="Y643" s="15">
        <f ca="1">OFFSET(Helper!$C$3,MATCH(Data!$N$4:$N$1003,Helper!$C$4:$C$9,0),MATCH(Data!$O$4:$O$1003,Helper!$D$3:$F$3,0))</f>
        <v>30000</v>
      </c>
      <c r="Z643" s="16">
        <f ca="1">Table1[[#This Row],[Order Total]]+Table1[[#This Row],[Shipping Cost]]</f>
        <v>937200</v>
      </c>
    </row>
    <row r="644" spans="1:26" ht="15.75" customHeight="1" x14ac:dyDescent="0.3">
      <c r="A644" s="9" t="s">
        <v>1436</v>
      </c>
      <c r="B644" s="18">
        <v>43415</v>
      </c>
      <c r="C644" s="10">
        <f>YEAR(Table1[[#This Row],[Order Date]])</f>
        <v>2018</v>
      </c>
      <c r="D644" s="10" t="s">
        <v>763</v>
      </c>
      <c r="E644" s="10" t="s">
        <v>237</v>
      </c>
      <c r="F644" s="10" t="s">
        <v>71</v>
      </c>
      <c r="G644" s="10" t="s">
        <v>55</v>
      </c>
      <c r="H644" s="10" t="s">
        <v>112</v>
      </c>
      <c r="I644" s="10" t="str">
        <f>VLOOKUP(Table1[[#This Row],[Account Manager ID]],Table2[[Employee ID]:[Full Name]],4,FALSE)</f>
        <v>Paiman Firgantoro</v>
      </c>
      <c r="J644" s="10" t="str">
        <f>INDEX(Employee!$D$4:$D$47,MATCH($H$4:$H$1003,Employee!$A$4:$A$47,0))</f>
        <v>Paiman Firgantoro</v>
      </c>
      <c r="K644" s="10" t="s">
        <v>117</v>
      </c>
      <c r="L644" s="10" t="s">
        <v>942</v>
      </c>
      <c r="M644" s="10" t="s">
        <v>81</v>
      </c>
      <c r="N644" s="10" t="s">
        <v>60</v>
      </c>
      <c r="O644" s="10" t="s">
        <v>76</v>
      </c>
      <c r="P644" s="10">
        <v>43416</v>
      </c>
      <c r="Q644" s="15">
        <v>220500</v>
      </c>
      <c r="R644" s="15">
        <v>449850</v>
      </c>
      <c r="S644" s="15">
        <f>Table1[[#This Row],[Retail Price]]-Table1[[#This Row],[Cost Price]]</f>
        <v>229350</v>
      </c>
      <c r="T644" s="10">
        <v>27</v>
      </c>
      <c r="U644" s="15">
        <f>Table1[[#This Row],[Profit Margin]]*Table1[[#This Row],[Order Quantity]]</f>
        <v>6192450</v>
      </c>
      <c r="V644" s="11">
        <v>0.05</v>
      </c>
      <c r="W644" s="15">
        <f t="shared" ref="W644:W707" si="10">V644*U644</f>
        <v>309622.5</v>
      </c>
      <c r="X644" s="15">
        <f>Table1[[#This Row],[Sub Total]]-Table1[[#This Row],[Discount Rp]]</f>
        <v>5882827.5</v>
      </c>
      <c r="Y644" s="15">
        <f ca="1">OFFSET(Helper!$C$3,MATCH(Data!$N$4:$N$1003,Helper!$C$4:$C$9,0),MATCH(Data!$O$4:$O$1003,Helper!$D$3:$F$3,0))</f>
        <v>30000</v>
      </c>
      <c r="Z644" s="16">
        <f ca="1">Table1[[#This Row],[Order Total]]+Table1[[#This Row],[Shipping Cost]]</f>
        <v>5912827.5</v>
      </c>
    </row>
    <row r="645" spans="1:26" ht="15.75" customHeight="1" x14ac:dyDescent="0.3">
      <c r="A645" s="9" t="s">
        <v>1437</v>
      </c>
      <c r="B645" s="18">
        <v>43417</v>
      </c>
      <c r="C645" s="10">
        <f>YEAR(Table1[[#This Row],[Order Date]])</f>
        <v>2018</v>
      </c>
      <c r="D645" s="10" t="s">
        <v>414</v>
      </c>
      <c r="E645" s="10" t="s">
        <v>241</v>
      </c>
      <c r="F645" s="10" t="s">
        <v>71</v>
      </c>
      <c r="G645" s="10" t="s">
        <v>55</v>
      </c>
      <c r="H645" s="10" t="s">
        <v>146</v>
      </c>
      <c r="I645" s="10" t="str">
        <f>VLOOKUP(Table1[[#This Row],[Account Manager ID]],Table2[[Employee ID]:[Full Name]],4,FALSE)</f>
        <v>Kenari Rajasa</v>
      </c>
      <c r="J645" s="10" t="str">
        <f>INDEX(Employee!$D$4:$D$47,MATCH($H$4:$H$1003,Employee!$A$4:$A$47,0))</f>
        <v>Kenari Rajasa</v>
      </c>
      <c r="K645" s="10" t="s">
        <v>74</v>
      </c>
      <c r="L645" s="10" t="s">
        <v>526</v>
      </c>
      <c r="M645" s="10" t="s">
        <v>81</v>
      </c>
      <c r="N645" s="10" t="s">
        <v>60</v>
      </c>
      <c r="O645" s="10" t="s">
        <v>61</v>
      </c>
      <c r="P645" s="10">
        <v>43419</v>
      </c>
      <c r="Q645" s="15">
        <v>631650</v>
      </c>
      <c r="R645" s="15">
        <v>1214700</v>
      </c>
      <c r="S645" s="15">
        <f>Table1[[#This Row],[Retail Price]]-Table1[[#This Row],[Cost Price]]</f>
        <v>583050</v>
      </c>
      <c r="T645" s="10">
        <v>22</v>
      </c>
      <c r="U645" s="15">
        <f>Table1[[#This Row],[Profit Margin]]*Table1[[#This Row],[Order Quantity]]</f>
        <v>12827100</v>
      </c>
      <c r="V645" s="11">
        <v>0.1</v>
      </c>
      <c r="W645" s="15">
        <f t="shared" si="10"/>
        <v>1282710</v>
      </c>
      <c r="X645" s="15">
        <f>Table1[[#This Row],[Sub Total]]-Table1[[#This Row],[Discount Rp]]</f>
        <v>11544390</v>
      </c>
      <c r="Y645" s="15">
        <f ca="1">OFFSET(Helper!$C$3,MATCH(Data!$N$4:$N$1003,Helper!$C$4:$C$9,0),MATCH(Data!$O$4:$O$1003,Helper!$D$3:$F$3,0))</f>
        <v>15000</v>
      </c>
      <c r="Z645" s="16">
        <f ca="1">Table1[[#This Row],[Order Total]]+Table1[[#This Row],[Shipping Cost]]</f>
        <v>11559390</v>
      </c>
    </row>
    <row r="646" spans="1:26" ht="15.75" customHeight="1" x14ac:dyDescent="0.3">
      <c r="A646" s="9" t="s">
        <v>1438</v>
      </c>
      <c r="B646" s="18">
        <v>43418</v>
      </c>
      <c r="C646" s="10">
        <f>YEAR(Table1[[#This Row],[Order Date]])</f>
        <v>2018</v>
      </c>
      <c r="D646" s="10" t="s">
        <v>1439</v>
      </c>
      <c r="E646" s="10" t="s">
        <v>1440</v>
      </c>
      <c r="F646" s="10" t="s">
        <v>71</v>
      </c>
      <c r="G646" s="10" t="s">
        <v>55</v>
      </c>
      <c r="H646" s="10" t="s">
        <v>88</v>
      </c>
      <c r="I646" s="10" t="str">
        <f>VLOOKUP(Table1[[#This Row],[Account Manager ID]],Table2[[Employee ID]:[Full Name]],4,FALSE)</f>
        <v>Bagiya Sihombing</v>
      </c>
      <c r="J646" s="10" t="str">
        <f>INDEX(Employee!$D$4:$D$47,MATCH($H$4:$H$1003,Employee!$A$4:$A$47,0))</f>
        <v>Bagiya Sihombing</v>
      </c>
      <c r="K646" s="10" t="s">
        <v>107</v>
      </c>
      <c r="L646" s="10" t="s">
        <v>406</v>
      </c>
      <c r="M646" s="10" t="s">
        <v>81</v>
      </c>
      <c r="N646" s="10" t="s">
        <v>459</v>
      </c>
      <c r="O646" s="10" t="s">
        <v>61</v>
      </c>
      <c r="P646" s="10">
        <v>43420</v>
      </c>
      <c r="Q646" s="15">
        <v>3240000</v>
      </c>
      <c r="R646" s="15">
        <v>6749850</v>
      </c>
      <c r="S646" s="15">
        <f>Table1[[#This Row],[Retail Price]]-Table1[[#This Row],[Cost Price]]</f>
        <v>3509850</v>
      </c>
      <c r="T646" s="10">
        <v>29</v>
      </c>
      <c r="U646" s="15">
        <f>Table1[[#This Row],[Profit Margin]]*Table1[[#This Row],[Order Quantity]]</f>
        <v>101785650</v>
      </c>
      <c r="V646" s="11">
        <v>0</v>
      </c>
      <c r="W646" s="15">
        <f t="shared" si="10"/>
        <v>0</v>
      </c>
      <c r="X646" s="15">
        <f>Table1[[#This Row],[Sub Total]]-Table1[[#This Row],[Discount Rp]]</f>
        <v>101785650</v>
      </c>
      <c r="Y646" s="15">
        <f ca="1">OFFSET(Helper!$C$3,MATCH(Data!$N$4:$N$1003,Helper!$C$4:$C$9,0),MATCH(Data!$O$4:$O$1003,Helper!$D$3:$F$3,0))</f>
        <v>50000</v>
      </c>
      <c r="Z646" s="16">
        <f ca="1">Table1[[#This Row],[Order Total]]+Table1[[#This Row],[Shipping Cost]]</f>
        <v>101835650</v>
      </c>
    </row>
    <row r="647" spans="1:26" ht="15.75" customHeight="1" x14ac:dyDescent="0.3">
      <c r="A647" s="9" t="s">
        <v>1441</v>
      </c>
      <c r="B647" s="18">
        <v>43418</v>
      </c>
      <c r="C647" s="10">
        <f>YEAR(Table1[[#This Row],[Order Date]])</f>
        <v>2018</v>
      </c>
      <c r="D647" s="10" t="s">
        <v>1442</v>
      </c>
      <c r="E647" s="10" t="s">
        <v>449</v>
      </c>
      <c r="F647" s="10" t="s">
        <v>54</v>
      </c>
      <c r="G647" s="10" t="s">
        <v>87</v>
      </c>
      <c r="H647" s="10" t="s">
        <v>65</v>
      </c>
      <c r="I647" s="10" t="str">
        <f>VLOOKUP(Table1[[#This Row],[Account Manager ID]],Table2[[Employee ID]:[Full Name]],4,FALSE)</f>
        <v>Laras Nuraini</v>
      </c>
      <c r="J647" s="10" t="str">
        <f>INDEX(Employee!$D$4:$D$47,MATCH($H$4:$H$1003,Employee!$A$4:$A$47,0))</f>
        <v>Laras Nuraini</v>
      </c>
      <c r="K647" s="10" t="s">
        <v>107</v>
      </c>
      <c r="L647" s="10" t="s">
        <v>287</v>
      </c>
      <c r="M647" s="10" t="s">
        <v>59</v>
      </c>
      <c r="N647" s="10" t="s">
        <v>60</v>
      </c>
      <c r="O647" s="10" t="s">
        <v>61</v>
      </c>
      <c r="P647" s="10">
        <v>43420</v>
      </c>
      <c r="Q647" s="15">
        <v>185850</v>
      </c>
      <c r="R647" s="15">
        <v>299700</v>
      </c>
      <c r="S647" s="15">
        <f>Table1[[#This Row],[Retail Price]]-Table1[[#This Row],[Cost Price]]</f>
        <v>113850</v>
      </c>
      <c r="T647" s="10">
        <v>44</v>
      </c>
      <c r="U647" s="15">
        <f>Table1[[#This Row],[Profit Margin]]*Table1[[#This Row],[Order Quantity]]</f>
        <v>5009400</v>
      </c>
      <c r="V647" s="11">
        <v>7.0000000000000007E-2</v>
      </c>
      <c r="W647" s="15">
        <f t="shared" si="10"/>
        <v>350658.00000000006</v>
      </c>
      <c r="X647" s="15">
        <f>Table1[[#This Row],[Sub Total]]-Table1[[#This Row],[Discount Rp]]</f>
        <v>4658742</v>
      </c>
      <c r="Y647" s="15">
        <f ca="1">OFFSET(Helper!$C$3,MATCH(Data!$N$4:$N$1003,Helper!$C$4:$C$9,0),MATCH(Data!$O$4:$O$1003,Helper!$D$3:$F$3,0))</f>
        <v>15000</v>
      </c>
      <c r="Z647" s="16">
        <f ca="1">Table1[[#This Row],[Order Total]]+Table1[[#This Row],[Shipping Cost]]</f>
        <v>4673742</v>
      </c>
    </row>
    <row r="648" spans="1:26" ht="15.75" customHeight="1" x14ac:dyDescent="0.3">
      <c r="A648" s="9" t="s">
        <v>1443</v>
      </c>
      <c r="B648" s="18">
        <v>43419</v>
      </c>
      <c r="C648" s="10">
        <f>YEAR(Table1[[#This Row],[Order Date]])</f>
        <v>2018</v>
      </c>
      <c r="D648" s="10" t="s">
        <v>1167</v>
      </c>
      <c r="E648" s="10" t="s">
        <v>485</v>
      </c>
      <c r="F648" s="10" t="s">
        <v>71</v>
      </c>
      <c r="G648" s="10" t="s">
        <v>72</v>
      </c>
      <c r="H648" s="10" t="s">
        <v>185</v>
      </c>
      <c r="I648" s="10" t="str">
        <f>VLOOKUP(Table1[[#This Row],[Account Manager ID]],Table2[[Employee ID]:[Full Name]],4,FALSE)</f>
        <v>Clara Prasetyo</v>
      </c>
      <c r="J648" s="10" t="str">
        <f>INDEX(Employee!$D$4:$D$47,MATCH($H$4:$H$1003,Employee!$A$4:$A$47,0))</f>
        <v>Clara Prasetyo</v>
      </c>
      <c r="K648" s="10" t="s">
        <v>92</v>
      </c>
      <c r="L648" s="10" t="s">
        <v>355</v>
      </c>
      <c r="M648" s="10" t="s">
        <v>59</v>
      </c>
      <c r="N648" s="10" t="s">
        <v>60</v>
      </c>
      <c r="O648" s="10" t="s">
        <v>61</v>
      </c>
      <c r="P648" s="10">
        <v>43424</v>
      </c>
      <c r="Q648" s="15">
        <v>19950</v>
      </c>
      <c r="R648" s="15">
        <v>31200</v>
      </c>
      <c r="S648" s="15">
        <f>Table1[[#This Row],[Retail Price]]-Table1[[#This Row],[Cost Price]]</f>
        <v>11250</v>
      </c>
      <c r="T648" s="10">
        <v>20</v>
      </c>
      <c r="U648" s="15">
        <f>Table1[[#This Row],[Profit Margin]]*Table1[[#This Row],[Order Quantity]]</f>
        <v>225000</v>
      </c>
      <c r="V648" s="11">
        <v>0.1</v>
      </c>
      <c r="W648" s="15">
        <f t="shared" si="10"/>
        <v>22500</v>
      </c>
      <c r="X648" s="15">
        <f>Table1[[#This Row],[Sub Total]]-Table1[[#This Row],[Discount Rp]]</f>
        <v>202500</v>
      </c>
      <c r="Y648" s="15">
        <f ca="1">OFFSET(Helper!$C$3,MATCH(Data!$N$4:$N$1003,Helper!$C$4:$C$9,0),MATCH(Data!$O$4:$O$1003,Helper!$D$3:$F$3,0))</f>
        <v>15000</v>
      </c>
      <c r="Z648" s="16">
        <f ca="1">Table1[[#This Row],[Order Total]]+Table1[[#This Row],[Shipping Cost]]</f>
        <v>217500</v>
      </c>
    </row>
    <row r="649" spans="1:26" ht="15.75" customHeight="1" x14ac:dyDescent="0.3">
      <c r="A649" s="9" t="s">
        <v>1444</v>
      </c>
      <c r="B649" s="18">
        <v>43423</v>
      </c>
      <c r="C649" s="10">
        <f>YEAR(Table1[[#This Row],[Order Date]])</f>
        <v>2018</v>
      </c>
      <c r="D649" s="10" t="s">
        <v>1270</v>
      </c>
      <c r="E649" s="10" t="s">
        <v>1271</v>
      </c>
      <c r="F649" s="10" t="s">
        <v>71</v>
      </c>
      <c r="G649" s="10" t="s">
        <v>72</v>
      </c>
      <c r="H649" s="10" t="s">
        <v>73</v>
      </c>
      <c r="I649" s="10" t="str">
        <f>VLOOKUP(Table1[[#This Row],[Account Manager ID]],Table2[[Employee ID]:[Full Name]],4,FALSE)</f>
        <v>Cinthia Gunawan</v>
      </c>
      <c r="J649" s="10" t="str">
        <f>INDEX(Employee!$D$4:$D$47,MATCH($H$4:$H$1003,Employee!$A$4:$A$47,0))</f>
        <v>Cinthia Gunawan</v>
      </c>
      <c r="K649" s="10" t="s">
        <v>74</v>
      </c>
      <c r="L649" s="10" t="s">
        <v>753</v>
      </c>
      <c r="M649" s="10" t="s">
        <v>59</v>
      </c>
      <c r="N649" s="10" t="s">
        <v>67</v>
      </c>
      <c r="O649" s="10" t="s">
        <v>61</v>
      </c>
      <c r="P649" s="10">
        <v>43424</v>
      </c>
      <c r="Q649" s="15">
        <v>38850</v>
      </c>
      <c r="R649" s="15">
        <v>59700</v>
      </c>
      <c r="S649" s="15">
        <f>Table1[[#This Row],[Retail Price]]-Table1[[#This Row],[Cost Price]]</f>
        <v>20850</v>
      </c>
      <c r="T649" s="10">
        <v>16</v>
      </c>
      <c r="U649" s="15">
        <f>Table1[[#This Row],[Profit Margin]]*Table1[[#This Row],[Order Quantity]]</f>
        <v>333600</v>
      </c>
      <c r="V649" s="11">
        <v>0.09</v>
      </c>
      <c r="W649" s="15">
        <f t="shared" si="10"/>
        <v>30024</v>
      </c>
      <c r="X649" s="15">
        <f>Table1[[#This Row],[Sub Total]]-Table1[[#This Row],[Discount Rp]]</f>
        <v>303576</v>
      </c>
      <c r="Y649" s="15">
        <f ca="1">OFFSET(Helper!$C$3,MATCH(Data!$N$4:$N$1003,Helper!$C$4:$C$9,0),MATCH(Data!$O$4:$O$1003,Helper!$D$3:$F$3,0))</f>
        <v>5000</v>
      </c>
      <c r="Z649" s="16">
        <f ca="1">Table1[[#This Row],[Order Total]]+Table1[[#This Row],[Shipping Cost]]</f>
        <v>308576</v>
      </c>
    </row>
    <row r="650" spans="1:26" ht="15.75" customHeight="1" x14ac:dyDescent="0.3">
      <c r="A650" s="9" t="s">
        <v>1445</v>
      </c>
      <c r="B650" s="18">
        <v>43424</v>
      </c>
      <c r="C650" s="10">
        <f>YEAR(Table1[[#This Row],[Order Date]])</f>
        <v>2018</v>
      </c>
      <c r="D650" s="10" t="s">
        <v>652</v>
      </c>
      <c r="E650" s="10" t="s">
        <v>445</v>
      </c>
      <c r="F650" s="10" t="s">
        <v>54</v>
      </c>
      <c r="G650" s="10" t="s">
        <v>72</v>
      </c>
      <c r="H650" s="10" t="s">
        <v>56</v>
      </c>
      <c r="I650" s="10" t="str">
        <f>VLOOKUP(Table1[[#This Row],[Account Manager ID]],Table2[[Employee ID]:[Full Name]],4,FALSE)</f>
        <v>Gaduh Pratama</v>
      </c>
      <c r="J650" s="10" t="str">
        <f>INDEX(Employee!$D$4:$D$47,MATCH($H$4:$H$1003,Employee!$A$4:$A$47,0))</f>
        <v>Gaduh Pratama</v>
      </c>
      <c r="K650" s="10" t="s">
        <v>57</v>
      </c>
      <c r="L650" s="10" t="s">
        <v>113</v>
      </c>
      <c r="M650" s="10" t="s">
        <v>59</v>
      </c>
      <c r="N650" s="10" t="s">
        <v>60</v>
      </c>
      <c r="O650" s="10" t="s">
        <v>76</v>
      </c>
      <c r="P650" s="10">
        <v>43425</v>
      </c>
      <c r="Q650" s="15">
        <v>79950</v>
      </c>
      <c r="R650" s="15">
        <v>129000</v>
      </c>
      <c r="S650" s="15">
        <f>Table1[[#This Row],[Retail Price]]-Table1[[#This Row],[Cost Price]]</f>
        <v>49050</v>
      </c>
      <c r="T650" s="10">
        <v>15</v>
      </c>
      <c r="U650" s="15">
        <f>Table1[[#This Row],[Profit Margin]]*Table1[[#This Row],[Order Quantity]]</f>
        <v>735750</v>
      </c>
      <c r="V650" s="11">
        <v>0.04</v>
      </c>
      <c r="W650" s="15">
        <f t="shared" si="10"/>
        <v>29430</v>
      </c>
      <c r="X650" s="15">
        <f>Table1[[#This Row],[Sub Total]]-Table1[[#This Row],[Discount Rp]]</f>
        <v>706320</v>
      </c>
      <c r="Y650" s="15">
        <f ca="1">OFFSET(Helper!$C$3,MATCH(Data!$N$4:$N$1003,Helper!$C$4:$C$9,0),MATCH(Data!$O$4:$O$1003,Helper!$D$3:$F$3,0))</f>
        <v>30000</v>
      </c>
      <c r="Z650" s="16">
        <f ca="1">Table1[[#This Row],[Order Total]]+Table1[[#This Row],[Shipping Cost]]</f>
        <v>736320</v>
      </c>
    </row>
    <row r="651" spans="1:26" ht="15.75" customHeight="1" x14ac:dyDescent="0.3">
      <c r="A651" s="9" t="s">
        <v>1446</v>
      </c>
      <c r="B651" s="18">
        <v>43426</v>
      </c>
      <c r="C651" s="10">
        <f>YEAR(Table1[[#This Row],[Order Date]])</f>
        <v>2018</v>
      </c>
      <c r="D651" s="10" t="s">
        <v>1447</v>
      </c>
      <c r="E651" s="10" t="s">
        <v>1160</v>
      </c>
      <c r="F651" s="10" t="s">
        <v>71</v>
      </c>
      <c r="G651" s="10" t="s">
        <v>106</v>
      </c>
      <c r="H651" s="10" t="s">
        <v>304</v>
      </c>
      <c r="I651" s="10" t="str">
        <f>VLOOKUP(Table1[[#This Row],[Account Manager ID]],Table2[[Employee ID]:[Full Name]],4,FALSE)</f>
        <v>Sutan Tirtayasa Wasita</v>
      </c>
      <c r="J651" s="10" t="str">
        <f>INDEX(Employee!$D$4:$D$47,MATCH($H$4:$H$1003,Employee!$A$4:$A$47,0))</f>
        <v>Sutan Tirtayasa Wasita</v>
      </c>
      <c r="K651" s="10" t="s">
        <v>107</v>
      </c>
      <c r="L651" s="10" t="s">
        <v>873</v>
      </c>
      <c r="M651" s="10" t="s">
        <v>59</v>
      </c>
      <c r="N651" s="10" t="s">
        <v>60</v>
      </c>
      <c r="O651" s="10" t="s">
        <v>61</v>
      </c>
      <c r="P651" s="10">
        <v>43427</v>
      </c>
      <c r="Q651" s="15">
        <v>41400</v>
      </c>
      <c r="R651" s="15">
        <v>65700</v>
      </c>
      <c r="S651" s="15">
        <f>Table1[[#This Row],[Retail Price]]-Table1[[#This Row],[Cost Price]]</f>
        <v>24300</v>
      </c>
      <c r="T651" s="10">
        <v>24</v>
      </c>
      <c r="U651" s="15">
        <f>Table1[[#This Row],[Profit Margin]]*Table1[[#This Row],[Order Quantity]]</f>
        <v>583200</v>
      </c>
      <c r="V651" s="11">
        <v>0.02</v>
      </c>
      <c r="W651" s="15">
        <f t="shared" si="10"/>
        <v>11664</v>
      </c>
      <c r="X651" s="15">
        <f>Table1[[#This Row],[Sub Total]]-Table1[[#This Row],[Discount Rp]]</f>
        <v>571536</v>
      </c>
      <c r="Y651" s="15">
        <f ca="1">OFFSET(Helper!$C$3,MATCH(Data!$N$4:$N$1003,Helper!$C$4:$C$9,0),MATCH(Data!$O$4:$O$1003,Helper!$D$3:$F$3,0))</f>
        <v>15000</v>
      </c>
      <c r="Z651" s="16">
        <f ca="1">Table1[[#This Row],[Order Total]]+Table1[[#This Row],[Shipping Cost]]</f>
        <v>586536</v>
      </c>
    </row>
    <row r="652" spans="1:26" ht="15.75" customHeight="1" x14ac:dyDescent="0.3">
      <c r="A652" s="9" t="s">
        <v>1448</v>
      </c>
      <c r="B652" s="18">
        <v>43426</v>
      </c>
      <c r="C652" s="10">
        <f>YEAR(Table1[[#This Row],[Order Date]])</f>
        <v>2018</v>
      </c>
      <c r="D652" s="10" t="s">
        <v>1447</v>
      </c>
      <c r="E652" s="10" t="s">
        <v>1160</v>
      </c>
      <c r="F652" s="10" t="s">
        <v>71</v>
      </c>
      <c r="G652" s="10" t="s">
        <v>106</v>
      </c>
      <c r="H652" s="10" t="s">
        <v>304</v>
      </c>
      <c r="I652" s="10" t="str">
        <f>VLOOKUP(Table1[[#This Row],[Account Manager ID]],Table2[[Employee ID]:[Full Name]],4,FALSE)</f>
        <v>Sutan Tirtayasa Wasita</v>
      </c>
      <c r="J652" s="10" t="str">
        <f>INDEX(Employee!$D$4:$D$47,MATCH($H$4:$H$1003,Employee!$A$4:$A$47,0))</f>
        <v>Sutan Tirtayasa Wasita</v>
      </c>
      <c r="K652" s="10" t="s">
        <v>107</v>
      </c>
      <c r="L652" s="10" t="s">
        <v>691</v>
      </c>
      <c r="M652" s="10" t="s">
        <v>59</v>
      </c>
      <c r="N652" s="10" t="s">
        <v>136</v>
      </c>
      <c r="O652" s="10" t="s">
        <v>61</v>
      </c>
      <c r="P652" s="10">
        <v>43429</v>
      </c>
      <c r="Q652" s="15">
        <v>61499.999999999993</v>
      </c>
      <c r="R652" s="15">
        <v>139650</v>
      </c>
      <c r="S652" s="15">
        <f>Table1[[#This Row],[Retail Price]]-Table1[[#This Row],[Cost Price]]</f>
        <v>78150</v>
      </c>
      <c r="T652" s="10">
        <v>30</v>
      </c>
      <c r="U652" s="15">
        <f>Table1[[#This Row],[Profit Margin]]*Table1[[#This Row],[Order Quantity]]</f>
        <v>2344500</v>
      </c>
      <c r="V652" s="11">
        <v>0.03</v>
      </c>
      <c r="W652" s="15">
        <f t="shared" si="10"/>
        <v>70335</v>
      </c>
      <c r="X652" s="15">
        <f>Table1[[#This Row],[Sub Total]]-Table1[[#This Row],[Discount Rp]]</f>
        <v>2274165</v>
      </c>
      <c r="Y652" s="15">
        <f ca="1">OFFSET(Helper!$C$3,MATCH(Data!$N$4:$N$1003,Helper!$C$4:$C$9,0),MATCH(Data!$O$4:$O$1003,Helper!$D$3:$F$3,0))</f>
        <v>10000</v>
      </c>
      <c r="Z652" s="16">
        <f ca="1">Table1[[#This Row],[Order Total]]+Table1[[#This Row],[Shipping Cost]]</f>
        <v>2284165</v>
      </c>
    </row>
    <row r="653" spans="1:26" ht="15.75" customHeight="1" x14ac:dyDescent="0.3">
      <c r="A653" s="9" t="s">
        <v>1449</v>
      </c>
      <c r="B653" s="18">
        <v>43427</v>
      </c>
      <c r="C653" s="10">
        <f>YEAR(Table1[[#This Row],[Order Date]])</f>
        <v>2018</v>
      </c>
      <c r="D653" s="10" t="s">
        <v>953</v>
      </c>
      <c r="E653" s="10" t="s">
        <v>387</v>
      </c>
      <c r="F653" s="10" t="s">
        <v>71</v>
      </c>
      <c r="G653" s="10" t="s">
        <v>87</v>
      </c>
      <c r="H653" s="10" t="s">
        <v>194</v>
      </c>
      <c r="I653" s="10" t="str">
        <f>VLOOKUP(Table1[[#This Row],[Account Manager ID]],Table2[[Employee ID]:[Full Name]],4,FALSE)</f>
        <v>Nabila Prakasa</v>
      </c>
      <c r="J653" s="10" t="str">
        <f>INDEX(Employee!$D$4:$D$47,MATCH($H$4:$H$1003,Employee!$A$4:$A$47,0))</f>
        <v>Nabila Prakasa</v>
      </c>
      <c r="K653" s="10" t="s">
        <v>57</v>
      </c>
      <c r="L653" s="10" t="s">
        <v>751</v>
      </c>
      <c r="M653" s="10" t="s">
        <v>81</v>
      </c>
      <c r="N653" s="10" t="s">
        <v>459</v>
      </c>
      <c r="O653" s="10" t="s">
        <v>61</v>
      </c>
      <c r="P653" s="10">
        <v>43428</v>
      </c>
      <c r="Q653" s="15">
        <v>5669850</v>
      </c>
      <c r="R653" s="15">
        <v>8999850</v>
      </c>
      <c r="S653" s="15">
        <f>Table1[[#This Row],[Retail Price]]-Table1[[#This Row],[Cost Price]]</f>
        <v>3330000</v>
      </c>
      <c r="T653" s="10">
        <v>46</v>
      </c>
      <c r="U653" s="15">
        <f>Table1[[#This Row],[Profit Margin]]*Table1[[#This Row],[Order Quantity]]</f>
        <v>153180000</v>
      </c>
      <c r="V653" s="11">
        <v>7.0000000000000007E-2</v>
      </c>
      <c r="W653" s="15">
        <f t="shared" si="10"/>
        <v>10722600.000000002</v>
      </c>
      <c r="X653" s="15">
        <f>Table1[[#This Row],[Sub Total]]-Table1[[#This Row],[Discount Rp]]</f>
        <v>142457400</v>
      </c>
      <c r="Y653" s="15">
        <f ca="1">OFFSET(Helper!$C$3,MATCH(Data!$N$4:$N$1003,Helper!$C$4:$C$9,0),MATCH(Data!$O$4:$O$1003,Helper!$D$3:$F$3,0))</f>
        <v>50000</v>
      </c>
      <c r="Z653" s="16">
        <f ca="1">Table1[[#This Row],[Order Total]]+Table1[[#This Row],[Shipping Cost]]</f>
        <v>142507400</v>
      </c>
    </row>
    <row r="654" spans="1:26" ht="15.75" customHeight="1" x14ac:dyDescent="0.3">
      <c r="A654" s="9" t="s">
        <v>1450</v>
      </c>
      <c r="B654" s="18">
        <v>43427</v>
      </c>
      <c r="C654" s="10">
        <f>YEAR(Table1[[#This Row],[Order Date]])</f>
        <v>2018</v>
      </c>
      <c r="D654" s="10" t="s">
        <v>1159</v>
      </c>
      <c r="E654" s="10" t="s">
        <v>1160</v>
      </c>
      <c r="F654" s="10" t="s">
        <v>71</v>
      </c>
      <c r="G654" s="10" t="s">
        <v>106</v>
      </c>
      <c r="H654" s="10" t="s">
        <v>304</v>
      </c>
      <c r="I654" s="10" t="str">
        <f>VLOOKUP(Table1[[#This Row],[Account Manager ID]],Table2[[Employee ID]:[Full Name]],4,FALSE)</f>
        <v>Sutan Tirtayasa Wasita</v>
      </c>
      <c r="J654" s="10" t="str">
        <f>INDEX(Employee!$D$4:$D$47,MATCH($H$4:$H$1003,Employee!$A$4:$A$47,0))</f>
        <v>Sutan Tirtayasa Wasita</v>
      </c>
      <c r="K654" s="10" t="s">
        <v>57</v>
      </c>
      <c r="L654" s="10" t="s">
        <v>629</v>
      </c>
      <c r="M654" s="10" t="s">
        <v>59</v>
      </c>
      <c r="N654" s="10" t="s">
        <v>67</v>
      </c>
      <c r="O654" s="10" t="s">
        <v>61</v>
      </c>
      <c r="P654" s="10">
        <v>43430</v>
      </c>
      <c r="Q654" s="15">
        <v>26400</v>
      </c>
      <c r="R654" s="15">
        <v>44100</v>
      </c>
      <c r="S654" s="15">
        <f>Table1[[#This Row],[Retail Price]]-Table1[[#This Row],[Cost Price]]</f>
        <v>17700</v>
      </c>
      <c r="T654" s="10">
        <v>39</v>
      </c>
      <c r="U654" s="15">
        <f>Table1[[#This Row],[Profit Margin]]*Table1[[#This Row],[Order Quantity]]</f>
        <v>690300</v>
      </c>
      <c r="V654" s="11">
        <v>0.04</v>
      </c>
      <c r="W654" s="15">
        <f t="shared" si="10"/>
        <v>27612</v>
      </c>
      <c r="X654" s="15">
        <f>Table1[[#This Row],[Sub Total]]-Table1[[#This Row],[Discount Rp]]</f>
        <v>662688</v>
      </c>
      <c r="Y654" s="15">
        <f ca="1">OFFSET(Helper!$C$3,MATCH(Data!$N$4:$N$1003,Helper!$C$4:$C$9,0),MATCH(Data!$O$4:$O$1003,Helper!$D$3:$F$3,0))</f>
        <v>5000</v>
      </c>
      <c r="Z654" s="16">
        <f ca="1">Table1[[#This Row],[Order Total]]+Table1[[#This Row],[Shipping Cost]]</f>
        <v>667688</v>
      </c>
    </row>
    <row r="655" spans="1:26" ht="15.75" customHeight="1" x14ac:dyDescent="0.3">
      <c r="A655" s="9" t="s">
        <v>1451</v>
      </c>
      <c r="B655" s="18">
        <v>43427</v>
      </c>
      <c r="C655" s="10">
        <f>YEAR(Table1[[#This Row],[Order Date]])</f>
        <v>2018</v>
      </c>
      <c r="D655" s="10" t="s">
        <v>1452</v>
      </c>
      <c r="E655" s="10" t="s">
        <v>165</v>
      </c>
      <c r="F655" s="10" t="s">
        <v>71</v>
      </c>
      <c r="G655" s="10" t="s">
        <v>87</v>
      </c>
      <c r="H655" s="10" t="s">
        <v>88</v>
      </c>
      <c r="I655" s="10" t="str">
        <f>VLOOKUP(Table1[[#This Row],[Account Manager ID]],Table2[[Employee ID]:[Full Name]],4,FALSE)</f>
        <v>Bagiya Sihombing</v>
      </c>
      <c r="J655" s="10" t="str">
        <f>INDEX(Employee!$D$4:$D$47,MATCH($H$4:$H$1003,Employee!$A$4:$A$47,0))</f>
        <v>Bagiya Sihombing</v>
      </c>
      <c r="K655" s="10" t="s">
        <v>57</v>
      </c>
      <c r="L655" s="10" t="s">
        <v>197</v>
      </c>
      <c r="M655" s="10" t="s">
        <v>81</v>
      </c>
      <c r="N655" s="10" t="s">
        <v>60</v>
      </c>
      <c r="O655" s="10" t="s">
        <v>76</v>
      </c>
      <c r="P655" s="10">
        <v>43428</v>
      </c>
      <c r="Q655" s="15">
        <v>151050</v>
      </c>
      <c r="R655" s="15">
        <v>239700</v>
      </c>
      <c r="S655" s="15">
        <f>Table1[[#This Row],[Retail Price]]-Table1[[#This Row],[Cost Price]]</f>
        <v>88650</v>
      </c>
      <c r="T655" s="10">
        <v>7</v>
      </c>
      <c r="U655" s="15">
        <f>Table1[[#This Row],[Profit Margin]]*Table1[[#This Row],[Order Quantity]]</f>
        <v>620550</v>
      </c>
      <c r="V655" s="11">
        <v>0.04</v>
      </c>
      <c r="W655" s="15">
        <f t="shared" si="10"/>
        <v>24822</v>
      </c>
      <c r="X655" s="15">
        <f>Table1[[#This Row],[Sub Total]]-Table1[[#This Row],[Discount Rp]]</f>
        <v>595728</v>
      </c>
      <c r="Y655" s="15">
        <f ca="1">OFFSET(Helper!$C$3,MATCH(Data!$N$4:$N$1003,Helper!$C$4:$C$9,0),MATCH(Data!$O$4:$O$1003,Helper!$D$3:$F$3,0))</f>
        <v>30000</v>
      </c>
      <c r="Z655" s="16">
        <f ca="1">Table1[[#This Row],[Order Total]]+Table1[[#This Row],[Shipping Cost]]</f>
        <v>625728</v>
      </c>
    </row>
    <row r="656" spans="1:26" ht="15.75" customHeight="1" x14ac:dyDescent="0.3">
      <c r="A656" s="9" t="s">
        <v>1453</v>
      </c>
      <c r="B656" s="18">
        <v>43428</v>
      </c>
      <c r="C656" s="10">
        <f>YEAR(Table1[[#This Row],[Order Date]])</f>
        <v>2018</v>
      </c>
      <c r="D656" s="10" t="s">
        <v>221</v>
      </c>
      <c r="E656" s="10" t="s">
        <v>222</v>
      </c>
      <c r="F656" s="10" t="s">
        <v>71</v>
      </c>
      <c r="G656" s="10" t="s">
        <v>72</v>
      </c>
      <c r="H656" s="10" t="s">
        <v>155</v>
      </c>
      <c r="I656" s="10" t="str">
        <f>VLOOKUP(Table1[[#This Row],[Account Manager ID]],Table2[[Employee ID]:[Full Name]],4,FALSE)</f>
        <v>Puti Nadine Prakasa</v>
      </c>
      <c r="J656" s="10" t="str">
        <f>INDEX(Employee!$D$4:$D$47,MATCH($H$4:$H$1003,Employee!$A$4:$A$47,0))</f>
        <v>Puti Nadine Prakasa</v>
      </c>
      <c r="K656" s="10" t="s">
        <v>107</v>
      </c>
      <c r="L656" s="10" t="s">
        <v>410</v>
      </c>
      <c r="M656" s="10" t="s">
        <v>81</v>
      </c>
      <c r="N656" s="10" t="s">
        <v>60</v>
      </c>
      <c r="O656" s="10" t="s">
        <v>61</v>
      </c>
      <c r="P656" s="10">
        <v>43431</v>
      </c>
      <c r="Q656" s="15">
        <v>97650</v>
      </c>
      <c r="R656" s="15">
        <v>464700</v>
      </c>
      <c r="S656" s="15">
        <f>Table1[[#This Row],[Retail Price]]-Table1[[#This Row],[Cost Price]]</f>
        <v>367050</v>
      </c>
      <c r="T656" s="10">
        <v>8</v>
      </c>
      <c r="U656" s="15">
        <f>Table1[[#This Row],[Profit Margin]]*Table1[[#This Row],[Order Quantity]]</f>
        <v>2936400</v>
      </c>
      <c r="V656" s="11">
        <v>0.06</v>
      </c>
      <c r="W656" s="15">
        <f t="shared" si="10"/>
        <v>176184</v>
      </c>
      <c r="X656" s="15">
        <f>Table1[[#This Row],[Sub Total]]-Table1[[#This Row],[Discount Rp]]</f>
        <v>2760216</v>
      </c>
      <c r="Y656" s="15">
        <f ca="1">OFFSET(Helper!$C$3,MATCH(Data!$N$4:$N$1003,Helper!$C$4:$C$9,0),MATCH(Data!$O$4:$O$1003,Helper!$D$3:$F$3,0))</f>
        <v>15000</v>
      </c>
      <c r="Z656" s="16">
        <f ca="1">Table1[[#This Row],[Order Total]]+Table1[[#This Row],[Shipping Cost]]</f>
        <v>2775216</v>
      </c>
    </row>
    <row r="657" spans="1:26" ht="15.75" customHeight="1" x14ac:dyDescent="0.3">
      <c r="A657" s="9" t="s">
        <v>1454</v>
      </c>
      <c r="B657" s="18">
        <v>43430</v>
      </c>
      <c r="C657" s="10">
        <f>YEAR(Table1[[#This Row],[Order Date]])</f>
        <v>2018</v>
      </c>
      <c r="D657" s="10" t="s">
        <v>1455</v>
      </c>
      <c r="E657" s="10" t="s">
        <v>116</v>
      </c>
      <c r="F657" s="10" t="s">
        <v>54</v>
      </c>
      <c r="G657" s="10" t="s">
        <v>72</v>
      </c>
      <c r="H657" s="10" t="s">
        <v>65</v>
      </c>
      <c r="I657" s="10" t="str">
        <f>VLOOKUP(Table1[[#This Row],[Account Manager ID]],Table2[[Employee ID]:[Full Name]],4,FALSE)</f>
        <v>Laras Nuraini</v>
      </c>
      <c r="J657" s="10" t="str">
        <f>INDEX(Employee!$D$4:$D$47,MATCH($H$4:$H$1003,Employee!$A$4:$A$47,0))</f>
        <v>Laras Nuraini</v>
      </c>
      <c r="K657" s="10" t="s">
        <v>117</v>
      </c>
      <c r="L657" s="10" t="s">
        <v>248</v>
      </c>
      <c r="M657" s="10" t="s">
        <v>59</v>
      </c>
      <c r="N657" s="10" t="s">
        <v>67</v>
      </c>
      <c r="O657" s="10" t="s">
        <v>61</v>
      </c>
      <c r="P657" s="10">
        <v>43432</v>
      </c>
      <c r="Q657" s="15">
        <v>56250</v>
      </c>
      <c r="R657" s="15">
        <v>106200</v>
      </c>
      <c r="S657" s="15">
        <f>Table1[[#This Row],[Retail Price]]-Table1[[#This Row],[Cost Price]]</f>
        <v>49950</v>
      </c>
      <c r="T657" s="10">
        <v>48</v>
      </c>
      <c r="U657" s="15">
        <f>Table1[[#This Row],[Profit Margin]]*Table1[[#This Row],[Order Quantity]]</f>
        <v>2397600</v>
      </c>
      <c r="V657" s="11">
        <v>0.03</v>
      </c>
      <c r="W657" s="15">
        <f t="shared" si="10"/>
        <v>71928</v>
      </c>
      <c r="X657" s="15">
        <f>Table1[[#This Row],[Sub Total]]-Table1[[#This Row],[Discount Rp]]</f>
        <v>2325672</v>
      </c>
      <c r="Y657" s="15">
        <f ca="1">OFFSET(Helper!$C$3,MATCH(Data!$N$4:$N$1003,Helper!$C$4:$C$9,0),MATCH(Data!$O$4:$O$1003,Helper!$D$3:$F$3,0))</f>
        <v>5000</v>
      </c>
      <c r="Z657" s="16">
        <f ca="1">Table1[[#This Row],[Order Total]]+Table1[[#This Row],[Shipping Cost]]</f>
        <v>2330672</v>
      </c>
    </row>
    <row r="658" spans="1:26" ht="15.75" customHeight="1" x14ac:dyDescent="0.3">
      <c r="A658" s="9" t="s">
        <v>1456</v>
      </c>
      <c r="B658" s="18">
        <v>43431</v>
      </c>
      <c r="C658" s="10">
        <f>YEAR(Table1[[#This Row],[Order Date]])</f>
        <v>2018</v>
      </c>
      <c r="D658" s="10" t="s">
        <v>325</v>
      </c>
      <c r="E658" s="10" t="s">
        <v>323</v>
      </c>
      <c r="F658" s="10" t="s">
        <v>71</v>
      </c>
      <c r="G658" s="10" t="s">
        <v>87</v>
      </c>
      <c r="H658" s="10" t="s">
        <v>194</v>
      </c>
      <c r="I658" s="10" t="str">
        <f>VLOOKUP(Table1[[#This Row],[Account Manager ID]],Table2[[Employee ID]:[Full Name]],4,FALSE)</f>
        <v>Nabila Prakasa</v>
      </c>
      <c r="J658" s="10" t="str">
        <f>INDEX(Employee!$D$4:$D$47,MATCH($H$4:$H$1003,Employee!$A$4:$A$47,0))</f>
        <v>Nabila Prakasa</v>
      </c>
      <c r="K658" s="10" t="s">
        <v>57</v>
      </c>
      <c r="L658" s="10" t="s">
        <v>465</v>
      </c>
      <c r="M658" s="10" t="s">
        <v>59</v>
      </c>
      <c r="N658" s="10" t="s">
        <v>60</v>
      </c>
      <c r="O658" s="10" t="s">
        <v>76</v>
      </c>
      <c r="P658" s="10">
        <v>43433</v>
      </c>
      <c r="Q658" s="15">
        <v>52500</v>
      </c>
      <c r="R658" s="15">
        <v>86100</v>
      </c>
      <c r="S658" s="15">
        <f>Table1[[#This Row],[Retail Price]]-Table1[[#This Row],[Cost Price]]</f>
        <v>33600</v>
      </c>
      <c r="T658" s="10">
        <v>32</v>
      </c>
      <c r="U658" s="15">
        <f>Table1[[#This Row],[Profit Margin]]*Table1[[#This Row],[Order Quantity]]</f>
        <v>1075200</v>
      </c>
      <c r="V658" s="11">
        <v>0.08</v>
      </c>
      <c r="W658" s="15">
        <f t="shared" si="10"/>
        <v>86016</v>
      </c>
      <c r="X658" s="15">
        <f>Table1[[#This Row],[Sub Total]]-Table1[[#This Row],[Discount Rp]]</f>
        <v>989184</v>
      </c>
      <c r="Y658" s="15">
        <f ca="1">OFFSET(Helper!$C$3,MATCH(Data!$N$4:$N$1003,Helper!$C$4:$C$9,0),MATCH(Data!$O$4:$O$1003,Helper!$D$3:$F$3,0))</f>
        <v>30000</v>
      </c>
      <c r="Z658" s="16">
        <f ca="1">Table1[[#This Row],[Order Total]]+Table1[[#This Row],[Shipping Cost]]</f>
        <v>1019184</v>
      </c>
    </row>
    <row r="659" spans="1:26" ht="15.75" customHeight="1" x14ac:dyDescent="0.3">
      <c r="A659" s="9" t="s">
        <v>1457</v>
      </c>
      <c r="B659" s="18">
        <v>43437</v>
      </c>
      <c r="C659" s="10">
        <f>YEAR(Table1[[#This Row],[Order Date]])</f>
        <v>2018</v>
      </c>
      <c r="D659" s="10" t="s">
        <v>1439</v>
      </c>
      <c r="E659" s="10" t="s">
        <v>1440</v>
      </c>
      <c r="F659" s="10" t="s">
        <v>71</v>
      </c>
      <c r="G659" s="10" t="s">
        <v>55</v>
      </c>
      <c r="H659" s="10" t="s">
        <v>88</v>
      </c>
      <c r="I659" s="10" t="str">
        <f>VLOOKUP(Table1[[#This Row],[Account Manager ID]],Table2[[Employee ID]:[Full Name]],4,FALSE)</f>
        <v>Bagiya Sihombing</v>
      </c>
      <c r="J659" s="10" t="str">
        <f>INDEX(Employee!$D$4:$D$47,MATCH($H$4:$H$1003,Employee!$A$4:$A$47,0))</f>
        <v>Bagiya Sihombing</v>
      </c>
      <c r="K659" s="10" t="s">
        <v>107</v>
      </c>
      <c r="L659" s="10" t="s">
        <v>473</v>
      </c>
      <c r="M659" s="10" t="s">
        <v>59</v>
      </c>
      <c r="N659" s="10" t="s">
        <v>60</v>
      </c>
      <c r="O659" s="10" t="s">
        <v>61</v>
      </c>
      <c r="P659" s="10">
        <v>43439</v>
      </c>
      <c r="Q659" s="15">
        <v>32700.000000000004</v>
      </c>
      <c r="R659" s="15">
        <v>52800</v>
      </c>
      <c r="S659" s="15">
        <f>Table1[[#This Row],[Retail Price]]-Table1[[#This Row],[Cost Price]]</f>
        <v>20099.999999999996</v>
      </c>
      <c r="T659" s="10">
        <v>38</v>
      </c>
      <c r="U659" s="15">
        <f>Table1[[#This Row],[Profit Margin]]*Table1[[#This Row],[Order Quantity]]</f>
        <v>763799.99999999988</v>
      </c>
      <c r="V659" s="11">
        <v>0.09</v>
      </c>
      <c r="W659" s="15">
        <f t="shared" si="10"/>
        <v>68741.999999999985</v>
      </c>
      <c r="X659" s="15">
        <f>Table1[[#This Row],[Sub Total]]-Table1[[#This Row],[Discount Rp]]</f>
        <v>695057.99999999988</v>
      </c>
      <c r="Y659" s="15">
        <f ca="1">OFFSET(Helper!$C$3,MATCH(Data!$N$4:$N$1003,Helper!$C$4:$C$9,0),MATCH(Data!$O$4:$O$1003,Helper!$D$3:$F$3,0))</f>
        <v>15000</v>
      </c>
      <c r="Z659" s="16">
        <f ca="1">Table1[[#This Row],[Order Total]]+Table1[[#This Row],[Shipping Cost]]</f>
        <v>710057.99999999988</v>
      </c>
    </row>
    <row r="660" spans="1:26" ht="15.75" customHeight="1" x14ac:dyDescent="0.3">
      <c r="A660" s="9" t="s">
        <v>1458</v>
      </c>
      <c r="B660" s="18">
        <v>43438</v>
      </c>
      <c r="C660" s="10">
        <f>YEAR(Table1[[#This Row],[Order Date]])</f>
        <v>2018</v>
      </c>
      <c r="D660" s="10" t="s">
        <v>1402</v>
      </c>
      <c r="E660" s="10" t="s">
        <v>724</v>
      </c>
      <c r="F660" s="10" t="s">
        <v>71</v>
      </c>
      <c r="G660" s="10" t="s">
        <v>55</v>
      </c>
      <c r="H660" s="10" t="s">
        <v>185</v>
      </c>
      <c r="I660" s="10" t="str">
        <f>VLOOKUP(Table1[[#This Row],[Account Manager ID]],Table2[[Employee ID]:[Full Name]],4,FALSE)</f>
        <v>Clara Prasetyo</v>
      </c>
      <c r="J660" s="10" t="str">
        <f>INDEX(Employee!$D$4:$D$47,MATCH($H$4:$H$1003,Employee!$A$4:$A$47,0))</f>
        <v>Clara Prasetyo</v>
      </c>
      <c r="K660" s="10" t="s">
        <v>92</v>
      </c>
      <c r="L660" s="10" t="s">
        <v>197</v>
      </c>
      <c r="M660" s="10" t="s">
        <v>81</v>
      </c>
      <c r="N660" s="10" t="s">
        <v>60</v>
      </c>
      <c r="O660" s="10" t="s">
        <v>61</v>
      </c>
      <c r="P660" s="10">
        <v>43443</v>
      </c>
      <c r="Q660" s="15">
        <v>151050</v>
      </c>
      <c r="R660" s="15">
        <v>239700</v>
      </c>
      <c r="S660" s="15">
        <f>Table1[[#This Row],[Retail Price]]-Table1[[#This Row],[Cost Price]]</f>
        <v>88650</v>
      </c>
      <c r="T660" s="10">
        <v>6</v>
      </c>
      <c r="U660" s="15">
        <f>Table1[[#This Row],[Profit Margin]]*Table1[[#This Row],[Order Quantity]]</f>
        <v>531900</v>
      </c>
      <c r="V660" s="11">
        <v>0.1</v>
      </c>
      <c r="W660" s="15">
        <f t="shared" si="10"/>
        <v>53190</v>
      </c>
      <c r="X660" s="15">
        <f>Table1[[#This Row],[Sub Total]]-Table1[[#This Row],[Discount Rp]]</f>
        <v>478710</v>
      </c>
      <c r="Y660" s="15">
        <f ca="1">OFFSET(Helper!$C$3,MATCH(Data!$N$4:$N$1003,Helper!$C$4:$C$9,0),MATCH(Data!$O$4:$O$1003,Helper!$D$3:$F$3,0))</f>
        <v>15000</v>
      </c>
      <c r="Z660" s="16">
        <f ca="1">Table1[[#This Row],[Order Total]]+Table1[[#This Row],[Shipping Cost]]</f>
        <v>493710</v>
      </c>
    </row>
    <row r="661" spans="1:26" ht="15.75" customHeight="1" x14ac:dyDescent="0.3">
      <c r="A661" s="9" t="s">
        <v>1459</v>
      </c>
      <c r="B661" s="18">
        <v>43439</v>
      </c>
      <c r="C661" s="10">
        <f>YEAR(Table1[[#This Row],[Order Date]])</f>
        <v>2018</v>
      </c>
      <c r="D661" s="10" t="s">
        <v>1460</v>
      </c>
      <c r="E661" s="10" t="s">
        <v>927</v>
      </c>
      <c r="F661" s="10" t="s">
        <v>54</v>
      </c>
      <c r="G661" s="10" t="s">
        <v>106</v>
      </c>
      <c r="H661" s="10" t="s">
        <v>56</v>
      </c>
      <c r="I661" s="10" t="str">
        <f>VLOOKUP(Table1[[#This Row],[Account Manager ID]],Table2[[Employee ID]:[Full Name]],4,FALSE)</f>
        <v>Gaduh Pratama</v>
      </c>
      <c r="J661" s="10" t="str">
        <f>INDEX(Employee!$D$4:$D$47,MATCH($H$4:$H$1003,Employee!$A$4:$A$47,0))</f>
        <v>Gaduh Pratama</v>
      </c>
      <c r="K661" s="10" t="s">
        <v>92</v>
      </c>
      <c r="L661" s="10" t="s">
        <v>1285</v>
      </c>
      <c r="M661" s="10" t="s">
        <v>59</v>
      </c>
      <c r="N661" s="10" t="s">
        <v>60</v>
      </c>
      <c r="O661" s="10" t="s">
        <v>76</v>
      </c>
      <c r="P661" s="10">
        <v>43446</v>
      </c>
      <c r="Q661" s="15">
        <v>52950</v>
      </c>
      <c r="R661" s="15">
        <v>129299.99999999999</v>
      </c>
      <c r="S661" s="15">
        <f>Table1[[#This Row],[Retail Price]]-Table1[[#This Row],[Cost Price]]</f>
        <v>76349.999999999985</v>
      </c>
      <c r="T661" s="10">
        <v>8</v>
      </c>
      <c r="U661" s="15">
        <f>Table1[[#This Row],[Profit Margin]]*Table1[[#This Row],[Order Quantity]]</f>
        <v>610799.99999999988</v>
      </c>
      <c r="V661" s="11">
        <v>0</v>
      </c>
      <c r="W661" s="15">
        <f t="shared" si="10"/>
        <v>0</v>
      </c>
      <c r="X661" s="15">
        <f>Table1[[#This Row],[Sub Total]]-Table1[[#This Row],[Discount Rp]]</f>
        <v>610799.99999999988</v>
      </c>
      <c r="Y661" s="15">
        <f ca="1">OFFSET(Helper!$C$3,MATCH(Data!$N$4:$N$1003,Helper!$C$4:$C$9,0),MATCH(Data!$O$4:$O$1003,Helper!$D$3:$F$3,0))</f>
        <v>30000</v>
      </c>
      <c r="Z661" s="16">
        <f ca="1">Table1[[#This Row],[Order Total]]+Table1[[#This Row],[Shipping Cost]]</f>
        <v>640799.99999999988</v>
      </c>
    </row>
    <row r="662" spans="1:26" ht="15.75" customHeight="1" x14ac:dyDescent="0.3">
      <c r="A662" s="9" t="s">
        <v>1461</v>
      </c>
      <c r="B662" s="18">
        <v>43440</v>
      </c>
      <c r="C662" s="10">
        <f>YEAR(Table1[[#This Row],[Order Date]])</f>
        <v>2018</v>
      </c>
      <c r="D662" s="10" t="s">
        <v>934</v>
      </c>
      <c r="E662" s="10" t="s">
        <v>233</v>
      </c>
      <c r="F662" s="10" t="s">
        <v>54</v>
      </c>
      <c r="G662" s="10" t="s">
        <v>106</v>
      </c>
      <c r="H662" s="10" t="s">
        <v>65</v>
      </c>
      <c r="I662" s="10" t="str">
        <f>VLOOKUP(Table1[[#This Row],[Account Manager ID]],Table2[[Employee ID]:[Full Name]],4,FALSE)</f>
        <v>Laras Nuraini</v>
      </c>
      <c r="J662" s="10" t="str">
        <f>INDEX(Employee!$D$4:$D$47,MATCH($H$4:$H$1003,Employee!$A$4:$A$47,0))</f>
        <v>Laras Nuraini</v>
      </c>
      <c r="K662" s="10" t="s">
        <v>57</v>
      </c>
      <c r="L662" s="10" t="s">
        <v>854</v>
      </c>
      <c r="M662" s="10" t="s">
        <v>59</v>
      </c>
      <c r="N662" s="10" t="s">
        <v>60</v>
      </c>
      <c r="O662" s="10" t="s">
        <v>76</v>
      </c>
      <c r="P662" s="10">
        <v>43441</v>
      </c>
      <c r="Q662" s="15">
        <v>1263300</v>
      </c>
      <c r="R662" s="15">
        <v>3158250</v>
      </c>
      <c r="S662" s="15">
        <f>Table1[[#This Row],[Retail Price]]-Table1[[#This Row],[Cost Price]]</f>
        <v>1894950</v>
      </c>
      <c r="T662" s="10">
        <v>2</v>
      </c>
      <c r="U662" s="15">
        <f>Table1[[#This Row],[Profit Margin]]*Table1[[#This Row],[Order Quantity]]</f>
        <v>3789900</v>
      </c>
      <c r="V662" s="11">
        <v>0.05</v>
      </c>
      <c r="W662" s="15">
        <f t="shared" si="10"/>
        <v>189495</v>
      </c>
      <c r="X662" s="15">
        <f>Table1[[#This Row],[Sub Total]]-Table1[[#This Row],[Discount Rp]]</f>
        <v>3600405</v>
      </c>
      <c r="Y662" s="15">
        <f ca="1">OFFSET(Helper!$C$3,MATCH(Data!$N$4:$N$1003,Helper!$C$4:$C$9,0),MATCH(Data!$O$4:$O$1003,Helper!$D$3:$F$3,0))</f>
        <v>30000</v>
      </c>
      <c r="Z662" s="16">
        <f ca="1">Table1[[#This Row],[Order Total]]+Table1[[#This Row],[Shipping Cost]]</f>
        <v>3630405</v>
      </c>
    </row>
    <row r="663" spans="1:26" ht="15.75" customHeight="1" x14ac:dyDescent="0.3">
      <c r="A663" s="9" t="s">
        <v>1462</v>
      </c>
      <c r="B663" s="18">
        <v>43440</v>
      </c>
      <c r="C663" s="10">
        <f>YEAR(Table1[[#This Row],[Order Date]])</f>
        <v>2018</v>
      </c>
      <c r="D663" s="10" t="s">
        <v>1463</v>
      </c>
      <c r="E663" s="10" t="s">
        <v>225</v>
      </c>
      <c r="F663" s="10" t="s">
        <v>71</v>
      </c>
      <c r="G663" s="10" t="s">
        <v>72</v>
      </c>
      <c r="H663" s="10" t="s">
        <v>155</v>
      </c>
      <c r="I663" s="10" t="str">
        <f>VLOOKUP(Table1[[#This Row],[Account Manager ID]],Table2[[Employee ID]:[Full Name]],4,FALSE)</f>
        <v>Puti Nadine Prakasa</v>
      </c>
      <c r="J663" s="10" t="str">
        <f>INDEX(Employee!$D$4:$D$47,MATCH($H$4:$H$1003,Employee!$A$4:$A$47,0))</f>
        <v>Puti Nadine Prakasa</v>
      </c>
      <c r="K663" s="10" t="s">
        <v>92</v>
      </c>
      <c r="L663" s="10" t="s">
        <v>894</v>
      </c>
      <c r="M663" s="10" t="s">
        <v>59</v>
      </c>
      <c r="N663" s="10" t="s">
        <v>67</v>
      </c>
      <c r="O663" s="10" t="s">
        <v>61</v>
      </c>
      <c r="P663" s="10">
        <v>43444</v>
      </c>
      <c r="Q663" s="15">
        <v>16350.000000000002</v>
      </c>
      <c r="R663" s="15">
        <v>27300</v>
      </c>
      <c r="S663" s="15">
        <f>Table1[[#This Row],[Retail Price]]-Table1[[#This Row],[Cost Price]]</f>
        <v>10949.999999999998</v>
      </c>
      <c r="T663" s="10">
        <v>42</v>
      </c>
      <c r="U663" s="15">
        <f>Table1[[#This Row],[Profit Margin]]*Table1[[#This Row],[Order Quantity]]</f>
        <v>459899.99999999994</v>
      </c>
      <c r="V663" s="11">
        <v>0.08</v>
      </c>
      <c r="W663" s="15">
        <f t="shared" si="10"/>
        <v>36791.999999999993</v>
      </c>
      <c r="X663" s="15">
        <f>Table1[[#This Row],[Sub Total]]-Table1[[#This Row],[Discount Rp]]</f>
        <v>423107.99999999994</v>
      </c>
      <c r="Y663" s="15">
        <f ca="1">OFFSET(Helper!$C$3,MATCH(Data!$N$4:$N$1003,Helper!$C$4:$C$9,0),MATCH(Data!$O$4:$O$1003,Helper!$D$3:$F$3,0))</f>
        <v>5000</v>
      </c>
      <c r="Z663" s="16">
        <f ca="1">Table1[[#This Row],[Order Total]]+Table1[[#This Row],[Shipping Cost]]</f>
        <v>428107.99999999994</v>
      </c>
    </row>
    <row r="664" spans="1:26" ht="15.75" customHeight="1" x14ac:dyDescent="0.3">
      <c r="A664" s="9" t="s">
        <v>1464</v>
      </c>
      <c r="B664" s="18">
        <v>43440</v>
      </c>
      <c r="C664" s="10">
        <f>YEAR(Table1[[#This Row],[Order Date]])</f>
        <v>2018</v>
      </c>
      <c r="D664" s="10" t="s">
        <v>590</v>
      </c>
      <c r="E664" s="10" t="s">
        <v>579</v>
      </c>
      <c r="F664" s="10" t="s">
        <v>71</v>
      </c>
      <c r="G664" s="10" t="s">
        <v>106</v>
      </c>
      <c r="H664" s="10" t="s">
        <v>73</v>
      </c>
      <c r="I664" s="10" t="str">
        <f>VLOOKUP(Table1[[#This Row],[Account Manager ID]],Table2[[Employee ID]:[Full Name]],4,FALSE)</f>
        <v>Cinthia Gunawan</v>
      </c>
      <c r="J664" s="10" t="str">
        <f>INDEX(Employee!$D$4:$D$47,MATCH($H$4:$H$1003,Employee!$A$4:$A$47,0))</f>
        <v>Cinthia Gunawan</v>
      </c>
      <c r="K664" s="10" t="s">
        <v>74</v>
      </c>
      <c r="L664" s="10" t="s">
        <v>598</v>
      </c>
      <c r="M664" s="10" t="s">
        <v>59</v>
      </c>
      <c r="N664" s="10" t="s">
        <v>136</v>
      </c>
      <c r="O664" s="10" t="s">
        <v>61</v>
      </c>
      <c r="P664" s="10">
        <v>43442</v>
      </c>
      <c r="Q664" s="15">
        <v>252000</v>
      </c>
      <c r="R664" s="15">
        <v>614550</v>
      </c>
      <c r="S664" s="15">
        <f>Table1[[#This Row],[Retail Price]]-Table1[[#This Row],[Cost Price]]</f>
        <v>362550</v>
      </c>
      <c r="T664" s="10">
        <v>28</v>
      </c>
      <c r="U664" s="15">
        <f>Table1[[#This Row],[Profit Margin]]*Table1[[#This Row],[Order Quantity]]</f>
        <v>10151400</v>
      </c>
      <c r="V664" s="11">
        <v>0.04</v>
      </c>
      <c r="W664" s="15">
        <f t="shared" si="10"/>
        <v>406056</v>
      </c>
      <c r="X664" s="15">
        <f>Table1[[#This Row],[Sub Total]]-Table1[[#This Row],[Discount Rp]]</f>
        <v>9745344</v>
      </c>
      <c r="Y664" s="15">
        <f ca="1">OFFSET(Helper!$C$3,MATCH(Data!$N$4:$N$1003,Helper!$C$4:$C$9,0),MATCH(Data!$O$4:$O$1003,Helper!$D$3:$F$3,0))</f>
        <v>10000</v>
      </c>
      <c r="Z664" s="16">
        <f ca="1">Table1[[#This Row],[Order Total]]+Table1[[#This Row],[Shipping Cost]]</f>
        <v>9755344</v>
      </c>
    </row>
    <row r="665" spans="1:26" ht="15.75" customHeight="1" x14ac:dyDescent="0.3">
      <c r="A665" s="9" t="s">
        <v>1465</v>
      </c>
      <c r="B665" s="18">
        <v>43442</v>
      </c>
      <c r="C665" s="10">
        <f>YEAR(Table1[[#This Row],[Order Date]])</f>
        <v>2018</v>
      </c>
      <c r="D665" s="10" t="s">
        <v>188</v>
      </c>
      <c r="E665" s="10" t="s">
        <v>189</v>
      </c>
      <c r="F665" s="10" t="s">
        <v>54</v>
      </c>
      <c r="G665" s="10" t="s">
        <v>72</v>
      </c>
      <c r="H665" s="10" t="s">
        <v>56</v>
      </c>
      <c r="I665" s="10" t="str">
        <f>VLOOKUP(Table1[[#This Row],[Account Manager ID]],Table2[[Employee ID]:[Full Name]],4,FALSE)</f>
        <v>Gaduh Pratama</v>
      </c>
      <c r="J665" s="10" t="str">
        <f>INDEX(Employee!$D$4:$D$47,MATCH($H$4:$H$1003,Employee!$A$4:$A$47,0))</f>
        <v>Gaduh Pratama</v>
      </c>
      <c r="K665" s="10" t="s">
        <v>117</v>
      </c>
      <c r="L665" s="10" t="s">
        <v>798</v>
      </c>
      <c r="M665" s="10" t="s">
        <v>59</v>
      </c>
      <c r="N665" s="10" t="s">
        <v>60</v>
      </c>
      <c r="O665" s="10" t="s">
        <v>61</v>
      </c>
      <c r="P665" s="10">
        <v>43444</v>
      </c>
      <c r="Q665" s="15">
        <v>780600</v>
      </c>
      <c r="R665" s="15">
        <v>1258950</v>
      </c>
      <c r="S665" s="15">
        <f>Table1[[#This Row],[Retail Price]]-Table1[[#This Row],[Cost Price]]</f>
        <v>478350</v>
      </c>
      <c r="T665" s="10">
        <v>3</v>
      </c>
      <c r="U665" s="15">
        <f>Table1[[#This Row],[Profit Margin]]*Table1[[#This Row],[Order Quantity]]</f>
        <v>1435050</v>
      </c>
      <c r="V665" s="11">
        <v>0</v>
      </c>
      <c r="W665" s="15">
        <f t="shared" si="10"/>
        <v>0</v>
      </c>
      <c r="X665" s="15">
        <f>Table1[[#This Row],[Sub Total]]-Table1[[#This Row],[Discount Rp]]</f>
        <v>1435050</v>
      </c>
      <c r="Y665" s="15">
        <f ca="1">OFFSET(Helper!$C$3,MATCH(Data!$N$4:$N$1003,Helper!$C$4:$C$9,0),MATCH(Data!$O$4:$O$1003,Helper!$D$3:$F$3,0))</f>
        <v>15000</v>
      </c>
      <c r="Z665" s="16">
        <f ca="1">Table1[[#This Row],[Order Total]]+Table1[[#This Row],[Shipping Cost]]</f>
        <v>1450050</v>
      </c>
    </row>
    <row r="666" spans="1:26" ht="15.75" customHeight="1" x14ac:dyDescent="0.3">
      <c r="A666" s="9" t="s">
        <v>1466</v>
      </c>
      <c r="B666" s="18">
        <v>43442</v>
      </c>
      <c r="C666" s="10">
        <f>YEAR(Table1[[#This Row],[Order Date]])</f>
        <v>2018</v>
      </c>
      <c r="D666" s="10" t="s">
        <v>158</v>
      </c>
      <c r="E666" s="10" t="s">
        <v>159</v>
      </c>
      <c r="F666" s="10" t="s">
        <v>71</v>
      </c>
      <c r="G666" s="10" t="s">
        <v>72</v>
      </c>
      <c r="H666" s="10" t="s">
        <v>122</v>
      </c>
      <c r="I666" s="10" t="str">
        <f>VLOOKUP(Table1[[#This Row],[Account Manager ID]],Table2[[Employee ID]:[Full Name]],4,FALSE)</f>
        <v>Ophelia Mustofa</v>
      </c>
      <c r="J666" s="10" t="str">
        <f>INDEX(Employee!$D$4:$D$47,MATCH($H$4:$H$1003,Employee!$A$4:$A$47,0))</f>
        <v>Ophelia Mustofa</v>
      </c>
      <c r="K666" s="10" t="s">
        <v>107</v>
      </c>
      <c r="L666" s="10" t="s">
        <v>611</v>
      </c>
      <c r="M666" s="10" t="s">
        <v>59</v>
      </c>
      <c r="N666" s="10" t="s">
        <v>60</v>
      </c>
      <c r="O666" s="10" t="s">
        <v>61</v>
      </c>
      <c r="P666" s="10">
        <v>43443</v>
      </c>
      <c r="Q666" s="15">
        <v>34350</v>
      </c>
      <c r="R666" s="15">
        <v>55350</v>
      </c>
      <c r="S666" s="15">
        <f>Table1[[#This Row],[Retail Price]]-Table1[[#This Row],[Cost Price]]</f>
        <v>21000</v>
      </c>
      <c r="T666" s="10">
        <v>39</v>
      </c>
      <c r="U666" s="15">
        <f>Table1[[#This Row],[Profit Margin]]*Table1[[#This Row],[Order Quantity]]</f>
        <v>819000</v>
      </c>
      <c r="V666" s="11">
        <v>0.03</v>
      </c>
      <c r="W666" s="15">
        <f t="shared" si="10"/>
        <v>24570</v>
      </c>
      <c r="X666" s="15">
        <f>Table1[[#This Row],[Sub Total]]-Table1[[#This Row],[Discount Rp]]</f>
        <v>794430</v>
      </c>
      <c r="Y666" s="15">
        <f ca="1">OFFSET(Helper!$C$3,MATCH(Data!$N$4:$N$1003,Helper!$C$4:$C$9,0),MATCH(Data!$O$4:$O$1003,Helper!$D$3:$F$3,0))</f>
        <v>15000</v>
      </c>
      <c r="Z666" s="16">
        <f ca="1">Table1[[#This Row],[Order Total]]+Table1[[#This Row],[Shipping Cost]]</f>
        <v>809430</v>
      </c>
    </row>
    <row r="667" spans="1:26" ht="15.75" customHeight="1" x14ac:dyDescent="0.3">
      <c r="A667" s="9" t="s">
        <v>1467</v>
      </c>
      <c r="B667" s="18">
        <v>43444</v>
      </c>
      <c r="C667" s="10">
        <f>YEAR(Table1[[#This Row],[Order Date]])</f>
        <v>2018</v>
      </c>
      <c r="D667" s="10" t="s">
        <v>638</v>
      </c>
      <c r="E667" s="10" t="s">
        <v>165</v>
      </c>
      <c r="F667" s="10" t="s">
        <v>71</v>
      </c>
      <c r="G667" s="10" t="s">
        <v>106</v>
      </c>
      <c r="H667" s="10" t="s">
        <v>88</v>
      </c>
      <c r="I667" s="10" t="str">
        <f>VLOOKUP(Table1[[#This Row],[Account Manager ID]],Table2[[Employee ID]:[Full Name]],4,FALSE)</f>
        <v>Bagiya Sihombing</v>
      </c>
      <c r="J667" s="10" t="str">
        <f>INDEX(Employee!$D$4:$D$47,MATCH($H$4:$H$1003,Employee!$A$4:$A$47,0))</f>
        <v>Bagiya Sihombing</v>
      </c>
      <c r="K667" s="10" t="s">
        <v>74</v>
      </c>
      <c r="L667" s="10" t="s">
        <v>429</v>
      </c>
      <c r="M667" s="10" t="s">
        <v>59</v>
      </c>
      <c r="N667" s="10" t="s">
        <v>60</v>
      </c>
      <c r="O667" s="10" t="s">
        <v>61</v>
      </c>
      <c r="P667" s="10">
        <v>43446</v>
      </c>
      <c r="Q667" s="15">
        <v>29100</v>
      </c>
      <c r="R667" s="15">
        <v>46200</v>
      </c>
      <c r="S667" s="15">
        <f>Table1[[#This Row],[Retail Price]]-Table1[[#This Row],[Cost Price]]</f>
        <v>17100</v>
      </c>
      <c r="T667" s="10">
        <v>6</v>
      </c>
      <c r="U667" s="15">
        <f>Table1[[#This Row],[Profit Margin]]*Table1[[#This Row],[Order Quantity]]</f>
        <v>102600</v>
      </c>
      <c r="V667" s="11">
        <v>0.02</v>
      </c>
      <c r="W667" s="15">
        <f t="shared" si="10"/>
        <v>2052</v>
      </c>
      <c r="X667" s="15">
        <f>Table1[[#This Row],[Sub Total]]-Table1[[#This Row],[Discount Rp]]</f>
        <v>100548</v>
      </c>
      <c r="Y667" s="15">
        <f ca="1">OFFSET(Helper!$C$3,MATCH(Data!$N$4:$N$1003,Helper!$C$4:$C$9,0),MATCH(Data!$O$4:$O$1003,Helper!$D$3:$F$3,0))</f>
        <v>15000</v>
      </c>
      <c r="Z667" s="16">
        <f ca="1">Table1[[#This Row],[Order Total]]+Table1[[#This Row],[Shipping Cost]]</f>
        <v>115548</v>
      </c>
    </row>
    <row r="668" spans="1:26" ht="15.75" customHeight="1" x14ac:dyDescent="0.3">
      <c r="A668" s="9" t="s">
        <v>1468</v>
      </c>
      <c r="B668" s="18">
        <v>43446</v>
      </c>
      <c r="C668" s="10">
        <f>YEAR(Table1[[#This Row],[Order Date]])</f>
        <v>2018</v>
      </c>
      <c r="D668" s="10" t="s">
        <v>1469</v>
      </c>
      <c r="E668" s="10" t="s">
        <v>1470</v>
      </c>
      <c r="F668" s="10" t="s">
        <v>71</v>
      </c>
      <c r="G668" s="10" t="s">
        <v>72</v>
      </c>
      <c r="H668" s="10" t="s">
        <v>73</v>
      </c>
      <c r="I668" s="10" t="str">
        <f>VLOOKUP(Table1[[#This Row],[Account Manager ID]],Table2[[Employee ID]:[Full Name]],4,FALSE)</f>
        <v>Cinthia Gunawan</v>
      </c>
      <c r="J668" s="10" t="str">
        <f>INDEX(Employee!$D$4:$D$47,MATCH($H$4:$H$1003,Employee!$A$4:$A$47,0))</f>
        <v>Cinthia Gunawan</v>
      </c>
      <c r="K668" s="10" t="s">
        <v>117</v>
      </c>
      <c r="L668" s="10" t="s">
        <v>560</v>
      </c>
      <c r="M668" s="10" t="s">
        <v>81</v>
      </c>
      <c r="N668" s="10" t="s">
        <v>60</v>
      </c>
      <c r="O668" s="10" t="s">
        <v>61</v>
      </c>
      <c r="P668" s="10">
        <v>43448</v>
      </c>
      <c r="Q668" s="15">
        <v>619200</v>
      </c>
      <c r="R668" s="15">
        <v>1439850</v>
      </c>
      <c r="S668" s="15">
        <f>Table1[[#This Row],[Retail Price]]-Table1[[#This Row],[Cost Price]]</f>
        <v>820650</v>
      </c>
      <c r="T668" s="10">
        <v>26</v>
      </c>
      <c r="U668" s="15">
        <f>Table1[[#This Row],[Profit Margin]]*Table1[[#This Row],[Order Quantity]]</f>
        <v>21336900</v>
      </c>
      <c r="V668" s="11">
        <v>0.02</v>
      </c>
      <c r="W668" s="15">
        <f t="shared" si="10"/>
        <v>426738</v>
      </c>
      <c r="X668" s="15">
        <f>Table1[[#This Row],[Sub Total]]-Table1[[#This Row],[Discount Rp]]</f>
        <v>20910162</v>
      </c>
      <c r="Y668" s="15">
        <f ca="1">OFFSET(Helper!$C$3,MATCH(Data!$N$4:$N$1003,Helper!$C$4:$C$9,0),MATCH(Data!$O$4:$O$1003,Helper!$D$3:$F$3,0))</f>
        <v>15000</v>
      </c>
      <c r="Z668" s="16">
        <f ca="1">Table1[[#This Row],[Order Total]]+Table1[[#This Row],[Shipping Cost]]</f>
        <v>20925162</v>
      </c>
    </row>
    <row r="669" spans="1:26" ht="15.75" customHeight="1" x14ac:dyDescent="0.3">
      <c r="A669" s="9" t="s">
        <v>1471</v>
      </c>
      <c r="B669" s="18">
        <v>43447</v>
      </c>
      <c r="C669" s="10">
        <f>YEAR(Table1[[#This Row],[Order Date]])</f>
        <v>2018</v>
      </c>
      <c r="D669" s="10" t="s">
        <v>1472</v>
      </c>
      <c r="E669" s="10" t="s">
        <v>1473</v>
      </c>
      <c r="F669" s="10" t="s">
        <v>261</v>
      </c>
      <c r="G669" s="10" t="s">
        <v>87</v>
      </c>
      <c r="H669" s="10" t="s">
        <v>194</v>
      </c>
      <c r="I669" s="10" t="str">
        <f>VLOOKUP(Table1[[#This Row],[Account Manager ID]],Table2[[Employee ID]:[Full Name]],4,FALSE)</f>
        <v>Nabila Prakasa</v>
      </c>
      <c r="J669" s="10" t="str">
        <f>INDEX(Employee!$D$4:$D$47,MATCH($H$4:$H$1003,Employee!$A$4:$A$47,0))</f>
        <v>Nabila Prakasa</v>
      </c>
      <c r="K669" s="10" t="s">
        <v>92</v>
      </c>
      <c r="L669" s="10" t="s">
        <v>345</v>
      </c>
      <c r="M669" s="10" t="s">
        <v>59</v>
      </c>
      <c r="N669" s="10" t="s">
        <v>60</v>
      </c>
      <c r="O669" s="10" t="s">
        <v>61</v>
      </c>
      <c r="P669" s="10">
        <v>43447</v>
      </c>
      <c r="Q669" s="15">
        <v>51000</v>
      </c>
      <c r="R669" s="15">
        <v>81000</v>
      </c>
      <c r="S669" s="15">
        <f>Table1[[#This Row],[Retail Price]]-Table1[[#This Row],[Cost Price]]</f>
        <v>30000</v>
      </c>
      <c r="T669" s="10">
        <v>14</v>
      </c>
      <c r="U669" s="15">
        <f>Table1[[#This Row],[Profit Margin]]*Table1[[#This Row],[Order Quantity]]</f>
        <v>420000</v>
      </c>
      <c r="V669" s="11">
        <v>0.02</v>
      </c>
      <c r="W669" s="15">
        <f t="shared" si="10"/>
        <v>8400</v>
      </c>
      <c r="X669" s="15">
        <f>Table1[[#This Row],[Sub Total]]-Table1[[#This Row],[Discount Rp]]</f>
        <v>411600</v>
      </c>
      <c r="Y669" s="15">
        <f ca="1">OFFSET(Helper!$C$3,MATCH(Data!$N$4:$N$1003,Helper!$C$4:$C$9,0),MATCH(Data!$O$4:$O$1003,Helper!$D$3:$F$3,0))</f>
        <v>15000</v>
      </c>
      <c r="Z669" s="16">
        <f ca="1">Table1[[#This Row],[Order Total]]+Table1[[#This Row],[Shipping Cost]]</f>
        <v>426600</v>
      </c>
    </row>
    <row r="670" spans="1:26" ht="15.75" customHeight="1" x14ac:dyDescent="0.3">
      <c r="A670" s="9" t="s">
        <v>1474</v>
      </c>
      <c r="B670" s="18">
        <v>43447</v>
      </c>
      <c r="C670" s="10">
        <f>YEAR(Table1[[#This Row],[Order Date]])</f>
        <v>2018</v>
      </c>
      <c r="D670" s="10" t="s">
        <v>1475</v>
      </c>
      <c r="E670" s="10" t="s">
        <v>445</v>
      </c>
      <c r="F670" s="10" t="s">
        <v>54</v>
      </c>
      <c r="G670" s="10" t="s">
        <v>55</v>
      </c>
      <c r="H670" s="10" t="s">
        <v>56</v>
      </c>
      <c r="I670" s="10" t="str">
        <f>VLOOKUP(Table1[[#This Row],[Account Manager ID]],Table2[[Employee ID]:[Full Name]],4,FALSE)</f>
        <v>Gaduh Pratama</v>
      </c>
      <c r="J670" s="10" t="str">
        <f>INDEX(Employee!$D$4:$D$47,MATCH($H$4:$H$1003,Employee!$A$4:$A$47,0))</f>
        <v>Gaduh Pratama</v>
      </c>
      <c r="K670" s="10" t="s">
        <v>74</v>
      </c>
      <c r="L670" s="10" t="s">
        <v>419</v>
      </c>
      <c r="M670" s="10" t="s">
        <v>59</v>
      </c>
      <c r="N670" s="10" t="s">
        <v>60</v>
      </c>
      <c r="O670" s="10" t="s">
        <v>61</v>
      </c>
      <c r="P670" s="10">
        <v>43448</v>
      </c>
      <c r="Q670" s="15">
        <v>66900</v>
      </c>
      <c r="R670" s="15">
        <v>163350</v>
      </c>
      <c r="S670" s="15">
        <f>Table1[[#This Row],[Retail Price]]-Table1[[#This Row],[Cost Price]]</f>
        <v>96450</v>
      </c>
      <c r="T670" s="10">
        <v>50</v>
      </c>
      <c r="U670" s="15">
        <f>Table1[[#This Row],[Profit Margin]]*Table1[[#This Row],[Order Quantity]]</f>
        <v>4822500</v>
      </c>
      <c r="V670" s="11">
        <v>0.09</v>
      </c>
      <c r="W670" s="15">
        <f t="shared" si="10"/>
        <v>434025</v>
      </c>
      <c r="X670" s="15">
        <f>Table1[[#This Row],[Sub Total]]-Table1[[#This Row],[Discount Rp]]</f>
        <v>4388475</v>
      </c>
      <c r="Y670" s="15">
        <f ca="1">OFFSET(Helper!$C$3,MATCH(Data!$N$4:$N$1003,Helper!$C$4:$C$9,0),MATCH(Data!$O$4:$O$1003,Helper!$D$3:$F$3,0))</f>
        <v>15000</v>
      </c>
      <c r="Z670" s="16">
        <f ca="1">Table1[[#This Row],[Order Total]]+Table1[[#This Row],[Shipping Cost]]</f>
        <v>4403475</v>
      </c>
    </row>
    <row r="671" spans="1:26" ht="15.75" customHeight="1" x14ac:dyDescent="0.3">
      <c r="A671" s="9" t="s">
        <v>1476</v>
      </c>
      <c r="B671" s="18">
        <v>43449</v>
      </c>
      <c r="C671" s="10">
        <f>YEAR(Table1[[#This Row],[Order Date]])</f>
        <v>2018</v>
      </c>
      <c r="D671" s="10" t="s">
        <v>1043</v>
      </c>
      <c r="E671" s="10" t="s">
        <v>370</v>
      </c>
      <c r="F671" s="10" t="s">
        <v>71</v>
      </c>
      <c r="G671" s="10" t="s">
        <v>55</v>
      </c>
      <c r="H671" s="10" t="s">
        <v>146</v>
      </c>
      <c r="I671" s="10" t="str">
        <f>VLOOKUP(Table1[[#This Row],[Account Manager ID]],Table2[[Employee ID]:[Full Name]],4,FALSE)</f>
        <v>Kenari Rajasa</v>
      </c>
      <c r="J671" s="10" t="str">
        <f>INDEX(Employee!$D$4:$D$47,MATCH($H$4:$H$1003,Employee!$A$4:$A$47,0))</f>
        <v>Kenari Rajasa</v>
      </c>
      <c r="K671" s="10" t="s">
        <v>117</v>
      </c>
      <c r="L671" s="10" t="s">
        <v>294</v>
      </c>
      <c r="M671" s="10" t="s">
        <v>81</v>
      </c>
      <c r="N671" s="10" t="s">
        <v>60</v>
      </c>
      <c r="O671" s="10" t="s">
        <v>61</v>
      </c>
      <c r="P671" s="10">
        <v>43452</v>
      </c>
      <c r="Q671" s="15">
        <v>908850</v>
      </c>
      <c r="R671" s="15">
        <v>1514700</v>
      </c>
      <c r="S671" s="15">
        <f>Table1[[#This Row],[Retail Price]]-Table1[[#This Row],[Cost Price]]</f>
        <v>605850</v>
      </c>
      <c r="T671" s="10">
        <v>9</v>
      </c>
      <c r="U671" s="15">
        <f>Table1[[#This Row],[Profit Margin]]*Table1[[#This Row],[Order Quantity]]</f>
        <v>5452650</v>
      </c>
      <c r="V671" s="11">
        <v>0.1</v>
      </c>
      <c r="W671" s="15">
        <f t="shared" si="10"/>
        <v>545265</v>
      </c>
      <c r="X671" s="15">
        <f>Table1[[#This Row],[Sub Total]]-Table1[[#This Row],[Discount Rp]]</f>
        <v>4907385</v>
      </c>
      <c r="Y671" s="15">
        <f ca="1">OFFSET(Helper!$C$3,MATCH(Data!$N$4:$N$1003,Helper!$C$4:$C$9,0),MATCH(Data!$O$4:$O$1003,Helper!$D$3:$F$3,0))</f>
        <v>15000</v>
      </c>
      <c r="Z671" s="16">
        <f ca="1">Table1[[#This Row],[Order Total]]+Table1[[#This Row],[Shipping Cost]]</f>
        <v>4922385</v>
      </c>
    </row>
    <row r="672" spans="1:26" ht="15.75" customHeight="1" x14ac:dyDescent="0.3">
      <c r="A672" s="9" t="s">
        <v>1477</v>
      </c>
      <c r="B672" s="18">
        <v>43449</v>
      </c>
      <c r="C672" s="10">
        <f>YEAR(Table1[[#This Row],[Order Date]])</f>
        <v>2018</v>
      </c>
      <c r="D672" s="10" t="s">
        <v>578</v>
      </c>
      <c r="E672" s="10" t="s">
        <v>579</v>
      </c>
      <c r="F672" s="10" t="s">
        <v>71</v>
      </c>
      <c r="G672" s="10" t="s">
        <v>72</v>
      </c>
      <c r="H672" s="10" t="s">
        <v>73</v>
      </c>
      <c r="I672" s="10" t="str">
        <f>VLOOKUP(Table1[[#This Row],[Account Manager ID]],Table2[[Employee ID]:[Full Name]],4,FALSE)</f>
        <v>Cinthia Gunawan</v>
      </c>
      <c r="J672" s="10" t="str">
        <f>INDEX(Employee!$D$4:$D$47,MATCH($H$4:$H$1003,Employee!$A$4:$A$47,0))</f>
        <v>Cinthia Gunawan</v>
      </c>
      <c r="K672" s="10" t="s">
        <v>117</v>
      </c>
      <c r="L672" s="10" t="s">
        <v>276</v>
      </c>
      <c r="M672" s="10" t="s">
        <v>81</v>
      </c>
      <c r="N672" s="10" t="s">
        <v>60</v>
      </c>
      <c r="O672" s="10" t="s">
        <v>61</v>
      </c>
      <c r="P672" s="10">
        <v>43451</v>
      </c>
      <c r="Q672" s="15">
        <v>2347500</v>
      </c>
      <c r="R672" s="15">
        <v>4514550</v>
      </c>
      <c r="S672" s="15">
        <f>Table1[[#This Row],[Retail Price]]-Table1[[#This Row],[Cost Price]]</f>
        <v>2167050</v>
      </c>
      <c r="T672" s="10">
        <v>20</v>
      </c>
      <c r="U672" s="15">
        <f>Table1[[#This Row],[Profit Margin]]*Table1[[#This Row],[Order Quantity]]</f>
        <v>43341000</v>
      </c>
      <c r="V672" s="11">
        <v>0.05</v>
      </c>
      <c r="W672" s="15">
        <f t="shared" si="10"/>
        <v>2167050</v>
      </c>
      <c r="X672" s="15">
        <f>Table1[[#This Row],[Sub Total]]-Table1[[#This Row],[Discount Rp]]</f>
        <v>41173950</v>
      </c>
      <c r="Y672" s="15">
        <f ca="1">OFFSET(Helper!$C$3,MATCH(Data!$N$4:$N$1003,Helper!$C$4:$C$9,0),MATCH(Data!$O$4:$O$1003,Helper!$D$3:$F$3,0))</f>
        <v>15000</v>
      </c>
      <c r="Z672" s="16">
        <f ca="1">Table1[[#This Row],[Order Total]]+Table1[[#This Row],[Shipping Cost]]</f>
        <v>41188950</v>
      </c>
    </row>
    <row r="673" spans="1:26" ht="15.75" customHeight="1" x14ac:dyDescent="0.3">
      <c r="A673" s="9" t="s">
        <v>1478</v>
      </c>
      <c r="B673" s="18">
        <v>43450</v>
      </c>
      <c r="C673" s="10">
        <f>YEAR(Table1[[#This Row],[Order Date]])</f>
        <v>2018</v>
      </c>
      <c r="D673" s="10" t="s">
        <v>517</v>
      </c>
      <c r="E673" s="10" t="s">
        <v>518</v>
      </c>
      <c r="F673" s="10" t="s">
        <v>71</v>
      </c>
      <c r="G673" s="10" t="s">
        <v>72</v>
      </c>
      <c r="H673" s="10" t="s">
        <v>112</v>
      </c>
      <c r="I673" s="10" t="str">
        <f>VLOOKUP(Table1[[#This Row],[Account Manager ID]],Table2[[Employee ID]:[Full Name]],4,FALSE)</f>
        <v>Paiman Firgantoro</v>
      </c>
      <c r="J673" s="10" t="str">
        <f>INDEX(Employee!$D$4:$D$47,MATCH($H$4:$H$1003,Employee!$A$4:$A$47,0))</f>
        <v>Paiman Firgantoro</v>
      </c>
      <c r="K673" s="10" t="s">
        <v>92</v>
      </c>
      <c r="L673" s="10" t="s">
        <v>419</v>
      </c>
      <c r="M673" s="10" t="s">
        <v>59</v>
      </c>
      <c r="N673" s="10" t="s">
        <v>60</v>
      </c>
      <c r="O673" s="10" t="s">
        <v>61</v>
      </c>
      <c r="P673" s="10">
        <v>43454</v>
      </c>
      <c r="Q673" s="15">
        <v>66900</v>
      </c>
      <c r="R673" s="15">
        <v>163350</v>
      </c>
      <c r="S673" s="15">
        <f>Table1[[#This Row],[Retail Price]]-Table1[[#This Row],[Cost Price]]</f>
        <v>96450</v>
      </c>
      <c r="T673" s="10">
        <v>3</v>
      </c>
      <c r="U673" s="15">
        <f>Table1[[#This Row],[Profit Margin]]*Table1[[#This Row],[Order Quantity]]</f>
        <v>289350</v>
      </c>
      <c r="V673" s="11">
        <v>0.08</v>
      </c>
      <c r="W673" s="15">
        <f t="shared" si="10"/>
        <v>23148</v>
      </c>
      <c r="X673" s="15">
        <f>Table1[[#This Row],[Sub Total]]-Table1[[#This Row],[Discount Rp]]</f>
        <v>266202</v>
      </c>
      <c r="Y673" s="15">
        <f ca="1">OFFSET(Helper!$C$3,MATCH(Data!$N$4:$N$1003,Helper!$C$4:$C$9,0),MATCH(Data!$O$4:$O$1003,Helper!$D$3:$F$3,0))</f>
        <v>15000</v>
      </c>
      <c r="Z673" s="16">
        <f ca="1">Table1[[#This Row],[Order Total]]+Table1[[#This Row],[Shipping Cost]]</f>
        <v>281202</v>
      </c>
    </row>
    <row r="674" spans="1:26" ht="15.75" customHeight="1" x14ac:dyDescent="0.3">
      <c r="A674" s="9" t="s">
        <v>1479</v>
      </c>
      <c r="B674" s="18">
        <v>43451</v>
      </c>
      <c r="C674" s="10">
        <f>YEAR(Table1[[#This Row],[Order Date]])</f>
        <v>2018</v>
      </c>
      <c r="D674" s="10" t="s">
        <v>1480</v>
      </c>
      <c r="E674" s="10" t="s">
        <v>340</v>
      </c>
      <c r="F674" s="10" t="s">
        <v>54</v>
      </c>
      <c r="G674" s="10" t="s">
        <v>87</v>
      </c>
      <c r="H674" s="10" t="s">
        <v>65</v>
      </c>
      <c r="I674" s="10" t="str">
        <f>VLOOKUP(Table1[[#This Row],[Account Manager ID]],Table2[[Employee ID]:[Full Name]],4,FALSE)</f>
        <v>Laras Nuraini</v>
      </c>
      <c r="J674" s="10" t="str">
        <f>INDEX(Employee!$D$4:$D$47,MATCH($H$4:$H$1003,Employee!$A$4:$A$47,0))</f>
        <v>Laras Nuraini</v>
      </c>
      <c r="K674" s="10" t="s">
        <v>117</v>
      </c>
      <c r="L674" s="10" t="s">
        <v>80</v>
      </c>
      <c r="M674" s="10" t="s">
        <v>81</v>
      </c>
      <c r="N674" s="10" t="s">
        <v>82</v>
      </c>
      <c r="O674" s="10" t="s">
        <v>83</v>
      </c>
      <c r="P674" s="10">
        <v>43453</v>
      </c>
      <c r="Q674" s="15">
        <v>1125000</v>
      </c>
      <c r="R674" s="15">
        <v>1814550</v>
      </c>
      <c r="S674" s="15">
        <f>Table1[[#This Row],[Retail Price]]-Table1[[#This Row],[Cost Price]]</f>
        <v>689550</v>
      </c>
      <c r="T674" s="10">
        <v>46</v>
      </c>
      <c r="U674" s="15">
        <f>Table1[[#This Row],[Profit Margin]]*Table1[[#This Row],[Order Quantity]]</f>
        <v>31719300</v>
      </c>
      <c r="V674" s="11">
        <v>7.0000000000000007E-2</v>
      </c>
      <c r="W674" s="15">
        <f t="shared" si="10"/>
        <v>2220351</v>
      </c>
      <c r="X674" s="15">
        <f>Table1[[#This Row],[Sub Total]]-Table1[[#This Row],[Discount Rp]]</f>
        <v>29498949</v>
      </c>
      <c r="Y674" s="15">
        <f ca="1">OFFSET(Helper!$C$3,MATCH(Data!$N$4:$N$1003,Helper!$C$4:$C$9,0),MATCH(Data!$O$4:$O$1003,Helper!$D$3:$F$3,0))</f>
        <v>500000</v>
      </c>
      <c r="Z674" s="16">
        <f ca="1">Table1[[#This Row],[Order Total]]+Table1[[#This Row],[Shipping Cost]]</f>
        <v>29998949</v>
      </c>
    </row>
    <row r="675" spans="1:26" ht="15.75" customHeight="1" x14ac:dyDescent="0.3">
      <c r="A675" s="9" t="s">
        <v>1481</v>
      </c>
      <c r="B675" s="18">
        <v>43453</v>
      </c>
      <c r="C675" s="10">
        <f>YEAR(Table1[[#This Row],[Order Date]])</f>
        <v>2018</v>
      </c>
      <c r="D675" s="10" t="s">
        <v>351</v>
      </c>
      <c r="E675" s="10" t="s">
        <v>352</v>
      </c>
      <c r="F675" s="10" t="s">
        <v>261</v>
      </c>
      <c r="G675" s="10" t="s">
        <v>72</v>
      </c>
      <c r="H675" s="10" t="s">
        <v>112</v>
      </c>
      <c r="I675" s="10" t="str">
        <f>VLOOKUP(Table1[[#This Row],[Account Manager ID]],Table2[[Employee ID]:[Full Name]],4,FALSE)</f>
        <v>Paiman Firgantoro</v>
      </c>
      <c r="J675" s="10" t="str">
        <f>INDEX(Employee!$D$4:$D$47,MATCH($H$4:$H$1003,Employee!$A$4:$A$47,0))</f>
        <v>Paiman Firgantoro</v>
      </c>
      <c r="K675" s="10" t="s">
        <v>74</v>
      </c>
      <c r="L675" s="10" t="s">
        <v>294</v>
      </c>
      <c r="M675" s="10" t="s">
        <v>81</v>
      </c>
      <c r="N675" s="10" t="s">
        <v>60</v>
      </c>
      <c r="O675" s="10" t="s">
        <v>61</v>
      </c>
      <c r="P675" s="10">
        <v>43454</v>
      </c>
      <c r="Q675" s="15">
        <v>908850</v>
      </c>
      <c r="R675" s="15">
        <v>1514700</v>
      </c>
      <c r="S675" s="15">
        <f>Table1[[#This Row],[Retail Price]]-Table1[[#This Row],[Cost Price]]</f>
        <v>605850</v>
      </c>
      <c r="T675" s="10">
        <v>44</v>
      </c>
      <c r="U675" s="15">
        <f>Table1[[#This Row],[Profit Margin]]*Table1[[#This Row],[Order Quantity]]</f>
        <v>26657400</v>
      </c>
      <c r="V675" s="11">
        <v>0.09</v>
      </c>
      <c r="W675" s="15">
        <f t="shared" si="10"/>
        <v>2399166</v>
      </c>
      <c r="X675" s="15">
        <f>Table1[[#This Row],[Sub Total]]-Table1[[#This Row],[Discount Rp]]</f>
        <v>24258234</v>
      </c>
      <c r="Y675" s="15">
        <f ca="1">OFFSET(Helper!$C$3,MATCH(Data!$N$4:$N$1003,Helper!$C$4:$C$9,0),MATCH(Data!$O$4:$O$1003,Helper!$D$3:$F$3,0))</f>
        <v>15000</v>
      </c>
      <c r="Z675" s="16">
        <f ca="1">Table1[[#This Row],[Order Total]]+Table1[[#This Row],[Shipping Cost]]</f>
        <v>24273234</v>
      </c>
    </row>
    <row r="676" spans="1:26" ht="15.75" customHeight="1" x14ac:dyDescent="0.3">
      <c r="A676" s="9" t="s">
        <v>1482</v>
      </c>
      <c r="B676" s="18">
        <v>43454</v>
      </c>
      <c r="C676" s="10">
        <f>YEAR(Table1[[#This Row],[Order Date]])</f>
        <v>2018</v>
      </c>
      <c r="D676" s="10" t="s">
        <v>1483</v>
      </c>
      <c r="E676" s="10" t="s">
        <v>358</v>
      </c>
      <c r="F676" s="10" t="s">
        <v>71</v>
      </c>
      <c r="G676" s="10" t="s">
        <v>106</v>
      </c>
      <c r="H676" s="10" t="s">
        <v>73</v>
      </c>
      <c r="I676" s="10" t="str">
        <f>VLOOKUP(Table1[[#This Row],[Account Manager ID]],Table2[[Employee ID]:[Full Name]],4,FALSE)</f>
        <v>Cinthia Gunawan</v>
      </c>
      <c r="J676" s="10" t="str">
        <f>INDEX(Employee!$D$4:$D$47,MATCH($H$4:$H$1003,Employee!$A$4:$A$47,0))</f>
        <v>Cinthia Gunawan</v>
      </c>
      <c r="K676" s="10" t="s">
        <v>57</v>
      </c>
      <c r="L676" s="10" t="s">
        <v>200</v>
      </c>
      <c r="M676" s="10" t="s">
        <v>59</v>
      </c>
      <c r="N676" s="10" t="s">
        <v>136</v>
      </c>
      <c r="O676" s="10" t="s">
        <v>61</v>
      </c>
      <c r="P676" s="10">
        <v>43456</v>
      </c>
      <c r="Q676" s="15">
        <v>71850</v>
      </c>
      <c r="R676" s="15">
        <v>179550</v>
      </c>
      <c r="S676" s="15">
        <f>Table1[[#This Row],[Retail Price]]-Table1[[#This Row],[Cost Price]]</f>
        <v>107700</v>
      </c>
      <c r="T676" s="10">
        <v>48</v>
      </c>
      <c r="U676" s="15">
        <f>Table1[[#This Row],[Profit Margin]]*Table1[[#This Row],[Order Quantity]]</f>
        <v>5169600</v>
      </c>
      <c r="V676" s="11">
        <v>0.02</v>
      </c>
      <c r="W676" s="15">
        <f t="shared" si="10"/>
        <v>103392</v>
      </c>
      <c r="X676" s="15">
        <f>Table1[[#This Row],[Sub Total]]-Table1[[#This Row],[Discount Rp]]</f>
        <v>5066208</v>
      </c>
      <c r="Y676" s="15">
        <f ca="1">OFFSET(Helper!$C$3,MATCH(Data!$N$4:$N$1003,Helper!$C$4:$C$9,0),MATCH(Data!$O$4:$O$1003,Helper!$D$3:$F$3,0))</f>
        <v>10000</v>
      </c>
      <c r="Z676" s="16">
        <f ca="1">Table1[[#This Row],[Order Total]]+Table1[[#This Row],[Shipping Cost]]</f>
        <v>5076208</v>
      </c>
    </row>
    <row r="677" spans="1:26" ht="15.75" customHeight="1" x14ac:dyDescent="0.3">
      <c r="A677" s="9" t="s">
        <v>1484</v>
      </c>
      <c r="B677" s="18">
        <v>43455</v>
      </c>
      <c r="C677" s="10">
        <f>YEAR(Table1[[#This Row],[Order Date]])</f>
        <v>2018</v>
      </c>
      <c r="D677" s="10" t="s">
        <v>318</v>
      </c>
      <c r="E677" s="10" t="s">
        <v>319</v>
      </c>
      <c r="F677" s="10" t="s">
        <v>71</v>
      </c>
      <c r="G677" s="10" t="s">
        <v>72</v>
      </c>
      <c r="H677" s="10" t="s">
        <v>194</v>
      </c>
      <c r="I677" s="10" t="str">
        <f>VLOOKUP(Table1[[#This Row],[Account Manager ID]],Table2[[Employee ID]:[Full Name]],4,FALSE)</f>
        <v>Nabila Prakasa</v>
      </c>
      <c r="J677" s="10" t="str">
        <f>INDEX(Employee!$D$4:$D$47,MATCH($H$4:$H$1003,Employee!$A$4:$A$47,0))</f>
        <v>Nabila Prakasa</v>
      </c>
      <c r="K677" s="10" t="s">
        <v>57</v>
      </c>
      <c r="L677" s="10" t="s">
        <v>510</v>
      </c>
      <c r="M677" s="10" t="s">
        <v>59</v>
      </c>
      <c r="N677" s="10" t="s">
        <v>67</v>
      </c>
      <c r="O677" s="10" t="s">
        <v>61</v>
      </c>
      <c r="P677" s="10">
        <v>43457</v>
      </c>
      <c r="Q677" s="15">
        <v>49800</v>
      </c>
      <c r="R677" s="15">
        <v>77700</v>
      </c>
      <c r="S677" s="15">
        <f>Table1[[#This Row],[Retail Price]]-Table1[[#This Row],[Cost Price]]</f>
        <v>27900</v>
      </c>
      <c r="T677" s="10">
        <v>20</v>
      </c>
      <c r="U677" s="15">
        <f>Table1[[#This Row],[Profit Margin]]*Table1[[#This Row],[Order Quantity]]</f>
        <v>558000</v>
      </c>
      <c r="V677" s="11">
        <v>0.06</v>
      </c>
      <c r="W677" s="15">
        <f t="shared" si="10"/>
        <v>33480</v>
      </c>
      <c r="X677" s="15">
        <f>Table1[[#This Row],[Sub Total]]-Table1[[#This Row],[Discount Rp]]</f>
        <v>524520</v>
      </c>
      <c r="Y677" s="15">
        <f ca="1">OFFSET(Helper!$C$3,MATCH(Data!$N$4:$N$1003,Helper!$C$4:$C$9,0),MATCH(Data!$O$4:$O$1003,Helper!$D$3:$F$3,0))</f>
        <v>5000</v>
      </c>
      <c r="Z677" s="16">
        <f ca="1">Table1[[#This Row],[Order Total]]+Table1[[#This Row],[Shipping Cost]]</f>
        <v>529520</v>
      </c>
    </row>
    <row r="678" spans="1:26" ht="15.75" customHeight="1" x14ac:dyDescent="0.3">
      <c r="A678" s="9" t="s">
        <v>1485</v>
      </c>
      <c r="B678" s="18">
        <v>43455</v>
      </c>
      <c r="C678" s="10">
        <f>YEAR(Table1[[#This Row],[Order Date]])</f>
        <v>2018</v>
      </c>
      <c r="D678" s="10" t="s">
        <v>171</v>
      </c>
      <c r="E678" s="10" t="s">
        <v>172</v>
      </c>
      <c r="F678" s="10" t="s">
        <v>54</v>
      </c>
      <c r="G678" s="10" t="s">
        <v>106</v>
      </c>
      <c r="H678" s="10" t="s">
        <v>65</v>
      </c>
      <c r="I678" s="10" t="str">
        <f>VLOOKUP(Table1[[#This Row],[Account Manager ID]],Table2[[Employee ID]:[Full Name]],4,FALSE)</f>
        <v>Laras Nuraini</v>
      </c>
      <c r="J678" s="10" t="str">
        <f>INDEX(Employee!$D$4:$D$47,MATCH($H$4:$H$1003,Employee!$A$4:$A$47,0))</f>
        <v>Laras Nuraini</v>
      </c>
      <c r="K678" s="10" t="s">
        <v>57</v>
      </c>
      <c r="L678" s="10" t="s">
        <v>394</v>
      </c>
      <c r="M678" s="10" t="s">
        <v>59</v>
      </c>
      <c r="N678" s="10" t="s">
        <v>67</v>
      </c>
      <c r="O678" s="10" t="s">
        <v>61</v>
      </c>
      <c r="P678" s="10">
        <v>43457</v>
      </c>
      <c r="Q678" s="15">
        <v>3600</v>
      </c>
      <c r="R678" s="15">
        <v>18900</v>
      </c>
      <c r="S678" s="15">
        <f>Table1[[#This Row],[Retail Price]]-Table1[[#This Row],[Cost Price]]</f>
        <v>15300</v>
      </c>
      <c r="T678" s="10">
        <v>31</v>
      </c>
      <c r="U678" s="15">
        <f>Table1[[#This Row],[Profit Margin]]*Table1[[#This Row],[Order Quantity]]</f>
        <v>474300</v>
      </c>
      <c r="V678" s="11">
        <v>0.06</v>
      </c>
      <c r="W678" s="15">
        <f t="shared" si="10"/>
        <v>28458</v>
      </c>
      <c r="X678" s="15">
        <f>Table1[[#This Row],[Sub Total]]-Table1[[#This Row],[Discount Rp]]</f>
        <v>445842</v>
      </c>
      <c r="Y678" s="15">
        <f ca="1">OFFSET(Helper!$C$3,MATCH(Data!$N$4:$N$1003,Helper!$C$4:$C$9,0),MATCH(Data!$O$4:$O$1003,Helper!$D$3:$F$3,0))</f>
        <v>5000</v>
      </c>
      <c r="Z678" s="16">
        <f ca="1">Table1[[#This Row],[Order Total]]+Table1[[#This Row],[Shipping Cost]]</f>
        <v>450842</v>
      </c>
    </row>
    <row r="679" spans="1:26" ht="15.75" customHeight="1" x14ac:dyDescent="0.3">
      <c r="A679" s="9" t="s">
        <v>1486</v>
      </c>
      <c r="B679" s="18">
        <v>43457</v>
      </c>
      <c r="C679" s="10">
        <f>YEAR(Table1[[#This Row],[Order Date]])</f>
        <v>2018</v>
      </c>
      <c r="D679" s="10" t="s">
        <v>924</v>
      </c>
      <c r="E679" s="10" t="s">
        <v>853</v>
      </c>
      <c r="F679" s="10" t="s">
        <v>71</v>
      </c>
      <c r="G679" s="10" t="s">
        <v>72</v>
      </c>
      <c r="H679" s="10" t="s">
        <v>185</v>
      </c>
      <c r="I679" s="10" t="str">
        <f>VLOOKUP(Table1[[#This Row],[Account Manager ID]],Table2[[Employee ID]:[Full Name]],4,FALSE)</f>
        <v>Clara Prasetyo</v>
      </c>
      <c r="J679" s="10" t="str">
        <f>INDEX(Employee!$D$4:$D$47,MATCH($H$4:$H$1003,Employee!$A$4:$A$47,0))</f>
        <v>Clara Prasetyo</v>
      </c>
      <c r="K679" s="10" t="s">
        <v>74</v>
      </c>
      <c r="L679" s="10" t="s">
        <v>284</v>
      </c>
      <c r="M679" s="10" t="s">
        <v>59</v>
      </c>
      <c r="N679" s="10" t="s">
        <v>60</v>
      </c>
      <c r="O679" s="10" t="s">
        <v>76</v>
      </c>
      <c r="P679" s="10">
        <v>43458</v>
      </c>
      <c r="Q679" s="15">
        <v>33750</v>
      </c>
      <c r="R679" s="15">
        <v>55350</v>
      </c>
      <c r="S679" s="15">
        <f>Table1[[#This Row],[Retail Price]]-Table1[[#This Row],[Cost Price]]</f>
        <v>21600</v>
      </c>
      <c r="T679" s="10">
        <v>23</v>
      </c>
      <c r="U679" s="15">
        <f>Table1[[#This Row],[Profit Margin]]*Table1[[#This Row],[Order Quantity]]</f>
        <v>496800</v>
      </c>
      <c r="V679" s="11">
        <v>0.02</v>
      </c>
      <c r="W679" s="15">
        <f t="shared" si="10"/>
        <v>9936</v>
      </c>
      <c r="X679" s="15">
        <f>Table1[[#This Row],[Sub Total]]-Table1[[#This Row],[Discount Rp]]</f>
        <v>486864</v>
      </c>
      <c r="Y679" s="15">
        <f ca="1">OFFSET(Helper!$C$3,MATCH(Data!$N$4:$N$1003,Helper!$C$4:$C$9,0),MATCH(Data!$O$4:$O$1003,Helper!$D$3:$F$3,0))</f>
        <v>30000</v>
      </c>
      <c r="Z679" s="16">
        <f ca="1">Table1[[#This Row],[Order Total]]+Table1[[#This Row],[Shipping Cost]]</f>
        <v>516864</v>
      </c>
    </row>
    <row r="680" spans="1:26" ht="15.75" customHeight="1" x14ac:dyDescent="0.3">
      <c r="A680" s="9" t="s">
        <v>1487</v>
      </c>
      <c r="B680" s="18">
        <v>43458</v>
      </c>
      <c r="C680" s="10">
        <f>YEAR(Table1[[#This Row],[Order Date]])</f>
        <v>2018</v>
      </c>
      <c r="D680" s="10" t="s">
        <v>1488</v>
      </c>
      <c r="E680" s="10" t="s">
        <v>521</v>
      </c>
      <c r="F680" s="10" t="s">
        <v>71</v>
      </c>
      <c r="G680" s="10" t="s">
        <v>87</v>
      </c>
      <c r="H680" s="10" t="s">
        <v>88</v>
      </c>
      <c r="I680" s="10" t="str">
        <f>VLOOKUP(Table1[[#This Row],[Account Manager ID]],Table2[[Employee ID]:[Full Name]],4,FALSE)</f>
        <v>Bagiya Sihombing</v>
      </c>
      <c r="J680" s="10" t="str">
        <f>INDEX(Employee!$D$4:$D$47,MATCH($H$4:$H$1003,Employee!$A$4:$A$47,0))</f>
        <v>Bagiya Sihombing</v>
      </c>
      <c r="K680" s="10" t="s">
        <v>107</v>
      </c>
      <c r="L680" s="10" t="s">
        <v>629</v>
      </c>
      <c r="M680" s="10" t="s">
        <v>59</v>
      </c>
      <c r="N680" s="10" t="s">
        <v>67</v>
      </c>
      <c r="O680" s="10" t="s">
        <v>76</v>
      </c>
      <c r="P680" s="10">
        <v>43458</v>
      </c>
      <c r="Q680" s="15">
        <v>26400</v>
      </c>
      <c r="R680" s="15">
        <v>44100</v>
      </c>
      <c r="S680" s="15">
        <f>Table1[[#This Row],[Retail Price]]-Table1[[#This Row],[Cost Price]]</f>
        <v>17700</v>
      </c>
      <c r="T680" s="10">
        <v>47</v>
      </c>
      <c r="U680" s="15">
        <f>Table1[[#This Row],[Profit Margin]]*Table1[[#This Row],[Order Quantity]]</f>
        <v>831900</v>
      </c>
      <c r="V680" s="11">
        <v>0.04</v>
      </c>
      <c r="W680" s="15">
        <f t="shared" si="10"/>
        <v>33276</v>
      </c>
      <c r="X680" s="15">
        <f>Table1[[#This Row],[Sub Total]]-Table1[[#This Row],[Discount Rp]]</f>
        <v>798624</v>
      </c>
      <c r="Y680" s="15">
        <f ca="1">OFFSET(Helper!$C$3,MATCH(Data!$N$4:$N$1003,Helper!$C$4:$C$9,0),MATCH(Data!$O$4:$O$1003,Helper!$D$3:$F$3,0))</f>
        <v>10000</v>
      </c>
      <c r="Z680" s="16">
        <f ca="1">Table1[[#This Row],[Order Total]]+Table1[[#This Row],[Shipping Cost]]</f>
        <v>808624</v>
      </c>
    </row>
    <row r="681" spans="1:26" ht="15.75" customHeight="1" x14ac:dyDescent="0.3">
      <c r="A681" s="9" t="s">
        <v>1489</v>
      </c>
      <c r="B681" s="18">
        <v>43459</v>
      </c>
      <c r="C681" s="10">
        <f>YEAR(Table1[[#This Row],[Order Date]])</f>
        <v>2018</v>
      </c>
      <c r="D681" s="10" t="s">
        <v>787</v>
      </c>
      <c r="E681" s="10" t="s">
        <v>668</v>
      </c>
      <c r="F681" s="10" t="s">
        <v>54</v>
      </c>
      <c r="G681" s="10" t="s">
        <v>106</v>
      </c>
      <c r="H681" s="10" t="s">
        <v>65</v>
      </c>
      <c r="I681" s="10" t="str">
        <f>VLOOKUP(Table1[[#This Row],[Account Manager ID]],Table2[[Employee ID]:[Full Name]],4,FALSE)</f>
        <v>Laras Nuraini</v>
      </c>
      <c r="J681" s="10" t="str">
        <f>INDEX(Employee!$D$4:$D$47,MATCH($H$4:$H$1003,Employee!$A$4:$A$47,0))</f>
        <v>Laras Nuraini</v>
      </c>
      <c r="K681" s="10" t="s">
        <v>107</v>
      </c>
      <c r="L681" s="10" t="s">
        <v>863</v>
      </c>
      <c r="M681" s="10" t="s">
        <v>59</v>
      </c>
      <c r="N681" s="10" t="s">
        <v>67</v>
      </c>
      <c r="O681" s="10" t="s">
        <v>61</v>
      </c>
      <c r="P681" s="10">
        <v>43460</v>
      </c>
      <c r="Q681" s="15">
        <v>13050</v>
      </c>
      <c r="R681" s="15">
        <v>27150</v>
      </c>
      <c r="S681" s="15">
        <f>Table1[[#This Row],[Retail Price]]-Table1[[#This Row],[Cost Price]]</f>
        <v>14100</v>
      </c>
      <c r="T681" s="10">
        <v>6</v>
      </c>
      <c r="U681" s="15">
        <f>Table1[[#This Row],[Profit Margin]]*Table1[[#This Row],[Order Quantity]]</f>
        <v>84600</v>
      </c>
      <c r="V681" s="11">
        <v>7.0000000000000007E-2</v>
      </c>
      <c r="W681" s="15">
        <f t="shared" si="10"/>
        <v>5922.0000000000009</v>
      </c>
      <c r="X681" s="15">
        <f>Table1[[#This Row],[Sub Total]]-Table1[[#This Row],[Discount Rp]]</f>
        <v>78678</v>
      </c>
      <c r="Y681" s="15">
        <f ca="1">OFFSET(Helper!$C$3,MATCH(Data!$N$4:$N$1003,Helper!$C$4:$C$9,0),MATCH(Data!$O$4:$O$1003,Helper!$D$3:$F$3,0))</f>
        <v>5000</v>
      </c>
      <c r="Z681" s="16">
        <f ca="1">Table1[[#This Row],[Order Total]]+Table1[[#This Row],[Shipping Cost]]</f>
        <v>83678</v>
      </c>
    </row>
    <row r="682" spans="1:26" ht="15.75" customHeight="1" x14ac:dyDescent="0.3">
      <c r="A682" s="9" t="s">
        <v>1490</v>
      </c>
      <c r="B682" s="18">
        <v>43462</v>
      </c>
      <c r="C682" s="10">
        <f>YEAR(Table1[[#This Row],[Order Date]])</f>
        <v>2018</v>
      </c>
      <c r="D682" s="10" t="s">
        <v>1491</v>
      </c>
      <c r="E682" s="10" t="s">
        <v>462</v>
      </c>
      <c r="F682" s="10" t="s">
        <v>71</v>
      </c>
      <c r="G682" s="10" t="s">
        <v>72</v>
      </c>
      <c r="H682" s="10" t="s">
        <v>112</v>
      </c>
      <c r="I682" s="10" t="str">
        <f>VLOOKUP(Table1[[#This Row],[Account Manager ID]],Table2[[Employee ID]:[Full Name]],4,FALSE)</f>
        <v>Paiman Firgantoro</v>
      </c>
      <c r="J682" s="10" t="str">
        <f>INDEX(Employee!$D$4:$D$47,MATCH($H$4:$H$1003,Employee!$A$4:$A$47,0))</f>
        <v>Paiman Firgantoro</v>
      </c>
      <c r="K682" s="10" t="s">
        <v>74</v>
      </c>
      <c r="L682" s="10" t="s">
        <v>468</v>
      </c>
      <c r="M682" s="10" t="s">
        <v>59</v>
      </c>
      <c r="N682" s="10" t="s">
        <v>67</v>
      </c>
      <c r="O682" s="10" t="s">
        <v>61</v>
      </c>
      <c r="P682" s="10">
        <v>43464</v>
      </c>
      <c r="Q682" s="15">
        <v>13950</v>
      </c>
      <c r="R682" s="15">
        <v>22200</v>
      </c>
      <c r="S682" s="15">
        <f>Table1[[#This Row],[Retail Price]]-Table1[[#This Row],[Cost Price]]</f>
        <v>8250</v>
      </c>
      <c r="T682" s="10">
        <v>1</v>
      </c>
      <c r="U682" s="15">
        <f>Table1[[#This Row],[Profit Margin]]*Table1[[#This Row],[Order Quantity]]</f>
        <v>8250</v>
      </c>
      <c r="V682" s="11">
        <v>0.01</v>
      </c>
      <c r="W682" s="15">
        <f t="shared" si="10"/>
        <v>82.5</v>
      </c>
      <c r="X682" s="15">
        <f>Table1[[#This Row],[Sub Total]]-Table1[[#This Row],[Discount Rp]]</f>
        <v>8167.5</v>
      </c>
      <c r="Y682" s="15">
        <f ca="1">OFFSET(Helper!$C$3,MATCH(Data!$N$4:$N$1003,Helper!$C$4:$C$9,0),MATCH(Data!$O$4:$O$1003,Helper!$D$3:$F$3,0))</f>
        <v>5000</v>
      </c>
      <c r="Z682" s="16">
        <f ca="1">Table1[[#This Row],[Order Total]]+Table1[[#This Row],[Shipping Cost]]</f>
        <v>13167.5</v>
      </c>
    </row>
    <row r="683" spans="1:26" ht="15.75" customHeight="1" x14ac:dyDescent="0.3">
      <c r="A683" s="9" t="s">
        <v>1492</v>
      </c>
      <c r="B683" s="18">
        <v>43463</v>
      </c>
      <c r="C683" s="10">
        <f>YEAR(Table1[[#This Row],[Order Date]])</f>
        <v>2018</v>
      </c>
      <c r="D683" s="10" t="s">
        <v>369</v>
      </c>
      <c r="E683" s="10" t="s">
        <v>370</v>
      </c>
      <c r="F683" s="10" t="s">
        <v>71</v>
      </c>
      <c r="G683" s="10" t="s">
        <v>72</v>
      </c>
      <c r="H683" s="10" t="s">
        <v>146</v>
      </c>
      <c r="I683" s="10" t="str">
        <f>VLOOKUP(Table1[[#This Row],[Account Manager ID]],Table2[[Employee ID]:[Full Name]],4,FALSE)</f>
        <v>Kenari Rajasa</v>
      </c>
      <c r="J683" s="10" t="str">
        <f>INDEX(Employee!$D$4:$D$47,MATCH($H$4:$H$1003,Employee!$A$4:$A$47,0))</f>
        <v>Kenari Rajasa</v>
      </c>
      <c r="K683" s="10" t="s">
        <v>92</v>
      </c>
      <c r="L683" s="10" t="s">
        <v>634</v>
      </c>
      <c r="M683" s="10" t="s">
        <v>59</v>
      </c>
      <c r="N683" s="10" t="s">
        <v>136</v>
      </c>
      <c r="O683" s="10" t="s">
        <v>76</v>
      </c>
      <c r="P683" s="10">
        <v>43468</v>
      </c>
      <c r="Q683" s="15">
        <v>52650</v>
      </c>
      <c r="R683" s="15">
        <v>128550</v>
      </c>
      <c r="S683" s="15">
        <f>Table1[[#This Row],[Retail Price]]-Table1[[#This Row],[Cost Price]]</f>
        <v>75900</v>
      </c>
      <c r="T683" s="10">
        <v>49</v>
      </c>
      <c r="U683" s="15">
        <f>Table1[[#This Row],[Profit Margin]]*Table1[[#This Row],[Order Quantity]]</f>
        <v>3719100</v>
      </c>
      <c r="V683" s="11">
        <v>0.01</v>
      </c>
      <c r="W683" s="15">
        <f t="shared" si="10"/>
        <v>37191</v>
      </c>
      <c r="X683" s="15">
        <f>Table1[[#This Row],[Sub Total]]-Table1[[#This Row],[Discount Rp]]</f>
        <v>3681909</v>
      </c>
      <c r="Y683" s="15">
        <f ca="1">OFFSET(Helper!$C$3,MATCH(Data!$N$4:$N$1003,Helper!$C$4:$C$9,0),MATCH(Data!$O$4:$O$1003,Helper!$D$3:$F$3,0))</f>
        <v>20000</v>
      </c>
      <c r="Z683" s="16">
        <f ca="1">Table1[[#This Row],[Order Total]]+Table1[[#This Row],[Shipping Cost]]</f>
        <v>3701909</v>
      </c>
    </row>
    <row r="684" spans="1:26" ht="15.75" customHeight="1" x14ac:dyDescent="0.3">
      <c r="A684" s="9" t="s">
        <v>1493</v>
      </c>
      <c r="B684" s="18">
        <v>43464</v>
      </c>
      <c r="C684" s="10">
        <f>YEAR(Table1[[#This Row],[Order Date]])</f>
        <v>2018</v>
      </c>
      <c r="D684" s="10" t="s">
        <v>1483</v>
      </c>
      <c r="E684" s="10" t="s">
        <v>358</v>
      </c>
      <c r="F684" s="10" t="s">
        <v>71</v>
      </c>
      <c r="G684" s="10" t="s">
        <v>106</v>
      </c>
      <c r="H684" s="10" t="s">
        <v>73</v>
      </c>
      <c r="I684" s="10" t="str">
        <f>VLOOKUP(Table1[[#This Row],[Account Manager ID]],Table2[[Employee ID]:[Full Name]],4,FALSE)</f>
        <v>Cinthia Gunawan</v>
      </c>
      <c r="J684" s="10" t="str">
        <f>INDEX(Employee!$D$4:$D$47,MATCH($H$4:$H$1003,Employee!$A$4:$A$47,0))</f>
        <v>Cinthia Gunawan</v>
      </c>
      <c r="K684" s="10" t="s">
        <v>107</v>
      </c>
      <c r="L684" s="10" t="s">
        <v>151</v>
      </c>
      <c r="M684" s="10" t="s">
        <v>59</v>
      </c>
      <c r="N684" s="10" t="s">
        <v>67</v>
      </c>
      <c r="O684" s="10" t="s">
        <v>61</v>
      </c>
      <c r="P684" s="10">
        <v>43464</v>
      </c>
      <c r="Q684" s="15">
        <v>27300</v>
      </c>
      <c r="R684" s="15">
        <v>44700</v>
      </c>
      <c r="S684" s="15">
        <f>Table1[[#This Row],[Retail Price]]-Table1[[#This Row],[Cost Price]]</f>
        <v>17400</v>
      </c>
      <c r="T684" s="10">
        <v>3</v>
      </c>
      <c r="U684" s="15">
        <f>Table1[[#This Row],[Profit Margin]]*Table1[[#This Row],[Order Quantity]]</f>
        <v>52200</v>
      </c>
      <c r="V684" s="11">
        <v>0.04</v>
      </c>
      <c r="W684" s="15">
        <f t="shared" si="10"/>
        <v>2088</v>
      </c>
      <c r="X684" s="15">
        <f>Table1[[#This Row],[Sub Total]]-Table1[[#This Row],[Discount Rp]]</f>
        <v>50112</v>
      </c>
      <c r="Y684" s="15">
        <f ca="1">OFFSET(Helper!$C$3,MATCH(Data!$N$4:$N$1003,Helper!$C$4:$C$9,0),MATCH(Data!$O$4:$O$1003,Helper!$D$3:$F$3,0))</f>
        <v>5000</v>
      </c>
      <c r="Z684" s="16">
        <f ca="1">Table1[[#This Row],[Order Total]]+Table1[[#This Row],[Shipping Cost]]</f>
        <v>55112</v>
      </c>
    </row>
    <row r="685" spans="1:26" ht="15.75" customHeight="1" x14ac:dyDescent="0.3">
      <c r="A685" s="9" t="s">
        <v>1494</v>
      </c>
      <c r="B685" s="18">
        <v>43472</v>
      </c>
      <c r="C685" s="10">
        <f>YEAR(Table1[[#This Row],[Order Date]])</f>
        <v>2019</v>
      </c>
      <c r="D685" s="10" t="s">
        <v>366</v>
      </c>
      <c r="E685" s="10" t="s">
        <v>180</v>
      </c>
      <c r="F685" s="10" t="s">
        <v>54</v>
      </c>
      <c r="G685" s="10" t="s">
        <v>55</v>
      </c>
      <c r="H685" s="10" t="s">
        <v>65</v>
      </c>
      <c r="I685" s="10" t="str">
        <f>VLOOKUP(Table1[[#This Row],[Account Manager ID]],Table2[[Employee ID]:[Full Name]],4,FALSE)</f>
        <v>Laras Nuraini</v>
      </c>
      <c r="J685" s="10" t="str">
        <f>INDEX(Employee!$D$4:$D$47,MATCH($H$4:$H$1003,Employee!$A$4:$A$47,0))</f>
        <v>Laras Nuraini</v>
      </c>
      <c r="K685" s="10" t="s">
        <v>107</v>
      </c>
      <c r="L685" s="10" t="s">
        <v>256</v>
      </c>
      <c r="M685" s="10" t="s">
        <v>59</v>
      </c>
      <c r="N685" s="10" t="s">
        <v>60</v>
      </c>
      <c r="O685" s="10" t="s">
        <v>61</v>
      </c>
      <c r="P685" s="10">
        <v>43473</v>
      </c>
      <c r="Q685" s="15">
        <v>204600</v>
      </c>
      <c r="R685" s="15">
        <v>314700</v>
      </c>
      <c r="S685" s="15">
        <f>Table1[[#This Row],[Retail Price]]-Table1[[#This Row],[Cost Price]]</f>
        <v>110100</v>
      </c>
      <c r="T685" s="10">
        <v>10</v>
      </c>
      <c r="U685" s="15">
        <f>Table1[[#This Row],[Profit Margin]]*Table1[[#This Row],[Order Quantity]]</f>
        <v>1101000</v>
      </c>
      <c r="V685" s="11">
        <v>0.06</v>
      </c>
      <c r="W685" s="15">
        <f t="shared" si="10"/>
        <v>66060</v>
      </c>
      <c r="X685" s="15">
        <f>Table1[[#This Row],[Sub Total]]-Table1[[#This Row],[Discount Rp]]</f>
        <v>1034940</v>
      </c>
      <c r="Y685" s="15">
        <f ca="1">OFFSET(Helper!$C$3,MATCH(Data!$N$4:$N$1003,Helper!$C$4:$C$9,0),MATCH(Data!$O$4:$O$1003,Helper!$D$3:$F$3,0))</f>
        <v>15000</v>
      </c>
      <c r="Z685" s="16">
        <f ca="1">Table1[[#This Row],[Order Total]]+Table1[[#This Row],[Shipping Cost]]</f>
        <v>1049940</v>
      </c>
    </row>
    <row r="686" spans="1:26" ht="15.75" customHeight="1" x14ac:dyDescent="0.3">
      <c r="A686" s="9" t="s">
        <v>1495</v>
      </c>
      <c r="B686" s="18">
        <v>43472</v>
      </c>
      <c r="C686" s="10">
        <f>YEAR(Table1[[#This Row],[Order Date]])</f>
        <v>2019</v>
      </c>
      <c r="D686" s="10" t="s">
        <v>1496</v>
      </c>
      <c r="E686" s="10" t="s">
        <v>813</v>
      </c>
      <c r="F686" s="10" t="s">
        <v>54</v>
      </c>
      <c r="G686" s="10" t="s">
        <v>72</v>
      </c>
      <c r="H686" s="10" t="s">
        <v>65</v>
      </c>
      <c r="I686" s="10" t="str">
        <f>VLOOKUP(Table1[[#This Row],[Account Manager ID]],Table2[[Employee ID]:[Full Name]],4,FALSE)</f>
        <v>Laras Nuraini</v>
      </c>
      <c r="J686" s="10" t="str">
        <f>INDEX(Employee!$D$4:$D$47,MATCH($H$4:$H$1003,Employee!$A$4:$A$47,0))</f>
        <v>Laras Nuraini</v>
      </c>
      <c r="K686" s="10" t="s">
        <v>74</v>
      </c>
      <c r="L686" s="10" t="s">
        <v>473</v>
      </c>
      <c r="M686" s="10" t="s">
        <v>59</v>
      </c>
      <c r="N686" s="10" t="s">
        <v>60</v>
      </c>
      <c r="O686" s="10" t="s">
        <v>61</v>
      </c>
      <c r="P686" s="10">
        <v>43474</v>
      </c>
      <c r="Q686" s="15">
        <v>32700.000000000004</v>
      </c>
      <c r="R686" s="15">
        <v>52800</v>
      </c>
      <c r="S686" s="15">
        <f>Table1[[#This Row],[Retail Price]]-Table1[[#This Row],[Cost Price]]</f>
        <v>20099.999999999996</v>
      </c>
      <c r="T686" s="10">
        <v>13</v>
      </c>
      <c r="U686" s="15">
        <f>Table1[[#This Row],[Profit Margin]]*Table1[[#This Row],[Order Quantity]]</f>
        <v>261299.99999999994</v>
      </c>
      <c r="V686" s="11">
        <v>0.08</v>
      </c>
      <c r="W686" s="15">
        <f t="shared" si="10"/>
        <v>20903.999999999996</v>
      </c>
      <c r="X686" s="15">
        <f>Table1[[#This Row],[Sub Total]]-Table1[[#This Row],[Discount Rp]]</f>
        <v>240395.99999999994</v>
      </c>
      <c r="Y686" s="15">
        <f ca="1">OFFSET(Helper!$C$3,MATCH(Data!$N$4:$N$1003,Helper!$C$4:$C$9,0),MATCH(Data!$O$4:$O$1003,Helper!$D$3:$F$3,0))</f>
        <v>15000</v>
      </c>
      <c r="Z686" s="16">
        <f ca="1">Table1[[#This Row],[Order Total]]+Table1[[#This Row],[Shipping Cost]]</f>
        <v>255395.99999999994</v>
      </c>
    </row>
    <row r="687" spans="1:26" ht="15.75" customHeight="1" x14ac:dyDescent="0.3">
      <c r="A687" s="9" t="s">
        <v>1497</v>
      </c>
      <c r="B687" s="18">
        <v>43473</v>
      </c>
      <c r="C687" s="10">
        <f>YEAR(Table1[[#This Row],[Order Date]])</f>
        <v>2019</v>
      </c>
      <c r="D687" s="10" t="s">
        <v>770</v>
      </c>
      <c r="E687" s="10" t="s">
        <v>539</v>
      </c>
      <c r="F687" s="10" t="s">
        <v>71</v>
      </c>
      <c r="G687" s="10" t="s">
        <v>72</v>
      </c>
      <c r="H687" s="10" t="s">
        <v>146</v>
      </c>
      <c r="I687" s="10" t="str">
        <f>VLOOKUP(Table1[[#This Row],[Account Manager ID]],Table2[[Employee ID]:[Full Name]],4,FALSE)</f>
        <v>Kenari Rajasa</v>
      </c>
      <c r="J687" s="10" t="str">
        <f>INDEX(Employee!$D$4:$D$47,MATCH($H$4:$H$1003,Employee!$A$4:$A$47,0))</f>
        <v>Kenari Rajasa</v>
      </c>
      <c r="K687" s="10" t="s">
        <v>57</v>
      </c>
      <c r="L687" s="10" t="s">
        <v>345</v>
      </c>
      <c r="M687" s="10" t="s">
        <v>59</v>
      </c>
      <c r="N687" s="10" t="s">
        <v>60</v>
      </c>
      <c r="O687" s="10" t="s">
        <v>61</v>
      </c>
      <c r="P687" s="10">
        <v>43475</v>
      </c>
      <c r="Q687" s="15">
        <v>51000</v>
      </c>
      <c r="R687" s="15">
        <v>81000</v>
      </c>
      <c r="S687" s="15">
        <f>Table1[[#This Row],[Retail Price]]-Table1[[#This Row],[Cost Price]]</f>
        <v>30000</v>
      </c>
      <c r="T687" s="10">
        <v>10</v>
      </c>
      <c r="U687" s="15">
        <f>Table1[[#This Row],[Profit Margin]]*Table1[[#This Row],[Order Quantity]]</f>
        <v>300000</v>
      </c>
      <c r="V687" s="11">
        <v>0.04</v>
      </c>
      <c r="W687" s="15">
        <f t="shared" si="10"/>
        <v>12000</v>
      </c>
      <c r="X687" s="15">
        <f>Table1[[#This Row],[Sub Total]]-Table1[[#This Row],[Discount Rp]]</f>
        <v>288000</v>
      </c>
      <c r="Y687" s="15">
        <f ca="1">OFFSET(Helper!$C$3,MATCH(Data!$N$4:$N$1003,Helper!$C$4:$C$9,0),MATCH(Data!$O$4:$O$1003,Helper!$D$3:$F$3,0))</f>
        <v>15000</v>
      </c>
      <c r="Z687" s="16">
        <f ca="1">Table1[[#This Row],[Order Total]]+Table1[[#This Row],[Shipping Cost]]</f>
        <v>303000</v>
      </c>
    </row>
    <row r="688" spans="1:26" ht="15.75" customHeight="1" x14ac:dyDescent="0.3">
      <c r="A688" s="9" t="s">
        <v>1498</v>
      </c>
      <c r="B688" s="18">
        <v>43474</v>
      </c>
      <c r="C688" s="10">
        <f>YEAR(Table1[[#This Row],[Order Date]])</f>
        <v>2019</v>
      </c>
      <c r="D688" s="10" t="s">
        <v>1499</v>
      </c>
      <c r="E688" s="10" t="s">
        <v>1251</v>
      </c>
      <c r="F688" s="10" t="s">
        <v>71</v>
      </c>
      <c r="G688" s="10" t="s">
        <v>106</v>
      </c>
      <c r="H688" s="10" t="s">
        <v>146</v>
      </c>
      <c r="I688" s="10" t="str">
        <f>VLOOKUP(Table1[[#This Row],[Account Manager ID]],Table2[[Employee ID]:[Full Name]],4,FALSE)</f>
        <v>Kenari Rajasa</v>
      </c>
      <c r="J688" s="10" t="str">
        <f>INDEX(Employee!$D$4:$D$47,MATCH($H$4:$H$1003,Employee!$A$4:$A$47,0))</f>
        <v>Kenari Rajasa</v>
      </c>
      <c r="K688" s="10" t="s">
        <v>107</v>
      </c>
      <c r="L688" s="10" t="s">
        <v>287</v>
      </c>
      <c r="M688" s="10" t="s">
        <v>59</v>
      </c>
      <c r="N688" s="10" t="s">
        <v>60</v>
      </c>
      <c r="O688" s="10" t="s">
        <v>61</v>
      </c>
      <c r="P688" s="10">
        <v>43476</v>
      </c>
      <c r="Q688" s="15">
        <v>185850</v>
      </c>
      <c r="R688" s="15">
        <v>299700</v>
      </c>
      <c r="S688" s="15">
        <f>Table1[[#This Row],[Retail Price]]-Table1[[#This Row],[Cost Price]]</f>
        <v>113850</v>
      </c>
      <c r="T688" s="10">
        <v>20</v>
      </c>
      <c r="U688" s="15">
        <f>Table1[[#This Row],[Profit Margin]]*Table1[[#This Row],[Order Quantity]]</f>
        <v>2277000</v>
      </c>
      <c r="V688" s="11">
        <v>0.05</v>
      </c>
      <c r="W688" s="15">
        <f t="shared" si="10"/>
        <v>113850</v>
      </c>
      <c r="X688" s="15">
        <f>Table1[[#This Row],[Sub Total]]-Table1[[#This Row],[Discount Rp]]</f>
        <v>2163150</v>
      </c>
      <c r="Y688" s="15">
        <f ca="1">OFFSET(Helper!$C$3,MATCH(Data!$N$4:$N$1003,Helper!$C$4:$C$9,0),MATCH(Data!$O$4:$O$1003,Helper!$D$3:$F$3,0))</f>
        <v>15000</v>
      </c>
      <c r="Z688" s="16">
        <f ca="1">Table1[[#This Row],[Order Total]]+Table1[[#This Row],[Shipping Cost]]</f>
        <v>2178150</v>
      </c>
    </row>
    <row r="689" spans="1:26" ht="15.75" customHeight="1" x14ac:dyDescent="0.3">
      <c r="A689" s="9" t="s">
        <v>1500</v>
      </c>
      <c r="B689" s="18">
        <v>43474</v>
      </c>
      <c r="C689" s="10">
        <f>YEAR(Table1[[#This Row],[Order Date]])</f>
        <v>2019</v>
      </c>
      <c r="D689" s="10" t="s">
        <v>1273</v>
      </c>
      <c r="E689" s="10" t="s">
        <v>116</v>
      </c>
      <c r="F689" s="10" t="s">
        <v>54</v>
      </c>
      <c r="G689" s="10" t="s">
        <v>72</v>
      </c>
      <c r="H689" s="10" t="s">
        <v>56</v>
      </c>
      <c r="I689" s="10" t="str">
        <f>VLOOKUP(Table1[[#This Row],[Account Manager ID]],Table2[[Employee ID]:[Full Name]],4,FALSE)</f>
        <v>Gaduh Pratama</v>
      </c>
      <c r="J689" s="10" t="str">
        <f>INDEX(Employee!$D$4:$D$47,MATCH($H$4:$H$1003,Employee!$A$4:$A$47,0))</f>
        <v>Gaduh Pratama</v>
      </c>
      <c r="K689" s="10" t="s">
        <v>92</v>
      </c>
      <c r="L689" s="10" t="s">
        <v>287</v>
      </c>
      <c r="M689" s="10" t="s">
        <v>59</v>
      </c>
      <c r="N689" s="10" t="s">
        <v>60</v>
      </c>
      <c r="O689" s="10" t="s">
        <v>61</v>
      </c>
      <c r="P689" s="10">
        <v>43474</v>
      </c>
      <c r="Q689" s="15">
        <v>185850</v>
      </c>
      <c r="R689" s="15">
        <v>299700</v>
      </c>
      <c r="S689" s="15">
        <f>Table1[[#This Row],[Retail Price]]-Table1[[#This Row],[Cost Price]]</f>
        <v>113850</v>
      </c>
      <c r="T689" s="10">
        <v>34</v>
      </c>
      <c r="U689" s="15">
        <f>Table1[[#This Row],[Profit Margin]]*Table1[[#This Row],[Order Quantity]]</f>
        <v>3870900</v>
      </c>
      <c r="V689" s="11">
        <v>0.06</v>
      </c>
      <c r="W689" s="15">
        <f t="shared" si="10"/>
        <v>232254</v>
      </c>
      <c r="X689" s="15">
        <f>Table1[[#This Row],[Sub Total]]-Table1[[#This Row],[Discount Rp]]</f>
        <v>3638646</v>
      </c>
      <c r="Y689" s="15">
        <f ca="1">OFFSET(Helper!$C$3,MATCH(Data!$N$4:$N$1003,Helper!$C$4:$C$9,0),MATCH(Data!$O$4:$O$1003,Helper!$D$3:$F$3,0))</f>
        <v>15000</v>
      </c>
      <c r="Z689" s="16">
        <f ca="1">Table1[[#This Row],[Order Total]]+Table1[[#This Row],[Shipping Cost]]</f>
        <v>3653646</v>
      </c>
    </row>
    <row r="690" spans="1:26" ht="15.75" customHeight="1" x14ac:dyDescent="0.3">
      <c r="A690" s="9" t="s">
        <v>1501</v>
      </c>
      <c r="B690" s="18">
        <v>43475</v>
      </c>
      <c r="C690" s="10">
        <f>YEAR(Table1[[#This Row],[Order Date]])</f>
        <v>2019</v>
      </c>
      <c r="D690" s="10" t="s">
        <v>1502</v>
      </c>
      <c r="E690" s="10" t="s">
        <v>145</v>
      </c>
      <c r="F690" s="10" t="s">
        <v>71</v>
      </c>
      <c r="G690" s="10" t="s">
        <v>55</v>
      </c>
      <c r="H690" s="10" t="s">
        <v>146</v>
      </c>
      <c r="I690" s="10" t="str">
        <f>VLOOKUP(Table1[[#This Row],[Account Manager ID]],Table2[[Employee ID]:[Full Name]],4,FALSE)</f>
        <v>Kenari Rajasa</v>
      </c>
      <c r="J690" s="10" t="str">
        <f>INDEX(Employee!$D$4:$D$47,MATCH($H$4:$H$1003,Employee!$A$4:$A$47,0))</f>
        <v>Kenari Rajasa</v>
      </c>
      <c r="K690" s="10" t="s">
        <v>107</v>
      </c>
      <c r="L690" s="10" t="s">
        <v>248</v>
      </c>
      <c r="M690" s="10" t="s">
        <v>59</v>
      </c>
      <c r="N690" s="10" t="s">
        <v>67</v>
      </c>
      <c r="O690" s="10" t="s">
        <v>61</v>
      </c>
      <c r="P690" s="10">
        <v>43477</v>
      </c>
      <c r="Q690" s="15">
        <v>56250</v>
      </c>
      <c r="R690" s="15">
        <v>106200</v>
      </c>
      <c r="S690" s="15">
        <f>Table1[[#This Row],[Retail Price]]-Table1[[#This Row],[Cost Price]]</f>
        <v>49950</v>
      </c>
      <c r="T690" s="10">
        <v>37</v>
      </c>
      <c r="U690" s="15">
        <f>Table1[[#This Row],[Profit Margin]]*Table1[[#This Row],[Order Quantity]]</f>
        <v>1848150</v>
      </c>
      <c r="V690" s="11">
        <v>0.08</v>
      </c>
      <c r="W690" s="15">
        <f t="shared" si="10"/>
        <v>147852</v>
      </c>
      <c r="X690" s="15">
        <f>Table1[[#This Row],[Sub Total]]-Table1[[#This Row],[Discount Rp]]</f>
        <v>1700298</v>
      </c>
      <c r="Y690" s="15">
        <f ca="1">OFFSET(Helper!$C$3,MATCH(Data!$N$4:$N$1003,Helper!$C$4:$C$9,0),MATCH(Data!$O$4:$O$1003,Helper!$D$3:$F$3,0))</f>
        <v>5000</v>
      </c>
      <c r="Z690" s="16">
        <f ca="1">Table1[[#This Row],[Order Total]]+Table1[[#This Row],[Shipping Cost]]</f>
        <v>1705298</v>
      </c>
    </row>
    <row r="691" spans="1:26" ht="15.75" customHeight="1" x14ac:dyDescent="0.3">
      <c r="A691" s="9" t="s">
        <v>1503</v>
      </c>
      <c r="B691" s="18">
        <v>43476</v>
      </c>
      <c r="C691" s="10">
        <f>YEAR(Table1[[#This Row],[Order Date]])</f>
        <v>2019</v>
      </c>
      <c r="D691" s="10" t="s">
        <v>1162</v>
      </c>
      <c r="E691" s="10" t="s">
        <v>180</v>
      </c>
      <c r="F691" s="10" t="s">
        <v>54</v>
      </c>
      <c r="G691" s="10" t="s">
        <v>106</v>
      </c>
      <c r="H691" s="10" t="s">
        <v>65</v>
      </c>
      <c r="I691" s="10" t="str">
        <f>VLOOKUP(Table1[[#This Row],[Account Manager ID]],Table2[[Employee ID]:[Full Name]],4,FALSE)</f>
        <v>Laras Nuraini</v>
      </c>
      <c r="J691" s="10" t="str">
        <f>INDEX(Employee!$D$4:$D$47,MATCH($H$4:$H$1003,Employee!$A$4:$A$47,0))</f>
        <v>Laras Nuraini</v>
      </c>
      <c r="K691" s="10" t="s">
        <v>117</v>
      </c>
      <c r="L691" s="10" t="s">
        <v>465</v>
      </c>
      <c r="M691" s="10" t="s">
        <v>59</v>
      </c>
      <c r="N691" s="10" t="s">
        <v>60</v>
      </c>
      <c r="O691" s="10" t="s">
        <v>76</v>
      </c>
      <c r="P691" s="10">
        <v>43477</v>
      </c>
      <c r="Q691" s="15">
        <v>52500</v>
      </c>
      <c r="R691" s="15">
        <v>86100</v>
      </c>
      <c r="S691" s="15">
        <f>Table1[[#This Row],[Retail Price]]-Table1[[#This Row],[Cost Price]]</f>
        <v>33600</v>
      </c>
      <c r="T691" s="10">
        <v>26</v>
      </c>
      <c r="U691" s="15">
        <f>Table1[[#This Row],[Profit Margin]]*Table1[[#This Row],[Order Quantity]]</f>
        <v>873600</v>
      </c>
      <c r="V691" s="11">
        <v>0.03</v>
      </c>
      <c r="W691" s="15">
        <f t="shared" si="10"/>
        <v>26208</v>
      </c>
      <c r="X691" s="15">
        <f>Table1[[#This Row],[Sub Total]]-Table1[[#This Row],[Discount Rp]]</f>
        <v>847392</v>
      </c>
      <c r="Y691" s="15">
        <f ca="1">OFFSET(Helper!$C$3,MATCH(Data!$N$4:$N$1003,Helper!$C$4:$C$9,0),MATCH(Data!$O$4:$O$1003,Helper!$D$3:$F$3,0))</f>
        <v>30000</v>
      </c>
      <c r="Z691" s="16">
        <f ca="1">Table1[[#This Row],[Order Total]]+Table1[[#This Row],[Shipping Cost]]</f>
        <v>877392</v>
      </c>
    </row>
    <row r="692" spans="1:26" ht="15.75" customHeight="1" x14ac:dyDescent="0.3">
      <c r="A692" s="9" t="s">
        <v>1504</v>
      </c>
      <c r="B692" s="18">
        <v>43478</v>
      </c>
      <c r="C692" s="10">
        <f>YEAR(Table1[[#This Row],[Order Date]])</f>
        <v>2019</v>
      </c>
      <c r="D692" s="10" t="s">
        <v>1505</v>
      </c>
      <c r="E692" s="10" t="s">
        <v>165</v>
      </c>
      <c r="F692" s="10" t="s">
        <v>71</v>
      </c>
      <c r="G692" s="10" t="s">
        <v>72</v>
      </c>
      <c r="H692" s="10" t="s">
        <v>88</v>
      </c>
      <c r="I692" s="10" t="str">
        <f>VLOOKUP(Table1[[#This Row],[Account Manager ID]],Table2[[Employee ID]:[Full Name]],4,FALSE)</f>
        <v>Bagiya Sihombing</v>
      </c>
      <c r="J692" s="10" t="str">
        <f>INDEX(Employee!$D$4:$D$47,MATCH($H$4:$H$1003,Employee!$A$4:$A$47,0))</f>
        <v>Bagiya Sihombing</v>
      </c>
      <c r="K692" s="10" t="s">
        <v>92</v>
      </c>
      <c r="L692" s="10" t="s">
        <v>833</v>
      </c>
      <c r="M692" s="10" t="s">
        <v>59</v>
      </c>
      <c r="N692" s="10" t="s">
        <v>67</v>
      </c>
      <c r="O692" s="10" t="s">
        <v>61</v>
      </c>
      <c r="P692" s="10">
        <v>43487</v>
      </c>
      <c r="Q692" s="15">
        <v>15750</v>
      </c>
      <c r="R692" s="15">
        <v>29250</v>
      </c>
      <c r="S692" s="15">
        <f>Table1[[#This Row],[Retail Price]]-Table1[[#This Row],[Cost Price]]</f>
        <v>13500</v>
      </c>
      <c r="T692" s="10">
        <v>4</v>
      </c>
      <c r="U692" s="15">
        <f>Table1[[#This Row],[Profit Margin]]*Table1[[#This Row],[Order Quantity]]</f>
        <v>54000</v>
      </c>
      <c r="V692" s="11">
        <v>0.09</v>
      </c>
      <c r="W692" s="15">
        <f t="shared" si="10"/>
        <v>4860</v>
      </c>
      <c r="X692" s="15">
        <f>Table1[[#This Row],[Sub Total]]-Table1[[#This Row],[Discount Rp]]</f>
        <v>49140</v>
      </c>
      <c r="Y692" s="15">
        <f ca="1">OFFSET(Helper!$C$3,MATCH(Data!$N$4:$N$1003,Helper!$C$4:$C$9,0),MATCH(Data!$O$4:$O$1003,Helper!$D$3:$F$3,0))</f>
        <v>5000</v>
      </c>
      <c r="Z692" s="16">
        <f ca="1">Table1[[#This Row],[Order Total]]+Table1[[#This Row],[Shipping Cost]]</f>
        <v>54140</v>
      </c>
    </row>
    <row r="693" spans="1:26" ht="15.75" customHeight="1" x14ac:dyDescent="0.3">
      <c r="A693" s="9" t="s">
        <v>1506</v>
      </c>
      <c r="B693" s="18">
        <v>43486</v>
      </c>
      <c r="C693" s="10">
        <f>YEAR(Table1[[#This Row],[Order Date]])</f>
        <v>2019</v>
      </c>
      <c r="D693" s="10" t="s">
        <v>1507</v>
      </c>
      <c r="E693" s="10" t="s">
        <v>370</v>
      </c>
      <c r="F693" s="10" t="s">
        <v>71</v>
      </c>
      <c r="G693" s="10" t="s">
        <v>87</v>
      </c>
      <c r="H693" s="10" t="s">
        <v>146</v>
      </c>
      <c r="I693" s="10" t="str">
        <f>VLOOKUP(Table1[[#This Row],[Account Manager ID]],Table2[[Employee ID]:[Full Name]],4,FALSE)</f>
        <v>Kenari Rajasa</v>
      </c>
      <c r="J693" s="10" t="str">
        <f>INDEX(Employee!$D$4:$D$47,MATCH($H$4:$H$1003,Employee!$A$4:$A$47,0))</f>
        <v>Kenari Rajasa</v>
      </c>
      <c r="K693" s="10" t="s">
        <v>57</v>
      </c>
      <c r="L693" s="10" t="s">
        <v>837</v>
      </c>
      <c r="M693" s="10" t="s">
        <v>81</v>
      </c>
      <c r="N693" s="10" t="s">
        <v>82</v>
      </c>
      <c r="O693" s="10" t="s">
        <v>83</v>
      </c>
      <c r="P693" s="10">
        <v>43488</v>
      </c>
      <c r="Q693" s="15">
        <v>4734150</v>
      </c>
      <c r="R693" s="15">
        <v>7514550</v>
      </c>
      <c r="S693" s="15">
        <f>Table1[[#This Row],[Retail Price]]-Table1[[#This Row],[Cost Price]]</f>
        <v>2780400</v>
      </c>
      <c r="T693" s="10">
        <v>25</v>
      </c>
      <c r="U693" s="15">
        <f>Table1[[#This Row],[Profit Margin]]*Table1[[#This Row],[Order Quantity]]</f>
        <v>69510000</v>
      </c>
      <c r="V693" s="11">
        <v>0.02</v>
      </c>
      <c r="W693" s="15">
        <f t="shared" si="10"/>
        <v>1390200</v>
      </c>
      <c r="X693" s="15">
        <f>Table1[[#This Row],[Sub Total]]-Table1[[#This Row],[Discount Rp]]</f>
        <v>68119800</v>
      </c>
      <c r="Y693" s="15">
        <f ca="1">OFFSET(Helper!$C$3,MATCH(Data!$N$4:$N$1003,Helper!$C$4:$C$9,0),MATCH(Data!$O$4:$O$1003,Helper!$D$3:$F$3,0))</f>
        <v>500000</v>
      </c>
      <c r="Z693" s="16">
        <f ca="1">Table1[[#This Row],[Order Total]]+Table1[[#This Row],[Shipping Cost]]</f>
        <v>68619800</v>
      </c>
    </row>
    <row r="694" spans="1:26" ht="15.75" customHeight="1" x14ac:dyDescent="0.3">
      <c r="A694" s="9" t="s">
        <v>1508</v>
      </c>
      <c r="B694" s="18">
        <v>43489</v>
      </c>
      <c r="C694" s="10">
        <f>YEAR(Table1[[#This Row],[Order Date]])</f>
        <v>2019</v>
      </c>
      <c r="D694" s="10" t="s">
        <v>1509</v>
      </c>
      <c r="E694" s="10" t="s">
        <v>1510</v>
      </c>
      <c r="F694" s="10" t="s">
        <v>71</v>
      </c>
      <c r="G694" s="10" t="s">
        <v>72</v>
      </c>
      <c r="H694" s="10" t="s">
        <v>194</v>
      </c>
      <c r="I694" s="10" t="str">
        <f>VLOOKUP(Table1[[#This Row],[Account Manager ID]],Table2[[Employee ID]:[Full Name]],4,FALSE)</f>
        <v>Nabila Prakasa</v>
      </c>
      <c r="J694" s="10" t="str">
        <f>INDEX(Employee!$D$4:$D$47,MATCH($H$4:$H$1003,Employee!$A$4:$A$47,0))</f>
        <v>Nabila Prakasa</v>
      </c>
      <c r="K694" s="10" t="s">
        <v>57</v>
      </c>
      <c r="L694" s="10" t="s">
        <v>265</v>
      </c>
      <c r="M694" s="10" t="s">
        <v>59</v>
      </c>
      <c r="N694" s="10" t="s">
        <v>60</v>
      </c>
      <c r="O694" s="10" t="s">
        <v>61</v>
      </c>
      <c r="P694" s="10">
        <v>43491</v>
      </c>
      <c r="Q694" s="15">
        <v>17700</v>
      </c>
      <c r="R694" s="15">
        <v>28200</v>
      </c>
      <c r="S694" s="15">
        <f>Table1[[#This Row],[Retail Price]]-Table1[[#This Row],[Cost Price]]</f>
        <v>10500</v>
      </c>
      <c r="T694" s="10">
        <v>29</v>
      </c>
      <c r="U694" s="15">
        <f>Table1[[#This Row],[Profit Margin]]*Table1[[#This Row],[Order Quantity]]</f>
        <v>304500</v>
      </c>
      <c r="V694" s="11">
        <v>0.1</v>
      </c>
      <c r="W694" s="15">
        <f t="shared" si="10"/>
        <v>30450</v>
      </c>
      <c r="X694" s="15">
        <f>Table1[[#This Row],[Sub Total]]-Table1[[#This Row],[Discount Rp]]</f>
        <v>274050</v>
      </c>
      <c r="Y694" s="15">
        <f ca="1">OFFSET(Helper!$C$3,MATCH(Data!$N$4:$N$1003,Helper!$C$4:$C$9,0),MATCH(Data!$O$4:$O$1003,Helper!$D$3:$F$3,0))</f>
        <v>15000</v>
      </c>
      <c r="Z694" s="16">
        <f ca="1">Table1[[#This Row],[Order Total]]+Table1[[#This Row],[Shipping Cost]]</f>
        <v>289050</v>
      </c>
    </row>
    <row r="695" spans="1:26" ht="15.75" customHeight="1" x14ac:dyDescent="0.3">
      <c r="A695" s="9" t="s">
        <v>1511</v>
      </c>
      <c r="B695" s="18">
        <v>43490</v>
      </c>
      <c r="C695" s="10">
        <f>YEAR(Table1[[#This Row],[Order Date]])</f>
        <v>2019</v>
      </c>
      <c r="D695" s="10" t="s">
        <v>881</v>
      </c>
      <c r="E695" s="10" t="s">
        <v>882</v>
      </c>
      <c r="F695" s="10" t="s">
        <v>71</v>
      </c>
      <c r="G695" s="10" t="s">
        <v>106</v>
      </c>
      <c r="H695" s="10" t="s">
        <v>316</v>
      </c>
      <c r="I695" s="10" t="str">
        <f>VLOOKUP(Table1[[#This Row],[Account Manager ID]],Table2[[Employee ID]:[Full Name]],4,FALSE)</f>
        <v>Sari Winarno</v>
      </c>
      <c r="J695" s="10" t="str">
        <f>INDEX(Employee!$D$4:$D$47,MATCH($H$4:$H$1003,Employee!$A$4:$A$47,0))</f>
        <v>Sari Winarno</v>
      </c>
      <c r="K695" s="10" t="s">
        <v>92</v>
      </c>
      <c r="L695" s="10" t="s">
        <v>406</v>
      </c>
      <c r="M695" s="10" t="s">
        <v>81</v>
      </c>
      <c r="N695" s="10" t="s">
        <v>82</v>
      </c>
      <c r="O695" s="10" t="s">
        <v>83</v>
      </c>
      <c r="P695" s="10">
        <v>43492</v>
      </c>
      <c r="Q695" s="15">
        <v>4184850</v>
      </c>
      <c r="R695" s="15">
        <v>6749850</v>
      </c>
      <c r="S695" s="15">
        <f>Table1[[#This Row],[Retail Price]]-Table1[[#This Row],[Cost Price]]</f>
        <v>2565000</v>
      </c>
      <c r="T695" s="10">
        <v>47</v>
      </c>
      <c r="U695" s="15">
        <f>Table1[[#This Row],[Profit Margin]]*Table1[[#This Row],[Order Quantity]]</f>
        <v>120555000</v>
      </c>
      <c r="V695" s="11">
        <v>0.02</v>
      </c>
      <c r="W695" s="15">
        <f t="shared" si="10"/>
        <v>2411100</v>
      </c>
      <c r="X695" s="15">
        <f>Table1[[#This Row],[Sub Total]]-Table1[[#This Row],[Discount Rp]]</f>
        <v>118143900</v>
      </c>
      <c r="Y695" s="15">
        <f ca="1">OFFSET(Helper!$C$3,MATCH(Data!$N$4:$N$1003,Helper!$C$4:$C$9,0),MATCH(Data!$O$4:$O$1003,Helper!$D$3:$F$3,0))</f>
        <v>500000</v>
      </c>
      <c r="Z695" s="16">
        <f ca="1">Table1[[#This Row],[Order Total]]+Table1[[#This Row],[Shipping Cost]]</f>
        <v>118643900</v>
      </c>
    </row>
    <row r="696" spans="1:26" ht="15.75" customHeight="1" x14ac:dyDescent="0.3">
      <c r="A696" s="9" t="s">
        <v>1512</v>
      </c>
      <c r="B696" s="18">
        <v>43492</v>
      </c>
      <c r="C696" s="10">
        <f>YEAR(Table1[[#This Row],[Order Date]])</f>
        <v>2019</v>
      </c>
      <c r="D696" s="10" t="s">
        <v>1513</v>
      </c>
      <c r="E696" s="10" t="s">
        <v>1271</v>
      </c>
      <c r="F696" s="10" t="s">
        <v>54</v>
      </c>
      <c r="G696" s="10" t="s">
        <v>106</v>
      </c>
      <c r="H696" s="10" t="s">
        <v>65</v>
      </c>
      <c r="I696" s="10" t="str">
        <f>VLOOKUP(Table1[[#This Row],[Account Manager ID]],Table2[[Employee ID]:[Full Name]],4,FALSE)</f>
        <v>Laras Nuraini</v>
      </c>
      <c r="J696" s="10" t="str">
        <f>INDEX(Employee!$D$4:$D$47,MATCH($H$4:$H$1003,Employee!$A$4:$A$47,0))</f>
        <v>Laras Nuraini</v>
      </c>
      <c r="K696" s="10" t="s">
        <v>74</v>
      </c>
      <c r="L696" s="10" t="s">
        <v>345</v>
      </c>
      <c r="M696" s="10" t="s">
        <v>59</v>
      </c>
      <c r="N696" s="10" t="s">
        <v>60</v>
      </c>
      <c r="O696" s="10" t="s">
        <v>61</v>
      </c>
      <c r="P696" s="10">
        <v>43493</v>
      </c>
      <c r="Q696" s="15">
        <v>51000</v>
      </c>
      <c r="R696" s="15">
        <v>81000</v>
      </c>
      <c r="S696" s="15">
        <f>Table1[[#This Row],[Retail Price]]-Table1[[#This Row],[Cost Price]]</f>
        <v>30000</v>
      </c>
      <c r="T696" s="10">
        <v>8</v>
      </c>
      <c r="U696" s="15">
        <f>Table1[[#This Row],[Profit Margin]]*Table1[[#This Row],[Order Quantity]]</f>
        <v>240000</v>
      </c>
      <c r="V696" s="11">
        <v>0</v>
      </c>
      <c r="W696" s="15">
        <f t="shared" si="10"/>
        <v>0</v>
      </c>
      <c r="X696" s="15">
        <f>Table1[[#This Row],[Sub Total]]-Table1[[#This Row],[Discount Rp]]</f>
        <v>240000</v>
      </c>
      <c r="Y696" s="15">
        <f ca="1">OFFSET(Helper!$C$3,MATCH(Data!$N$4:$N$1003,Helper!$C$4:$C$9,0),MATCH(Data!$O$4:$O$1003,Helper!$D$3:$F$3,0))</f>
        <v>15000</v>
      </c>
      <c r="Z696" s="16">
        <f ca="1">Table1[[#This Row],[Order Total]]+Table1[[#This Row],[Shipping Cost]]</f>
        <v>255000</v>
      </c>
    </row>
    <row r="697" spans="1:26" ht="15.75" customHeight="1" x14ac:dyDescent="0.3">
      <c r="A697" s="9" t="s">
        <v>1514</v>
      </c>
      <c r="B697" s="18">
        <v>43497</v>
      </c>
      <c r="C697" s="10">
        <f>YEAR(Table1[[#This Row],[Order Date]])</f>
        <v>2019</v>
      </c>
      <c r="D697" s="10" t="s">
        <v>1515</v>
      </c>
      <c r="E697" s="10" t="s">
        <v>521</v>
      </c>
      <c r="F697" s="10" t="s">
        <v>71</v>
      </c>
      <c r="G697" s="10" t="s">
        <v>55</v>
      </c>
      <c r="H697" s="10" t="s">
        <v>88</v>
      </c>
      <c r="I697" s="10" t="str">
        <f>VLOOKUP(Table1[[#This Row],[Account Manager ID]],Table2[[Employee ID]:[Full Name]],4,FALSE)</f>
        <v>Bagiya Sihombing</v>
      </c>
      <c r="J697" s="10" t="str">
        <f>INDEX(Employee!$D$4:$D$47,MATCH($H$4:$H$1003,Employee!$A$4:$A$47,0))</f>
        <v>Bagiya Sihombing</v>
      </c>
      <c r="K697" s="10" t="s">
        <v>92</v>
      </c>
      <c r="L697" s="10" t="s">
        <v>1061</v>
      </c>
      <c r="M697" s="10" t="s">
        <v>59</v>
      </c>
      <c r="N697" s="10" t="s">
        <v>60</v>
      </c>
      <c r="O697" s="10" t="s">
        <v>61</v>
      </c>
      <c r="P697" s="10">
        <v>43501</v>
      </c>
      <c r="Q697" s="15">
        <v>17850</v>
      </c>
      <c r="R697" s="15">
        <v>29700</v>
      </c>
      <c r="S697" s="15">
        <f>Table1[[#This Row],[Retail Price]]-Table1[[#This Row],[Cost Price]]</f>
        <v>11850</v>
      </c>
      <c r="T697" s="10">
        <v>4</v>
      </c>
      <c r="U697" s="15">
        <f>Table1[[#This Row],[Profit Margin]]*Table1[[#This Row],[Order Quantity]]</f>
        <v>47400</v>
      </c>
      <c r="V697" s="11">
        <v>0.08</v>
      </c>
      <c r="W697" s="15">
        <f t="shared" si="10"/>
        <v>3792</v>
      </c>
      <c r="X697" s="15">
        <f>Table1[[#This Row],[Sub Total]]-Table1[[#This Row],[Discount Rp]]</f>
        <v>43608</v>
      </c>
      <c r="Y697" s="15">
        <f ca="1">OFFSET(Helper!$C$3,MATCH(Data!$N$4:$N$1003,Helper!$C$4:$C$9,0),MATCH(Data!$O$4:$O$1003,Helper!$D$3:$F$3,0))</f>
        <v>15000</v>
      </c>
      <c r="Z697" s="16">
        <f ca="1">Table1[[#This Row],[Order Total]]+Table1[[#This Row],[Shipping Cost]]</f>
        <v>58608</v>
      </c>
    </row>
    <row r="698" spans="1:26" ht="15.75" customHeight="1" x14ac:dyDescent="0.3">
      <c r="A698" s="9" t="s">
        <v>1516</v>
      </c>
      <c r="B698" s="18">
        <v>43498</v>
      </c>
      <c r="C698" s="10">
        <f>YEAR(Table1[[#This Row],[Order Date]])</f>
        <v>2019</v>
      </c>
      <c r="D698" s="10" t="s">
        <v>278</v>
      </c>
      <c r="E698" s="10" t="s">
        <v>279</v>
      </c>
      <c r="F698" s="10" t="s">
        <v>71</v>
      </c>
      <c r="G698" s="10" t="s">
        <v>55</v>
      </c>
      <c r="H698" s="10" t="s">
        <v>155</v>
      </c>
      <c r="I698" s="10" t="str">
        <f>VLOOKUP(Table1[[#This Row],[Account Manager ID]],Table2[[Employee ID]:[Full Name]],4,FALSE)</f>
        <v>Puti Nadine Prakasa</v>
      </c>
      <c r="J698" s="10" t="str">
        <f>INDEX(Employee!$D$4:$D$47,MATCH($H$4:$H$1003,Employee!$A$4:$A$47,0))</f>
        <v>Puti Nadine Prakasa</v>
      </c>
      <c r="K698" s="10" t="s">
        <v>117</v>
      </c>
      <c r="L698" s="10" t="s">
        <v>829</v>
      </c>
      <c r="M698" s="10" t="s">
        <v>59</v>
      </c>
      <c r="N698" s="10" t="s">
        <v>67</v>
      </c>
      <c r="O698" s="10" t="s">
        <v>76</v>
      </c>
      <c r="P698" s="10">
        <v>43500</v>
      </c>
      <c r="Q698" s="15">
        <v>31950</v>
      </c>
      <c r="R698" s="15">
        <v>52350</v>
      </c>
      <c r="S698" s="15">
        <f>Table1[[#This Row],[Retail Price]]-Table1[[#This Row],[Cost Price]]</f>
        <v>20400</v>
      </c>
      <c r="T698" s="10">
        <v>3</v>
      </c>
      <c r="U698" s="15">
        <f>Table1[[#This Row],[Profit Margin]]*Table1[[#This Row],[Order Quantity]]</f>
        <v>61200</v>
      </c>
      <c r="V698" s="11">
        <v>0.01</v>
      </c>
      <c r="W698" s="15">
        <f t="shared" si="10"/>
        <v>612</v>
      </c>
      <c r="X698" s="15">
        <f>Table1[[#This Row],[Sub Total]]-Table1[[#This Row],[Discount Rp]]</f>
        <v>60588</v>
      </c>
      <c r="Y698" s="15">
        <f ca="1">OFFSET(Helper!$C$3,MATCH(Data!$N$4:$N$1003,Helper!$C$4:$C$9,0),MATCH(Data!$O$4:$O$1003,Helper!$D$3:$F$3,0))</f>
        <v>10000</v>
      </c>
      <c r="Z698" s="16">
        <f ca="1">Table1[[#This Row],[Order Total]]+Table1[[#This Row],[Shipping Cost]]</f>
        <v>70588</v>
      </c>
    </row>
    <row r="699" spans="1:26" ht="15.75" customHeight="1" x14ac:dyDescent="0.3">
      <c r="A699" s="9" t="s">
        <v>1517</v>
      </c>
      <c r="B699" s="18">
        <v>43498</v>
      </c>
      <c r="C699" s="10">
        <f>YEAR(Table1[[#This Row],[Order Date]])</f>
        <v>2019</v>
      </c>
      <c r="D699" s="10" t="s">
        <v>1518</v>
      </c>
      <c r="E699" s="10" t="s">
        <v>1102</v>
      </c>
      <c r="F699" s="10" t="s">
        <v>71</v>
      </c>
      <c r="G699" s="10" t="s">
        <v>72</v>
      </c>
      <c r="H699" s="10" t="s">
        <v>73</v>
      </c>
      <c r="I699" s="10" t="str">
        <f>VLOOKUP(Table1[[#This Row],[Account Manager ID]],Table2[[Employee ID]:[Full Name]],4,FALSE)</f>
        <v>Cinthia Gunawan</v>
      </c>
      <c r="J699" s="10" t="str">
        <f>INDEX(Employee!$D$4:$D$47,MATCH($H$4:$H$1003,Employee!$A$4:$A$47,0))</f>
        <v>Cinthia Gunawan</v>
      </c>
      <c r="K699" s="10" t="s">
        <v>57</v>
      </c>
      <c r="L699" s="10" t="s">
        <v>265</v>
      </c>
      <c r="M699" s="10" t="s">
        <v>59</v>
      </c>
      <c r="N699" s="10" t="s">
        <v>60</v>
      </c>
      <c r="O699" s="10" t="s">
        <v>61</v>
      </c>
      <c r="P699" s="10">
        <v>43500</v>
      </c>
      <c r="Q699" s="15">
        <v>17700</v>
      </c>
      <c r="R699" s="15">
        <v>28200</v>
      </c>
      <c r="S699" s="15">
        <f>Table1[[#This Row],[Retail Price]]-Table1[[#This Row],[Cost Price]]</f>
        <v>10500</v>
      </c>
      <c r="T699" s="10">
        <v>6</v>
      </c>
      <c r="U699" s="15">
        <f>Table1[[#This Row],[Profit Margin]]*Table1[[#This Row],[Order Quantity]]</f>
        <v>63000</v>
      </c>
      <c r="V699" s="11">
        <v>7.0000000000000007E-2</v>
      </c>
      <c r="W699" s="15">
        <f t="shared" si="10"/>
        <v>4410</v>
      </c>
      <c r="X699" s="15">
        <f>Table1[[#This Row],[Sub Total]]-Table1[[#This Row],[Discount Rp]]</f>
        <v>58590</v>
      </c>
      <c r="Y699" s="15">
        <f ca="1">OFFSET(Helper!$C$3,MATCH(Data!$N$4:$N$1003,Helper!$C$4:$C$9,0),MATCH(Data!$O$4:$O$1003,Helper!$D$3:$F$3,0))</f>
        <v>15000</v>
      </c>
      <c r="Z699" s="16">
        <f ca="1">Table1[[#This Row],[Order Total]]+Table1[[#This Row],[Shipping Cost]]</f>
        <v>73590</v>
      </c>
    </row>
    <row r="700" spans="1:26" ht="15.75" customHeight="1" x14ac:dyDescent="0.3">
      <c r="A700" s="9" t="s">
        <v>1519</v>
      </c>
      <c r="B700" s="18">
        <v>43501</v>
      </c>
      <c r="C700" s="10">
        <f>YEAR(Table1[[#This Row],[Order Date]])</f>
        <v>2019</v>
      </c>
      <c r="D700" s="10" t="s">
        <v>1422</v>
      </c>
      <c r="E700" s="10" t="s">
        <v>319</v>
      </c>
      <c r="F700" s="10" t="s">
        <v>54</v>
      </c>
      <c r="G700" s="10" t="s">
        <v>87</v>
      </c>
      <c r="H700" s="10" t="s">
        <v>56</v>
      </c>
      <c r="I700" s="10" t="str">
        <f>VLOOKUP(Table1[[#This Row],[Account Manager ID]],Table2[[Employee ID]:[Full Name]],4,FALSE)</f>
        <v>Gaduh Pratama</v>
      </c>
      <c r="J700" s="10" t="str">
        <f>INDEX(Employee!$D$4:$D$47,MATCH($H$4:$H$1003,Employee!$A$4:$A$47,0))</f>
        <v>Gaduh Pratama</v>
      </c>
      <c r="K700" s="10" t="s">
        <v>74</v>
      </c>
      <c r="L700" s="10" t="s">
        <v>588</v>
      </c>
      <c r="M700" s="10" t="s">
        <v>59</v>
      </c>
      <c r="N700" s="10" t="s">
        <v>60</v>
      </c>
      <c r="O700" s="10" t="s">
        <v>61</v>
      </c>
      <c r="P700" s="10">
        <v>43503</v>
      </c>
      <c r="Q700" s="15">
        <v>67950</v>
      </c>
      <c r="R700" s="15">
        <v>109500</v>
      </c>
      <c r="S700" s="15">
        <f>Table1[[#This Row],[Retail Price]]-Table1[[#This Row],[Cost Price]]</f>
        <v>41550</v>
      </c>
      <c r="T700" s="10">
        <v>34</v>
      </c>
      <c r="U700" s="15">
        <f>Table1[[#This Row],[Profit Margin]]*Table1[[#This Row],[Order Quantity]]</f>
        <v>1412700</v>
      </c>
      <c r="V700" s="11">
        <v>0.03</v>
      </c>
      <c r="W700" s="15">
        <f t="shared" si="10"/>
        <v>42381</v>
      </c>
      <c r="X700" s="15">
        <f>Table1[[#This Row],[Sub Total]]-Table1[[#This Row],[Discount Rp]]</f>
        <v>1370319</v>
      </c>
      <c r="Y700" s="15">
        <f ca="1">OFFSET(Helper!$C$3,MATCH(Data!$N$4:$N$1003,Helper!$C$4:$C$9,0),MATCH(Data!$O$4:$O$1003,Helper!$D$3:$F$3,0))</f>
        <v>15000</v>
      </c>
      <c r="Z700" s="16">
        <f ca="1">Table1[[#This Row],[Order Total]]+Table1[[#This Row],[Shipping Cost]]</f>
        <v>1385319</v>
      </c>
    </row>
    <row r="701" spans="1:26" ht="15.75" customHeight="1" x14ac:dyDescent="0.3">
      <c r="A701" s="9" t="s">
        <v>1520</v>
      </c>
      <c r="B701" s="18">
        <v>43501</v>
      </c>
      <c r="C701" s="10">
        <f>YEAR(Table1[[#This Row],[Order Date]])</f>
        <v>2019</v>
      </c>
      <c r="D701" s="10" t="s">
        <v>1521</v>
      </c>
      <c r="E701" s="10" t="s">
        <v>237</v>
      </c>
      <c r="F701" s="10" t="s">
        <v>71</v>
      </c>
      <c r="G701" s="10" t="s">
        <v>106</v>
      </c>
      <c r="H701" s="10" t="s">
        <v>112</v>
      </c>
      <c r="I701" s="10" t="str">
        <f>VLOOKUP(Table1[[#This Row],[Account Manager ID]],Table2[[Employee ID]:[Full Name]],4,FALSE)</f>
        <v>Paiman Firgantoro</v>
      </c>
      <c r="J701" s="10" t="str">
        <f>INDEX(Employee!$D$4:$D$47,MATCH($H$4:$H$1003,Employee!$A$4:$A$47,0))</f>
        <v>Paiman Firgantoro</v>
      </c>
      <c r="K701" s="10" t="s">
        <v>57</v>
      </c>
      <c r="L701" s="10" t="s">
        <v>284</v>
      </c>
      <c r="M701" s="10" t="s">
        <v>59</v>
      </c>
      <c r="N701" s="10" t="s">
        <v>60</v>
      </c>
      <c r="O701" s="10" t="s">
        <v>61</v>
      </c>
      <c r="P701" s="10">
        <v>43503</v>
      </c>
      <c r="Q701" s="15">
        <v>33750</v>
      </c>
      <c r="R701" s="15">
        <v>55350</v>
      </c>
      <c r="S701" s="15">
        <f>Table1[[#This Row],[Retail Price]]-Table1[[#This Row],[Cost Price]]</f>
        <v>21600</v>
      </c>
      <c r="T701" s="10">
        <v>47</v>
      </c>
      <c r="U701" s="15">
        <f>Table1[[#This Row],[Profit Margin]]*Table1[[#This Row],[Order Quantity]]</f>
        <v>1015200</v>
      </c>
      <c r="V701" s="11">
        <v>0</v>
      </c>
      <c r="W701" s="15">
        <f t="shared" si="10"/>
        <v>0</v>
      </c>
      <c r="X701" s="15">
        <f>Table1[[#This Row],[Sub Total]]-Table1[[#This Row],[Discount Rp]]</f>
        <v>1015200</v>
      </c>
      <c r="Y701" s="15">
        <f ca="1">OFFSET(Helper!$C$3,MATCH(Data!$N$4:$N$1003,Helper!$C$4:$C$9,0),MATCH(Data!$O$4:$O$1003,Helper!$D$3:$F$3,0))</f>
        <v>15000</v>
      </c>
      <c r="Z701" s="16">
        <f ca="1">Table1[[#This Row],[Order Total]]+Table1[[#This Row],[Shipping Cost]]</f>
        <v>1030200</v>
      </c>
    </row>
    <row r="702" spans="1:26" ht="15.75" customHeight="1" x14ac:dyDescent="0.3">
      <c r="A702" s="9" t="s">
        <v>1522</v>
      </c>
      <c r="B702" s="18">
        <v>43505</v>
      </c>
      <c r="C702" s="10">
        <f>YEAR(Table1[[#This Row],[Order Date]])</f>
        <v>2019</v>
      </c>
      <c r="D702" s="10" t="s">
        <v>199</v>
      </c>
      <c r="E702" s="10" t="s">
        <v>79</v>
      </c>
      <c r="F702" s="10" t="s">
        <v>54</v>
      </c>
      <c r="G702" s="10" t="s">
        <v>72</v>
      </c>
      <c r="H702" s="10" t="s">
        <v>56</v>
      </c>
      <c r="I702" s="10" t="str">
        <f>VLOOKUP(Table1[[#This Row],[Account Manager ID]],Table2[[Employee ID]:[Full Name]],4,FALSE)</f>
        <v>Gaduh Pratama</v>
      </c>
      <c r="J702" s="10" t="str">
        <f>INDEX(Employee!$D$4:$D$47,MATCH($H$4:$H$1003,Employee!$A$4:$A$47,0))</f>
        <v>Gaduh Pratama</v>
      </c>
      <c r="K702" s="10" t="s">
        <v>107</v>
      </c>
      <c r="L702" s="10" t="s">
        <v>359</v>
      </c>
      <c r="M702" s="10" t="s">
        <v>81</v>
      </c>
      <c r="N702" s="10" t="s">
        <v>227</v>
      </c>
      <c r="O702" s="10" t="s">
        <v>61</v>
      </c>
      <c r="P702" s="10">
        <v>43507</v>
      </c>
      <c r="Q702" s="15">
        <v>118800</v>
      </c>
      <c r="R702" s="15">
        <v>194850</v>
      </c>
      <c r="S702" s="15">
        <f>Table1[[#This Row],[Retail Price]]-Table1[[#This Row],[Cost Price]]</f>
        <v>76050</v>
      </c>
      <c r="T702" s="10">
        <v>46</v>
      </c>
      <c r="U702" s="15">
        <f>Table1[[#This Row],[Profit Margin]]*Table1[[#This Row],[Order Quantity]]</f>
        <v>3498300</v>
      </c>
      <c r="V702" s="11">
        <v>0.01</v>
      </c>
      <c r="W702" s="15">
        <f t="shared" si="10"/>
        <v>34983</v>
      </c>
      <c r="X702" s="15">
        <f>Table1[[#This Row],[Sub Total]]-Table1[[#This Row],[Discount Rp]]</f>
        <v>3463317</v>
      </c>
      <c r="Y702" s="15">
        <f ca="1">OFFSET(Helper!$C$3,MATCH(Data!$N$4:$N$1003,Helper!$C$4:$C$9,0),MATCH(Data!$O$4:$O$1003,Helper!$D$3:$F$3,0))</f>
        <v>20000</v>
      </c>
      <c r="Z702" s="16">
        <f ca="1">Table1[[#This Row],[Order Total]]+Table1[[#This Row],[Shipping Cost]]</f>
        <v>3483317</v>
      </c>
    </row>
    <row r="703" spans="1:26" ht="15.75" customHeight="1" x14ac:dyDescent="0.3">
      <c r="A703" s="9" t="s">
        <v>1523</v>
      </c>
      <c r="B703" s="18">
        <v>43508</v>
      </c>
      <c r="C703" s="10">
        <f>YEAR(Table1[[#This Row],[Order Date]])</f>
        <v>2019</v>
      </c>
      <c r="D703" s="10" t="s">
        <v>1524</v>
      </c>
      <c r="E703" s="10" t="s">
        <v>387</v>
      </c>
      <c r="F703" s="10" t="s">
        <v>71</v>
      </c>
      <c r="G703" s="10" t="s">
        <v>55</v>
      </c>
      <c r="H703" s="10" t="s">
        <v>194</v>
      </c>
      <c r="I703" s="10" t="str">
        <f>VLOOKUP(Table1[[#This Row],[Account Manager ID]],Table2[[Employee ID]:[Full Name]],4,FALSE)</f>
        <v>Nabila Prakasa</v>
      </c>
      <c r="J703" s="10" t="str">
        <f>INDEX(Employee!$D$4:$D$47,MATCH($H$4:$H$1003,Employee!$A$4:$A$47,0))</f>
        <v>Nabila Prakasa</v>
      </c>
      <c r="K703" s="10" t="s">
        <v>57</v>
      </c>
      <c r="L703" s="10" t="s">
        <v>320</v>
      </c>
      <c r="M703" s="10" t="s">
        <v>59</v>
      </c>
      <c r="N703" s="10" t="s">
        <v>60</v>
      </c>
      <c r="O703" s="10" t="s">
        <v>61</v>
      </c>
      <c r="P703" s="10">
        <v>43508</v>
      </c>
      <c r="Q703" s="15">
        <v>2682450</v>
      </c>
      <c r="R703" s="15">
        <v>6238200</v>
      </c>
      <c r="S703" s="15">
        <f>Table1[[#This Row],[Retail Price]]-Table1[[#This Row],[Cost Price]]</f>
        <v>3555750</v>
      </c>
      <c r="T703" s="10">
        <v>21</v>
      </c>
      <c r="U703" s="15">
        <f>Table1[[#This Row],[Profit Margin]]*Table1[[#This Row],[Order Quantity]]</f>
        <v>74670750</v>
      </c>
      <c r="V703" s="11">
        <v>0.09</v>
      </c>
      <c r="W703" s="15">
        <f t="shared" si="10"/>
        <v>6720367.5</v>
      </c>
      <c r="X703" s="15">
        <f>Table1[[#This Row],[Sub Total]]-Table1[[#This Row],[Discount Rp]]</f>
        <v>67950382.5</v>
      </c>
      <c r="Y703" s="15">
        <f ca="1">OFFSET(Helper!$C$3,MATCH(Data!$N$4:$N$1003,Helper!$C$4:$C$9,0),MATCH(Data!$O$4:$O$1003,Helper!$D$3:$F$3,0))</f>
        <v>15000</v>
      </c>
      <c r="Z703" s="16">
        <f ca="1">Table1[[#This Row],[Order Total]]+Table1[[#This Row],[Shipping Cost]]</f>
        <v>67965382.5</v>
      </c>
    </row>
    <row r="704" spans="1:26" ht="15.75" customHeight="1" x14ac:dyDescent="0.3">
      <c r="A704" s="9" t="s">
        <v>1525</v>
      </c>
      <c r="B704" s="18">
        <v>43508</v>
      </c>
      <c r="C704" s="10">
        <f>YEAR(Table1[[#This Row],[Order Date]])</f>
        <v>2019</v>
      </c>
      <c r="D704" s="10" t="s">
        <v>1526</v>
      </c>
      <c r="E704" s="10" t="s">
        <v>1119</v>
      </c>
      <c r="F704" s="10" t="s">
        <v>71</v>
      </c>
      <c r="G704" s="10" t="s">
        <v>72</v>
      </c>
      <c r="H704" s="10" t="s">
        <v>185</v>
      </c>
      <c r="I704" s="10" t="str">
        <f>VLOOKUP(Table1[[#This Row],[Account Manager ID]],Table2[[Employee ID]:[Full Name]],4,FALSE)</f>
        <v>Clara Prasetyo</v>
      </c>
      <c r="J704" s="10" t="str">
        <f>INDEX(Employee!$D$4:$D$47,MATCH($H$4:$H$1003,Employee!$A$4:$A$47,0))</f>
        <v>Clara Prasetyo</v>
      </c>
      <c r="K704" s="10" t="s">
        <v>57</v>
      </c>
      <c r="L704" s="10" t="s">
        <v>276</v>
      </c>
      <c r="M704" s="10" t="s">
        <v>81</v>
      </c>
      <c r="N704" s="10" t="s">
        <v>60</v>
      </c>
      <c r="O704" s="10" t="s">
        <v>61</v>
      </c>
      <c r="P704" s="10">
        <v>43509</v>
      </c>
      <c r="Q704" s="15">
        <v>2347500</v>
      </c>
      <c r="R704" s="15">
        <v>4514550</v>
      </c>
      <c r="S704" s="15">
        <f>Table1[[#This Row],[Retail Price]]-Table1[[#This Row],[Cost Price]]</f>
        <v>2167050</v>
      </c>
      <c r="T704" s="10">
        <v>23</v>
      </c>
      <c r="U704" s="15">
        <f>Table1[[#This Row],[Profit Margin]]*Table1[[#This Row],[Order Quantity]]</f>
        <v>49842150</v>
      </c>
      <c r="V704" s="11">
        <v>0.06</v>
      </c>
      <c r="W704" s="15">
        <f t="shared" si="10"/>
        <v>2990529</v>
      </c>
      <c r="X704" s="15">
        <f>Table1[[#This Row],[Sub Total]]-Table1[[#This Row],[Discount Rp]]</f>
        <v>46851621</v>
      </c>
      <c r="Y704" s="15">
        <f ca="1">OFFSET(Helper!$C$3,MATCH(Data!$N$4:$N$1003,Helper!$C$4:$C$9,0),MATCH(Data!$O$4:$O$1003,Helper!$D$3:$F$3,0))</f>
        <v>15000</v>
      </c>
      <c r="Z704" s="16">
        <f ca="1">Table1[[#This Row],[Order Total]]+Table1[[#This Row],[Shipping Cost]]</f>
        <v>46866621</v>
      </c>
    </row>
    <row r="705" spans="1:26" ht="15.75" customHeight="1" x14ac:dyDescent="0.3">
      <c r="A705" s="9" t="s">
        <v>1527</v>
      </c>
      <c r="B705" s="18">
        <v>43509</v>
      </c>
      <c r="C705" s="10">
        <f>YEAR(Table1[[#This Row],[Order Date]])</f>
        <v>2019</v>
      </c>
      <c r="D705" s="10" t="s">
        <v>1509</v>
      </c>
      <c r="E705" s="10" t="s">
        <v>1510</v>
      </c>
      <c r="F705" s="10" t="s">
        <v>71</v>
      </c>
      <c r="G705" s="10" t="s">
        <v>106</v>
      </c>
      <c r="H705" s="10" t="s">
        <v>194</v>
      </c>
      <c r="I705" s="10" t="str">
        <f>VLOOKUP(Table1[[#This Row],[Account Manager ID]],Table2[[Employee ID]:[Full Name]],4,FALSE)</f>
        <v>Nabila Prakasa</v>
      </c>
      <c r="J705" s="10" t="str">
        <f>INDEX(Employee!$D$4:$D$47,MATCH($H$4:$H$1003,Employee!$A$4:$A$47,0))</f>
        <v>Nabila Prakasa</v>
      </c>
      <c r="K705" s="10" t="s">
        <v>92</v>
      </c>
      <c r="L705" s="10" t="s">
        <v>66</v>
      </c>
      <c r="M705" s="10" t="s">
        <v>59</v>
      </c>
      <c r="N705" s="10" t="s">
        <v>67</v>
      </c>
      <c r="O705" s="10" t="s">
        <v>61</v>
      </c>
      <c r="P705" s="10">
        <v>43511</v>
      </c>
      <c r="Q705" s="15">
        <v>35850</v>
      </c>
      <c r="R705" s="15">
        <v>63900</v>
      </c>
      <c r="S705" s="15">
        <f>Table1[[#This Row],[Retail Price]]-Table1[[#This Row],[Cost Price]]</f>
        <v>28050</v>
      </c>
      <c r="T705" s="10">
        <v>47</v>
      </c>
      <c r="U705" s="15">
        <f>Table1[[#This Row],[Profit Margin]]*Table1[[#This Row],[Order Quantity]]</f>
        <v>1318350</v>
      </c>
      <c r="V705" s="11">
        <v>7.0000000000000007E-2</v>
      </c>
      <c r="W705" s="15">
        <f t="shared" si="10"/>
        <v>92284.500000000015</v>
      </c>
      <c r="X705" s="15">
        <f>Table1[[#This Row],[Sub Total]]-Table1[[#This Row],[Discount Rp]]</f>
        <v>1226065.5</v>
      </c>
      <c r="Y705" s="15">
        <f ca="1">OFFSET(Helper!$C$3,MATCH(Data!$N$4:$N$1003,Helper!$C$4:$C$9,0),MATCH(Data!$O$4:$O$1003,Helper!$D$3:$F$3,0))</f>
        <v>5000</v>
      </c>
      <c r="Z705" s="16">
        <f ca="1">Table1[[#This Row],[Order Total]]+Table1[[#This Row],[Shipping Cost]]</f>
        <v>1231065.5</v>
      </c>
    </row>
    <row r="706" spans="1:26" ht="15.75" customHeight="1" x14ac:dyDescent="0.3">
      <c r="A706" s="9" t="s">
        <v>1528</v>
      </c>
      <c r="B706" s="18">
        <v>43509</v>
      </c>
      <c r="C706" s="10">
        <f>YEAR(Table1[[#This Row],[Order Date]])</f>
        <v>2019</v>
      </c>
      <c r="D706" s="10" t="s">
        <v>1509</v>
      </c>
      <c r="E706" s="10" t="s">
        <v>1510</v>
      </c>
      <c r="F706" s="10" t="s">
        <v>71</v>
      </c>
      <c r="G706" s="10" t="s">
        <v>106</v>
      </c>
      <c r="H706" s="10" t="s">
        <v>194</v>
      </c>
      <c r="I706" s="10" t="str">
        <f>VLOOKUP(Table1[[#This Row],[Account Manager ID]],Table2[[Employee ID]:[Full Name]],4,FALSE)</f>
        <v>Nabila Prakasa</v>
      </c>
      <c r="J706" s="10" t="str">
        <f>INDEX(Employee!$D$4:$D$47,MATCH($H$4:$H$1003,Employee!$A$4:$A$47,0))</f>
        <v>Nabila Prakasa</v>
      </c>
      <c r="K706" s="10" t="s">
        <v>92</v>
      </c>
      <c r="L706" s="10" t="s">
        <v>147</v>
      </c>
      <c r="M706" s="10" t="s">
        <v>59</v>
      </c>
      <c r="N706" s="10" t="s">
        <v>67</v>
      </c>
      <c r="O706" s="10" t="s">
        <v>61</v>
      </c>
      <c r="P706" s="10">
        <v>43514</v>
      </c>
      <c r="Q706" s="15">
        <v>19500</v>
      </c>
      <c r="R706" s="15">
        <v>43200</v>
      </c>
      <c r="S706" s="15">
        <f>Table1[[#This Row],[Retail Price]]-Table1[[#This Row],[Cost Price]]</f>
        <v>23700</v>
      </c>
      <c r="T706" s="10">
        <v>17</v>
      </c>
      <c r="U706" s="15">
        <f>Table1[[#This Row],[Profit Margin]]*Table1[[#This Row],[Order Quantity]]</f>
        <v>402900</v>
      </c>
      <c r="V706" s="11">
        <v>0.09</v>
      </c>
      <c r="W706" s="15">
        <f t="shared" si="10"/>
        <v>36261</v>
      </c>
      <c r="X706" s="15">
        <f>Table1[[#This Row],[Sub Total]]-Table1[[#This Row],[Discount Rp]]</f>
        <v>366639</v>
      </c>
      <c r="Y706" s="15">
        <f ca="1">OFFSET(Helper!$C$3,MATCH(Data!$N$4:$N$1003,Helper!$C$4:$C$9,0),MATCH(Data!$O$4:$O$1003,Helper!$D$3:$F$3,0))</f>
        <v>5000</v>
      </c>
      <c r="Z706" s="16">
        <f ca="1">Table1[[#This Row],[Order Total]]+Table1[[#This Row],[Shipping Cost]]</f>
        <v>371639</v>
      </c>
    </row>
    <row r="707" spans="1:26" ht="15.75" customHeight="1" x14ac:dyDescent="0.3">
      <c r="A707" s="9" t="s">
        <v>1529</v>
      </c>
      <c r="B707" s="18">
        <v>43514</v>
      </c>
      <c r="C707" s="10">
        <f>YEAR(Table1[[#This Row],[Order Date]])</f>
        <v>2019</v>
      </c>
      <c r="D707" s="10" t="s">
        <v>1530</v>
      </c>
      <c r="E707" s="10" t="s">
        <v>169</v>
      </c>
      <c r="F707" s="10" t="s">
        <v>54</v>
      </c>
      <c r="G707" s="10" t="s">
        <v>72</v>
      </c>
      <c r="H707" s="10" t="s">
        <v>65</v>
      </c>
      <c r="I707" s="10" t="str">
        <f>VLOOKUP(Table1[[#This Row],[Account Manager ID]],Table2[[Employee ID]:[Full Name]],4,FALSE)</f>
        <v>Laras Nuraini</v>
      </c>
      <c r="J707" s="10" t="str">
        <f>INDEX(Employee!$D$4:$D$47,MATCH($H$4:$H$1003,Employee!$A$4:$A$47,0))</f>
        <v>Laras Nuraini</v>
      </c>
      <c r="K707" s="10" t="s">
        <v>57</v>
      </c>
      <c r="L707" s="10" t="s">
        <v>942</v>
      </c>
      <c r="M707" s="10" t="s">
        <v>81</v>
      </c>
      <c r="N707" s="10" t="s">
        <v>60</v>
      </c>
      <c r="O707" s="10" t="s">
        <v>76</v>
      </c>
      <c r="P707" s="10">
        <v>43514</v>
      </c>
      <c r="Q707" s="15">
        <v>220500</v>
      </c>
      <c r="R707" s="15">
        <v>449850</v>
      </c>
      <c r="S707" s="15">
        <f>Table1[[#This Row],[Retail Price]]-Table1[[#This Row],[Cost Price]]</f>
        <v>229350</v>
      </c>
      <c r="T707" s="10">
        <v>20</v>
      </c>
      <c r="U707" s="15">
        <f>Table1[[#This Row],[Profit Margin]]*Table1[[#This Row],[Order Quantity]]</f>
        <v>4587000</v>
      </c>
      <c r="V707" s="11">
        <v>0.04</v>
      </c>
      <c r="W707" s="15">
        <f t="shared" si="10"/>
        <v>183480</v>
      </c>
      <c r="X707" s="15">
        <f>Table1[[#This Row],[Sub Total]]-Table1[[#This Row],[Discount Rp]]</f>
        <v>4403520</v>
      </c>
      <c r="Y707" s="15">
        <f ca="1">OFFSET(Helper!$C$3,MATCH(Data!$N$4:$N$1003,Helper!$C$4:$C$9,0),MATCH(Data!$O$4:$O$1003,Helper!$D$3:$F$3,0))</f>
        <v>30000</v>
      </c>
      <c r="Z707" s="16">
        <f ca="1">Table1[[#This Row],[Order Total]]+Table1[[#This Row],[Shipping Cost]]</f>
        <v>4433520</v>
      </c>
    </row>
    <row r="708" spans="1:26" ht="15.75" customHeight="1" x14ac:dyDescent="0.3">
      <c r="A708" s="9" t="s">
        <v>1531</v>
      </c>
      <c r="B708" s="18">
        <v>43514</v>
      </c>
      <c r="C708" s="10">
        <f>YEAR(Table1[[#This Row],[Order Date]])</f>
        <v>2019</v>
      </c>
      <c r="D708" s="10" t="s">
        <v>361</v>
      </c>
      <c r="E708" s="10" t="s">
        <v>193</v>
      </c>
      <c r="F708" s="10" t="s">
        <v>71</v>
      </c>
      <c r="G708" s="10" t="s">
        <v>106</v>
      </c>
      <c r="H708" s="10" t="s">
        <v>194</v>
      </c>
      <c r="I708" s="10" t="str">
        <f>VLOOKUP(Table1[[#This Row],[Account Manager ID]],Table2[[Employee ID]:[Full Name]],4,FALSE)</f>
        <v>Nabila Prakasa</v>
      </c>
      <c r="J708" s="10" t="str">
        <f>INDEX(Employee!$D$4:$D$47,MATCH($H$4:$H$1003,Employee!$A$4:$A$47,0))</f>
        <v>Nabila Prakasa</v>
      </c>
      <c r="K708" s="10" t="s">
        <v>92</v>
      </c>
      <c r="L708" s="10" t="s">
        <v>108</v>
      </c>
      <c r="M708" s="10" t="s">
        <v>59</v>
      </c>
      <c r="N708" s="10" t="s">
        <v>60</v>
      </c>
      <c r="O708" s="10" t="s">
        <v>61</v>
      </c>
      <c r="P708" s="10">
        <v>43521</v>
      </c>
      <c r="Q708" s="15">
        <v>814350</v>
      </c>
      <c r="R708" s="15">
        <v>1357200</v>
      </c>
      <c r="S708" s="15">
        <f>Table1[[#This Row],[Retail Price]]-Table1[[#This Row],[Cost Price]]</f>
        <v>542850</v>
      </c>
      <c r="T708" s="10">
        <v>49</v>
      </c>
      <c r="U708" s="15">
        <f>Table1[[#This Row],[Profit Margin]]*Table1[[#This Row],[Order Quantity]]</f>
        <v>26599650</v>
      </c>
      <c r="V708" s="11">
        <v>0.05</v>
      </c>
      <c r="W708" s="15">
        <f t="shared" ref="W708:W771" si="11">V708*U708</f>
        <v>1329982.5</v>
      </c>
      <c r="X708" s="15">
        <f>Table1[[#This Row],[Sub Total]]-Table1[[#This Row],[Discount Rp]]</f>
        <v>25269667.5</v>
      </c>
      <c r="Y708" s="15">
        <f ca="1">OFFSET(Helper!$C$3,MATCH(Data!$N$4:$N$1003,Helper!$C$4:$C$9,0),MATCH(Data!$O$4:$O$1003,Helper!$D$3:$F$3,0))</f>
        <v>15000</v>
      </c>
      <c r="Z708" s="16">
        <f ca="1">Table1[[#This Row],[Order Total]]+Table1[[#This Row],[Shipping Cost]]</f>
        <v>25284667.5</v>
      </c>
    </row>
    <row r="709" spans="1:26" ht="15.75" customHeight="1" x14ac:dyDescent="0.3">
      <c r="A709" s="9" t="s">
        <v>1532</v>
      </c>
      <c r="B709" s="18">
        <v>43515</v>
      </c>
      <c r="C709" s="10">
        <f>YEAR(Table1[[#This Row],[Order Date]])</f>
        <v>2019</v>
      </c>
      <c r="D709" s="10" t="s">
        <v>1313</v>
      </c>
      <c r="E709" s="10" t="s">
        <v>172</v>
      </c>
      <c r="F709" s="10" t="s">
        <v>54</v>
      </c>
      <c r="G709" s="10" t="s">
        <v>72</v>
      </c>
      <c r="H709" s="10" t="s">
        <v>65</v>
      </c>
      <c r="I709" s="10" t="str">
        <f>VLOOKUP(Table1[[#This Row],[Account Manager ID]],Table2[[Employee ID]:[Full Name]],4,FALSE)</f>
        <v>Laras Nuraini</v>
      </c>
      <c r="J709" s="10" t="str">
        <f>INDEX(Employee!$D$4:$D$47,MATCH($H$4:$H$1003,Employee!$A$4:$A$47,0))</f>
        <v>Laras Nuraini</v>
      </c>
      <c r="K709" s="10" t="s">
        <v>74</v>
      </c>
      <c r="L709" s="10" t="s">
        <v>212</v>
      </c>
      <c r="M709" s="10" t="s">
        <v>59</v>
      </c>
      <c r="N709" s="10" t="s">
        <v>67</v>
      </c>
      <c r="O709" s="10" t="s">
        <v>61</v>
      </c>
      <c r="P709" s="10">
        <v>43516</v>
      </c>
      <c r="Q709" s="15">
        <v>52050</v>
      </c>
      <c r="R709" s="15">
        <v>100200</v>
      </c>
      <c r="S709" s="15">
        <f>Table1[[#This Row],[Retail Price]]-Table1[[#This Row],[Cost Price]]</f>
        <v>48150</v>
      </c>
      <c r="T709" s="10">
        <v>12</v>
      </c>
      <c r="U709" s="15">
        <f>Table1[[#This Row],[Profit Margin]]*Table1[[#This Row],[Order Quantity]]</f>
        <v>577800</v>
      </c>
      <c r="V709" s="11">
        <v>0.06</v>
      </c>
      <c r="W709" s="15">
        <f t="shared" si="11"/>
        <v>34668</v>
      </c>
      <c r="X709" s="15">
        <f>Table1[[#This Row],[Sub Total]]-Table1[[#This Row],[Discount Rp]]</f>
        <v>543132</v>
      </c>
      <c r="Y709" s="15">
        <f ca="1">OFFSET(Helper!$C$3,MATCH(Data!$N$4:$N$1003,Helper!$C$4:$C$9,0),MATCH(Data!$O$4:$O$1003,Helper!$D$3:$F$3,0))</f>
        <v>5000</v>
      </c>
      <c r="Z709" s="16">
        <f ca="1">Table1[[#This Row],[Order Total]]+Table1[[#This Row],[Shipping Cost]]</f>
        <v>548132</v>
      </c>
    </row>
    <row r="710" spans="1:26" ht="15.75" customHeight="1" x14ac:dyDescent="0.3">
      <c r="A710" s="9" t="s">
        <v>1533</v>
      </c>
      <c r="B710" s="18">
        <v>43518</v>
      </c>
      <c r="C710" s="10">
        <f>YEAR(Table1[[#This Row],[Order Date]])</f>
        <v>2019</v>
      </c>
      <c r="D710" s="10" t="s">
        <v>627</v>
      </c>
      <c r="E710" s="10" t="s">
        <v>628</v>
      </c>
      <c r="F710" s="10" t="s">
        <v>71</v>
      </c>
      <c r="G710" s="10" t="s">
        <v>72</v>
      </c>
      <c r="H710" s="10" t="s">
        <v>304</v>
      </c>
      <c r="I710" s="10" t="str">
        <f>VLOOKUP(Table1[[#This Row],[Account Manager ID]],Table2[[Employee ID]:[Full Name]],4,FALSE)</f>
        <v>Sutan Tirtayasa Wasita</v>
      </c>
      <c r="J710" s="10" t="str">
        <f>INDEX(Employee!$D$4:$D$47,MATCH($H$4:$H$1003,Employee!$A$4:$A$47,0))</f>
        <v>Sutan Tirtayasa Wasita</v>
      </c>
      <c r="K710" s="10" t="s">
        <v>92</v>
      </c>
      <c r="L710" s="10" t="s">
        <v>468</v>
      </c>
      <c r="M710" s="10" t="s">
        <v>59</v>
      </c>
      <c r="N710" s="10" t="s">
        <v>67</v>
      </c>
      <c r="O710" s="10" t="s">
        <v>61</v>
      </c>
      <c r="P710" s="10">
        <v>43522</v>
      </c>
      <c r="Q710" s="15">
        <v>13950</v>
      </c>
      <c r="R710" s="15">
        <v>22200</v>
      </c>
      <c r="S710" s="15">
        <f>Table1[[#This Row],[Retail Price]]-Table1[[#This Row],[Cost Price]]</f>
        <v>8250</v>
      </c>
      <c r="T710" s="10">
        <v>19</v>
      </c>
      <c r="U710" s="15">
        <f>Table1[[#This Row],[Profit Margin]]*Table1[[#This Row],[Order Quantity]]</f>
        <v>156750</v>
      </c>
      <c r="V710" s="11">
        <v>0</v>
      </c>
      <c r="W710" s="15">
        <f t="shared" si="11"/>
        <v>0</v>
      </c>
      <c r="X710" s="15">
        <f>Table1[[#This Row],[Sub Total]]-Table1[[#This Row],[Discount Rp]]</f>
        <v>156750</v>
      </c>
      <c r="Y710" s="15">
        <f ca="1">OFFSET(Helper!$C$3,MATCH(Data!$N$4:$N$1003,Helper!$C$4:$C$9,0),MATCH(Data!$O$4:$O$1003,Helper!$D$3:$F$3,0))</f>
        <v>5000</v>
      </c>
      <c r="Z710" s="16">
        <f ca="1">Table1[[#This Row],[Order Total]]+Table1[[#This Row],[Shipping Cost]]</f>
        <v>161750</v>
      </c>
    </row>
    <row r="711" spans="1:26" ht="15.75" customHeight="1" x14ac:dyDescent="0.3">
      <c r="A711" s="9" t="s">
        <v>1534</v>
      </c>
      <c r="B711" s="18">
        <v>43518</v>
      </c>
      <c r="C711" s="10">
        <f>YEAR(Table1[[#This Row],[Order Date]])</f>
        <v>2019</v>
      </c>
      <c r="D711" s="10" t="s">
        <v>1315</v>
      </c>
      <c r="E711" s="10" t="s">
        <v>572</v>
      </c>
      <c r="F711" s="10" t="s">
        <v>261</v>
      </c>
      <c r="G711" s="10" t="s">
        <v>72</v>
      </c>
      <c r="H711" s="10" t="s">
        <v>146</v>
      </c>
      <c r="I711" s="10" t="str">
        <f>VLOOKUP(Table1[[#This Row],[Account Manager ID]],Table2[[Employee ID]:[Full Name]],4,FALSE)</f>
        <v>Kenari Rajasa</v>
      </c>
      <c r="J711" s="10" t="str">
        <f>INDEX(Employee!$D$4:$D$47,MATCH($H$4:$H$1003,Employee!$A$4:$A$47,0))</f>
        <v>Kenari Rajasa</v>
      </c>
      <c r="K711" s="10" t="s">
        <v>117</v>
      </c>
      <c r="L711" s="10" t="s">
        <v>1003</v>
      </c>
      <c r="M711" s="10" t="s">
        <v>59</v>
      </c>
      <c r="N711" s="10" t="s">
        <v>60</v>
      </c>
      <c r="O711" s="10" t="s">
        <v>61</v>
      </c>
      <c r="P711" s="10">
        <v>43518</v>
      </c>
      <c r="Q711" s="15">
        <v>60450.000000000007</v>
      </c>
      <c r="R711" s="15">
        <v>140700</v>
      </c>
      <c r="S711" s="15">
        <f>Table1[[#This Row],[Retail Price]]-Table1[[#This Row],[Cost Price]]</f>
        <v>80250</v>
      </c>
      <c r="T711" s="10">
        <v>24</v>
      </c>
      <c r="U711" s="15">
        <f>Table1[[#This Row],[Profit Margin]]*Table1[[#This Row],[Order Quantity]]</f>
        <v>1926000</v>
      </c>
      <c r="V711" s="11">
        <v>0.05</v>
      </c>
      <c r="W711" s="15">
        <f t="shared" si="11"/>
        <v>96300</v>
      </c>
      <c r="X711" s="15">
        <f>Table1[[#This Row],[Sub Total]]-Table1[[#This Row],[Discount Rp]]</f>
        <v>1829700</v>
      </c>
      <c r="Y711" s="15">
        <f ca="1">OFFSET(Helper!$C$3,MATCH(Data!$N$4:$N$1003,Helper!$C$4:$C$9,0),MATCH(Data!$O$4:$O$1003,Helper!$D$3:$F$3,0))</f>
        <v>15000</v>
      </c>
      <c r="Z711" s="16">
        <f ca="1">Table1[[#This Row],[Order Total]]+Table1[[#This Row],[Shipping Cost]]</f>
        <v>1844700</v>
      </c>
    </row>
    <row r="712" spans="1:26" ht="15.75" customHeight="1" x14ac:dyDescent="0.3">
      <c r="A712" s="9" t="s">
        <v>1535</v>
      </c>
      <c r="B712" s="18">
        <v>43519</v>
      </c>
      <c r="C712" s="10">
        <f>YEAR(Table1[[#This Row],[Order Date]])</f>
        <v>2019</v>
      </c>
      <c r="D712" s="10" t="s">
        <v>1447</v>
      </c>
      <c r="E712" s="10" t="s">
        <v>1160</v>
      </c>
      <c r="F712" s="10" t="s">
        <v>71</v>
      </c>
      <c r="G712" s="10" t="s">
        <v>55</v>
      </c>
      <c r="H712" s="10" t="s">
        <v>304</v>
      </c>
      <c r="I712" s="10" t="str">
        <f>VLOOKUP(Table1[[#This Row],[Account Manager ID]],Table2[[Employee ID]:[Full Name]],4,FALSE)</f>
        <v>Sutan Tirtayasa Wasita</v>
      </c>
      <c r="J712" s="10" t="str">
        <f>INDEX(Employee!$D$4:$D$47,MATCH($H$4:$H$1003,Employee!$A$4:$A$47,0))</f>
        <v>Sutan Tirtayasa Wasita</v>
      </c>
      <c r="K712" s="10" t="s">
        <v>57</v>
      </c>
      <c r="L712" s="10" t="s">
        <v>181</v>
      </c>
      <c r="M712" s="10" t="s">
        <v>59</v>
      </c>
      <c r="N712" s="10" t="s">
        <v>60</v>
      </c>
      <c r="O712" s="10" t="s">
        <v>61</v>
      </c>
      <c r="P712" s="10">
        <v>43521</v>
      </c>
      <c r="Q712" s="15">
        <v>23850</v>
      </c>
      <c r="R712" s="15">
        <v>39150</v>
      </c>
      <c r="S712" s="15">
        <f>Table1[[#This Row],[Retail Price]]-Table1[[#This Row],[Cost Price]]</f>
        <v>15300</v>
      </c>
      <c r="T712" s="10">
        <v>40</v>
      </c>
      <c r="U712" s="15">
        <f>Table1[[#This Row],[Profit Margin]]*Table1[[#This Row],[Order Quantity]]</f>
        <v>612000</v>
      </c>
      <c r="V712" s="11">
        <v>0.03</v>
      </c>
      <c r="W712" s="15">
        <f t="shared" si="11"/>
        <v>18360</v>
      </c>
      <c r="X712" s="15">
        <f>Table1[[#This Row],[Sub Total]]-Table1[[#This Row],[Discount Rp]]</f>
        <v>593640</v>
      </c>
      <c r="Y712" s="15">
        <f ca="1">OFFSET(Helper!$C$3,MATCH(Data!$N$4:$N$1003,Helper!$C$4:$C$9,0),MATCH(Data!$O$4:$O$1003,Helper!$D$3:$F$3,0))</f>
        <v>15000</v>
      </c>
      <c r="Z712" s="16">
        <f ca="1">Table1[[#This Row],[Order Total]]+Table1[[#This Row],[Shipping Cost]]</f>
        <v>608640</v>
      </c>
    </row>
    <row r="713" spans="1:26" ht="15.75" customHeight="1" x14ac:dyDescent="0.3">
      <c r="A713" s="9" t="s">
        <v>1536</v>
      </c>
      <c r="B713" s="18">
        <v>43520</v>
      </c>
      <c r="C713" s="10">
        <f>YEAR(Table1[[#This Row],[Order Date]])</f>
        <v>2019</v>
      </c>
      <c r="D713" s="10" t="s">
        <v>1162</v>
      </c>
      <c r="E713" s="10" t="s">
        <v>180</v>
      </c>
      <c r="F713" s="10" t="s">
        <v>54</v>
      </c>
      <c r="G713" s="10" t="s">
        <v>106</v>
      </c>
      <c r="H713" s="10" t="s">
        <v>65</v>
      </c>
      <c r="I713" s="10" t="str">
        <f>VLOOKUP(Table1[[#This Row],[Account Manager ID]],Table2[[Employee ID]:[Full Name]],4,FALSE)</f>
        <v>Laras Nuraini</v>
      </c>
      <c r="J713" s="10" t="str">
        <f>INDEX(Employee!$D$4:$D$47,MATCH($H$4:$H$1003,Employee!$A$4:$A$47,0))</f>
        <v>Laras Nuraini</v>
      </c>
      <c r="K713" s="10" t="s">
        <v>107</v>
      </c>
      <c r="L713" s="10" t="s">
        <v>775</v>
      </c>
      <c r="M713" s="10" t="s">
        <v>59</v>
      </c>
      <c r="N713" s="10" t="s">
        <v>136</v>
      </c>
      <c r="O713" s="10" t="s">
        <v>61</v>
      </c>
      <c r="P713" s="10">
        <v>43522</v>
      </c>
      <c r="Q713" s="15">
        <v>62850.000000000007</v>
      </c>
      <c r="R713" s="15">
        <v>153450</v>
      </c>
      <c r="S713" s="15">
        <f>Table1[[#This Row],[Retail Price]]-Table1[[#This Row],[Cost Price]]</f>
        <v>90600</v>
      </c>
      <c r="T713" s="10">
        <v>46</v>
      </c>
      <c r="U713" s="15">
        <f>Table1[[#This Row],[Profit Margin]]*Table1[[#This Row],[Order Quantity]]</f>
        <v>4167600</v>
      </c>
      <c r="V713" s="11">
        <v>0.08</v>
      </c>
      <c r="W713" s="15">
        <f t="shared" si="11"/>
        <v>333408</v>
      </c>
      <c r="X713" s="15">
        <f>Table1[[#This Row],[Sub Total]]-Table1[[#This Row],[Discount Rp]]</f>
        <v>3834192</v>
      </c>
      <c r="Y713" s="15">
        <f ca="1">OFFSET(Helper!$C$3,MATCH(Data!$N$4:$N$1003,Helper!$C$4:$C$9,0),MATCH(Data!$O$4:$O$1003,Helper!$D$3:$F$3,0))</f>
        <v>10000</v>
      </c>
      <c r="Z713" s="16">
        <f ca="1">Table1[[#This Row],[Order Total]]+Table1[[#This Row],[Shipping Cost]]</f>
        <v>3844192</v>
      </c>
    </row>
    <row r="714" spans="1:26" ht="15.75" customHeight="1" x14ac:dyDescent="0.3">
      <c r="A714" s="9" t="s">
        <v>1537</v>
      </c>
      <c r="B714" s="18">
        <v>43523</v>
      </c>
      <c r="C714" s="10">
        <f>YEAR(Table1[[#This Row],[Order Date]])</f>
        <v>2019</v>
      </c>
      <c r="D714" s="10" t="s">
        <v>1538</v>
      </c>
      <c r="E714" s="10" t="s">
        <v>1539</v>
      </c>
      <c r="F714" s="10" t="s">
        <v>54</v>
      </c>
      <c r="G714" s="10" t="s">
        <v>72</v>
      </c>
      <c r="H714" s="10" t="s">
        <v>56</v>
      </c>
      <c r="I714" s="10" t="str">
        <f>VLOOKUP(Table1[[#This Row],[Account Manager ID]],Table2[[Employee ID]:[Full Name]],4,FALSE)</f>
        <v>Gaduh Pratama</v>
      </c>
      <c r="J714" s="10" t="str">
        <f>INDEX(Employee!$D$4:$D$47,MATCH($H$4:$H$1003,Employee!$A$4:$A$47,0))</f>
        <v>Gaduh Pratama</v>
      </c>
      <c r="K714" s="10" t="s">
        <v>92</v>
      </c>
      <c r="L714" s="10" t="s">
        <v>1540</v>
      </c>
      <c r="M714" s="10" t="s">
        <v>59</v>
      </c>
      <c r="N714" s="10" t="s">
        <v>67</v>
      </c>
      <c r="O714" s="10" t="s">
        <v>61</v>
      </c>
      <c r="P714" s="10">
        <v>43532</v>
      </c>
      <c r="Q714" s="15">
        <v>59250</v>
      </c>
      <c r="R714" s="15">
        <v>91200</v>
      </c>
      <c r="S714" s="15">
        <f>Table1[[#This Row],[Retail Price]]-Table1[[#This Row],[Cost Price]]</f>
        <v>31950</v>
      </c>
      <c r="T714" s="10">
        <v>41</v>
      </c>
      <c r="U714" s="15">
        <f>Table1[[#This Row],[Profit Margin]]*Table1[[#This Row],[Order Quantity]]</f>
        <v>1309950</v>
      </c>
      <c r="V714" s="11">
        <v>0.03</v>
      </c>
      <c r="W714" s="15">
        <f t="shared" si="11"/>
        <v>39298.5</v>
      </c>
      <c r="X714" s="15">
        <f>Table1[[#This Row],[Sub Total]]-Table1[[#This Row],[Discount Rp]]</f>
        <v>1270651.5</v>
      </c>
      <c r="Y714" s="15">
        <f ca="1">OFFSET(Helper!$C$3,MATCH(Data!$N$4:$N$1003,Helper!$C$4:$C$9,0),MATCH(Data!$O$4:$O$1003,Helper!$D$3:$F$3,0))</f>
        <v>5000</v>
      </c>
      <c r="Z714" s="16">
        <f ca="1">Table1[[#This Row],[Order Total]]+Table1[[#This Row],[Shipping Cost]]</f>
        <v>1275651.5</v>
      </c>
    </row>
    <row r="715" spans="1:26" ht="15.75" customHeight="1" x14ac:dyDescent="0.3">
      <c r="A715" s="9" t="s">
        <v>1541</v>
      </c>
      <c r="B715" s="18">
        <v>43524</v>
      </c>
      <c r="C715" s="10">
        <f>YEAR(Table1[[#This Row],[Order Date]])</f>
        <v>2019</v>
      </c>
      <c r="D715" s="10" t="s">
        <v>240</v>
      </c>
      <c r="E715" s="10" t="s">
        <v>241</v>
      </c>
      <c r="F715" s="10" t="s">
        <v>71</v>
      </c>
      <c r="G715" s="10" t="s">
        <v>87</v>
      </c>
      <c r="H715" s="10" t="s">
        <v>146</v>
      </c>
      <c r="I715" s="10" t="str">
        <f>VLOOKUP(Table1[[#This Row],[Account Manager ID]],Table2[[Employee ID]:[Full Name]],4,FALSE)</f>
        <v>Kenari Rajasa</v>
      </c>
      <c r="J715" s="10" t="str">
        <f>INDEX(Employee!$D$4:$D$47,MATCH($H$4:$H$1003,Employee!$A$4:$A$47,0))</f>
        <v>Kenari Rajasa</v>
      </c>
      <c r="K715" s="10" t="s">
        <v>74</v>
      </c>
      <c r="L715" s="10" t="s">
        <v>388</v>
      </c>
      <c r="M715" s="10" t="s">
        <v>59</v>
      </c>
      <c r="N715" s="10" t="s">
        <v>67</v>
      </c>
      <c r="O715" s="10" t="s">
        <v>61</v>
      </c>
      <c r="P715" s="10">
        <v>43525</v>
      </c>
      <c r="Q715" s="15">
        <v>58200</v>
      </c>
      <c r="R715" s="15">
        <v>97050</v>
      </c>
      <c r="S715" s="15">
        <f>Table1[[#This Row],[Retail Price]]-Table1[[#This Row],[Cost Price]]</f>
        <v>38850</v>
      </c>
      <c r="T715" s="10">
        <v>22</v>
      </c>
      <c r="U715" s="15">
        <f>Table1[[#This Row],[Profit Margin]]*Table1[[#This Row],[Order Quantity]]</f>
        <v>854700</v>
      </c>
      <c r="V715" s="11">
        <v>0.04</v>
      </c>
      <c r="W715" s="15">
        <f t="shared" si="11"/>
        <v>34188</v>
      </c>
      <c r="X715" s="15">
        <f>Table1[[#This Row],[Sub Total]]-Table1[[#This Row],[Discount Rp]]</f>
        <v>820512</v>
      </c>
      <c r="Y715" s="15">
        <f ca="1">OFFSET(Helper!$C$3,MATCH(Data!$N$4:$N$1003,Helper!$C$4:$C$9,0),MATCH(Data!$O$4:$O$1003,Helper!$D$3:$F$3,0))</f>
        <v>5000</v>
      </c>
      <c r="Z715" s="16">
        <f ca="1">Table1[[#This Row],[Order Total]]+Table1[[#This Row],[Shipping Cost]]</f>
        <v>825512</v>
      </c>
    </row>
    <row r="716" spans="1:26" ht="15.75" customHeight="1" x14ac:dyDescent="0.3">
      <c r="A716" s="9" t="s">
        <v>1542</v>
      </c>
      <c r="B716" s="18">
        <v>43525</v>
      </c>
      <c r="C716" s="10">
        <f>YEAR(Table1[[#This Row],[Order Date]])</f>
        <v>2019</v>
      </c>
      <c r="D716" s="10" t="s">
        <v>1543</v>
      </c>
      <c r="E716" s="10" t="s">
        <v>376</v>
      </c>
      <c r="F716" s="10" t="s">
        <v>71</v>
      </c>
      <c r="G716" s="10" t="s">
        <v>106</v>
      </c>
      <c r="H716" s="10" t="s">
        <v>97</v>
      </c>
      <c r="I716" s="10" t="str">
        <f>VLOOKUP(Table1[[#This Row],[Account Manager ID]],Table2[[Employee ID]:[Full Name]],4,FALSE)</f>
        <v>Violet Mentari</v>
      </c>
      <c r="J716" s="10" t="str">
        <f>INDEX(Employee!$D$4:$D$47,MATCH($H$4:$H$1003,Employee!$A$4:$A$47,0))</f>
        <v>Violet Mentari</v>
      </c>
      <c r="K716" s="10" t="s">
        <v>74</v>
      </c>
      <c r="L716" s="10" t="s">
        <v>775</v>
      </c>
      <c r="M716" s="10" t="s">
        <v>59</v>
      </c>
      <c r="N716" s="10" t="s">
        <v>136</v>
      </c>
      <c r="O716" s="10" t="s">
        <v>61</v>
      </c>
      <c r="P716" s="10">
        <v>43527</v>
      </c>
      <c r="Q716" s="15">
        <v>62850.000000000007</v>
      </c>
      <c r="R716" s="15">
        <v>153450</v>
      </c>
      <c r="S716" s="15">
        <f>Table1[[#This Row],[Retail Price]]-Table1[[#This Row],[Cost Price]]</f>
        <v>90600</v>
      </c>
      <c r="T716" s="10">
        <v>16</v>
      </c>
      <c r="U716" s="15">
        <f>Table1[[#This Row],[Profit Margin]]*Table1[[#This Row],[Order Quantity]]</f>
        <v>1449600</v>
      </c>
      <c r="V716" s="11">
        <v>0.02</v>
      </c>
      <c r="W716" s="15">
        <f t="shared" si="11"/>
        <v>28992</v>
      </c>
      <c r="X716" s="15">
        <f>Table1[[#This Row],[Sub Total]]-Table1[[#This Row],[Discount Rp]]</f>
        <v>1420608</v>
      </c>
      <c r="Y716" s="15">
        <f ca="1">OFFSET(Helper!$C$3,MATCH(Data!$N$4:$N$1003,Helper!$C$4:$C$9,0),MATCH(Data!$O$4:$O$1003,Helper!$D$3:$F$3,0))</f>
        <v>10000</v>
      </c>
      <c r="Z716" s="16">
        <f ca="1">Table1[[#This Row],[Order Total]]+Table1[[#This Row],[Shipping Cost]]</f>
        <v>1430608</v>
      </c>
    </row>
    <row r="717" spans="1:26" ht="15.75" customHeight="1" x14ac:dyDescent="0.3">
      <c r="A717" s="9" t="s">
        <v>1544</v>
      </c>
      <c r="B717" s="18">
        <v>43525</v>
      </c>
      <c r="C717" s="10">
        <f>YEAR(Table1[[#This Row],[Order Date]])</f>
        <v>2019</v>
      </c>
      <c r="D717" s="10" t="s">
        <v>1521</v>
      </c>
      <c r="E717" s="10" t="s">
        <v>237</v>
      </c>
      <c r="F717" s="10" t="s">
        <v>71</v>
      </c>
      <c r="G717" s="10" t="s">
        <v>106</v>
      </c>
      <c r="H717" s="10" t="s">
        <v>112</v>
      </c>
      <c r="I717" s="10" t="str">
        <f>VLOOKUP(Table1[[#This Row],[Account Manager ID]],Table2[[Employee ID]:[Full Name]],4,FALSE)</f>
        <v>Paiman Firgantoro</v>
      </c>
      <c r="J717" s="10" t="str">
        <f>INDEX(Employee!$D$4:$D$47,MATCH($H$4:$H$1003,Employee!$A$4:$A$47,0))</f>
        <v>Paiman Firgantoro</v>
      </c>
      <c r="K717" s="10" t="s">
        <v>92</v>
      </c>
      <c r="L717" s="10" t="s">
        <v>419</v>
      </c>
      <c r="M717" s="10" t="s">
        <v>59</v>
      </c>
      <c r="N717" s="10" t="s">
        <v>60</v>
      </c>
      <c r="O717" s="10" t="s">
        <v>61</v>
      </c>
      <c r="P717" s="10">
        <v>43532</v>
      </c>
      <c r="Q717" s="15">
        <v>66900</v>
      </c>
      <c r="R717" s="15">
        <v>163350</v>
      </c>
      <c r="S717" s="15">
        <f>Table1[[#This Row],[Retail Price]]-Table1[[#This Row],[Cost Price]]</f>
        <v>96450</v>
      </c>
      <c r="T717" s="10">
        <v>10</v>
      </c>
      <c r="U717" s="15">
        <f>Table1[[#This Row],[Profit Margin]]*Table1[[#This Row],[Order Quantity]]</f>
        <v>964500</v>
      </c>
      <c r="V717" s="11">
        <v>0.1</v>
      </c>
      <c r="W717" s="15">
        <f t="shared" si="11"/>
        <v>96450</v>
      </c>
      <c r="X717" s="15">
        <f>Table1[[#This Row],[Sub Total]]-Table1[[#This Row],[Discount Rp]]</f>
        <v>868050</v>
      </c>
      <c r="Y717" s="15">
        <f ca="1">OFFSET(Helper!$C$3,MATCH(Data!$N$4:$N$1003,Helper!$C$4:$C$9,0),MATCH(Data!$O$4:$O$1003,Helper!$D$3:$F$3,0))</f>
        <v>15000</v>
      </c>
      <c r="Z717" s="16">
        <f ca="1">Table1[[#This Row],[Order Total]]+Table1[[#This Row],[Shipping Cost]]</f>
        <v>883050</v>
      </c>
    </row>
    <row r="718" spans="1:26" ht="15.75" customHeight="1" x14ac:dyDescent="0.3">
      <c r="A718" s="9" t="s">
        <v>1545</v>
      </c>
      <c r="B718" s="18">
        <v>43528</v>
      </c>
      <c r="C718" s="10">
        <f>YEAR(Table1[[#This Row],[Order Date]])</f>
        <v>2019</v>
      </c>
      <c r="D718" s="10" t="s">
        <v>1435</v>
      </c>
      <c r="E718" s="10" t="s">
        <v>159</v>
      </c>
      <c r="F718" s="10" t="s">
        <v>71</v>
      </c>
      <c r="G718" s="10" t="s">
        <v>55</v>
      </c>
      <c r="H718" s="10" t="s">
        <v>122</v>
      </c>
      <c r="I718" s="10" t="str">
        <f>VLOOKUP(Table1[[#This Row],[Account Manager ID]],Table2[[Employee ID]:[Full Name]],4,FALSE)</f>
        <v>Ophelia Mustofa</v>
      </c>
      <c r="J718" s="10" t="str">
        <f>INDEX(Employee!$D$4:$D$47,MATCH($H$4:$H$1003,Employee!$A$4:$A$47,0))</f>
        <v>Ophelia Mustofa</v>
      </c>
      <c r="K718" s="10" t="s">
        <v>57</v>
      </c>
      <c r="L718" s="10" t="s">
        <v>429</v>
      </c>
      <c r="M718" s="10" t="s">
        <v>59</v>
      </c>
      <c r="N718" s="10" t="s">
        <v>60</v>
      </c>
      <c r="O718" s="10" t="s">
        <v>61</v>
      </c>
      <c r="P718" s="10">
        <v>43530</v>
      </c>
      <c r="Q718" s="15">
        <v>29100</v>
      </c>
      <c r="R718" s="15">
        <v>46200</v>
      </c>
      <c r="S718" s="15">
        <f>Table1[[#This Row],[Retail Price]]-Table1[[#This Row],[Cost Price]]</f>
        <v>17100</v>
      </c>
      <c r="T718" s="10">
        <v>11</v>
      </c>
      <c r="U718" s="15">
        <f>Table1[[#This Row],[Profit Margin]]*Table1[[#This Row],[Order Quantity]]</f>
        <v>188100</v>
      </c>
      <c r="V718" s="11">
        <v>0.09</v>
      </c>
      <c r="W718" s="15">
        <f t="shared" si="11"/>
        <v>16929</v>
      </c>
      <c r="X718" s="15">
        <f>Table1[[#This Row],[Sub Total]]-Table1[[#This Row],[Discount Rp]]</f>
        <v>171171</v>
      </c>
      <c r="Y718" s="15">
        <f ca="1">OFFSET(Helper!$C$3,MATCH(Data!$N$4:$N$1003,Helper!$C$4:$C$9,0),MATCH(Data!$O$4:$O$1003,Helper!$D$3:$F$3,0))</f>
        <v>15000</v>
      </c>
      <c r="Z718" s="16">
        <f ca="1">Table1[[#This Row],[Order Total]]+Table1[[#This Row],[Shipping Cost]]</f>
        <v>186171</v>
      </c>
    </row>
    <row r="719" spans="1:26" ht="15.75" customHeight="1" x14ac:dyDescent="0.3">
      <c r="A719" s="9" t="s">
        <v>1546</v>
      </c>
      <c r="B719" s="18">
        <v>43530</v>
      </c>
      <c r="C719" s="10">
        <f>YEAR(Table1[[#This Row],[Order Date]])</f>
        <v>2019</v>
      </c>
      <c r="D719" s="10" t="s">
        <v>1165</v>
      </c>
      <c r="E719" s="10" t="s">
        <v>539</v>
      </c>
      <c r="F719" s="10" t="s">
        <v>71</v>
      </c>
      <c r="G719" s="10" t="s">
        <v>72</v>
      </c>
      <c r="H719" s="10" t="s">
        <v>146</v>
      </c>
      <c r="I719" s="10" t="str">
        <f>VLOOKUP(Table1[[#This Row],[Account Manager ID]],Table2[[Employee ID]:[Full Name]],4,FALSE)</f>
        <v>Kenari Rajasa</v>
      </c>
      <c r="J719" s="10" t="str">
        <f>INDEX(Employee!$D$4:$D$47,MATCH($H$4:$H$1003,Employee!$A$4:$A$47,0))</f>
        <v>Kenari Rajasa</v>
      </c>
      <c r="K719" s="10" t="s">
        <v>117</v>
      </c>
      <c r="L719" s="10" t="s">
        <v>442</v>
      </c>
      <c r="M719" s="10" t="s">
        <v>59</v>
      </c>
      <c r="N719" s="10" t="s">
        <v>67</v>
      </c>
      <c r="O719" s="10" t="s">
        <v>61</v>
      </c>
      <c r="P719" s="10">
        <v>43531</v>
      </c>
      <c r="Q719" s="15">
        <v>22950</v>
      </c>
      <c r="R719" s="15">
        <v>41700</v>
      </c>
      <c r="S719" s="15">
        <f>Table1[[#This Row],[Retail Price]]-Table1[[#This Row],[Cost Price]]</f>
        <v>18750</v>
      </c>
      <c r="T719" s="10">
        <v>21</v>
      </c>
      <c r="U719" s="15">
        <f>Table1[[#This Row],[Profit Margin]]*Table1[[#This Row],[Order Quantity]]</f>
        <v>393750</v>
      </c>
      <c r="V719" s="11">
        <v>0.06</v>
      </c>
      <c r="W719" s="15">
        <f t="shared" si="11"/>
        <v>23625</v>
      </c>
      <c r="X719" s="15">
        <f>Table1[[#This Row],[Sub Total]]-Table1[[#This Row],[Discount Rp]]</f>
        <v>370125</v>
      </c>
      <c r="Y719" s="15">
        <f ca="1">OFFSET(Helper!$C$3,MATCH(Data!$N$4:$N$1003,Helper!$C$4:$C$9,0),MATCH(Data!$O$4:$O$1003,Helper!$D$3:$F$3,0))</f>
        <v>5000</v>
      </c>
      <c r="Z719" s="16">
        <f ca="1">Table1[[#This Row],[Order Total]]+Table1[[#This Row],[Shipping Cost]]</f>
        <v>375125</v>
      </c>
    </row>
    <row r="720" spans="1:26" ht="15.75" customHeight="1" x14ac:dyDescent="0.3">
      <c r="A720" s="9" t="s">
        <v>1547</v>
      </c>
      <c r="B720" s="18">
        <v>43532</v>
      </c>
      <c r="C720" s="10">
        <f>YEAR(Table1[[#This Row],[Order Date]])</f>
        <v>2019</v>
      </c>
      <c r="D720" s="10" t="s">
        <v>676</v>
      </c>
      <c r="E720" s="10" t="s">
        <v>445</v>
      </c>
      <c r="F720" s="10" t="s">
        <v>54</v>
      </c>
      <c r="G720" s="10" t="s">
        <v>106</v>
      </c>
      <c r="H720" s="10" t="s">
        <v>56</v>
      </c>
      <c r="I720" s="10" t="str">
        <f>VLOOKUP(Table1[[#This Row],[Account Manager ID]],Table2[[Employee ID]:[Full Name]],4,FALSE)</f>
        <v>Gaduh Pratama</v>
      </c>
      <c r="J720" s="10" t="str">
        <f>INDEX(Employee!$D$4:$D$47,MATCH($H$4:$H$1003,Employee!$A$4:$A$47,0))</f>
        <v>Gaduh Pratama</v>
      </c>
      <c r="K720" s="10" t="s">
        <v>92</v>
      </c>
      <c r="L720" s="10" t="s">
        <v>190</v>
      </c>
      <c r="M720" s="10" t="s">
        <v>81</v>
      </c>
      <c r="N720" s="10" t="s">
        <v>60</v>
      </c>
      <c r="O720" s="10" t="s">
        <v>61</v>
      </c>
      <c r="P720" s="10">
        <v>43532</v>
      </c>
      <c r="Q720" s="15">
        <v>594600</v>
      </c>
      <c r="R720" s="15">
        <v>2287200</v>
      </c>
      <c r="S720" s="15">
        <f>Table1[[#This Row],[Retail Price]]-Table1[[#This Row],[Cost Price]]</f>
        <v>1692600</v>
      </c>
      <c r="T720" s="10">
        <v>17</v>
      </c>
      <c r="U720" s="15">
        <f>Table1[[#This Row],[Profit Margin]]*Table1[[#This Row],[Order Quantity]]</f>
        <v>28774200</v>
      </c>
      <c r="V720" s="11">
        <v>0.04</v>
      </c>
      <c r="W720" s="15">
        <f t="shared" si="11"/>
        <v>1150968</v>
      </c>
      <c r="X720" s="15">
        <f>Table1[[#This Row],[Sub Total]]-Table1[[#This Row],[Discount Rp]]</f>
        <v>27623232</v>
      </c>
      <c r="Y720" s="15">
        <f ca="1">OFFSET(Helper!$C$3,MATCH(Data!$N$4:$N$1003,Helper!$C$4:$C$9,0),MATCH(Data!$O$4:$O$1003,Helper!$D$3:$F$3,0))</f>
        <v>15000</v>
      </c>
      <c r="Z720" s="16">
        <f ca="1">Table1[[#This Row],[Order Total]]+Table1[[#This Row],[Shipping Cost]]</f>
        <v>27638232</v>
      </c>
    </row>
    <row r="721" spans="1:26" ht="15.75" customHeight="1" x14ac:dyDescent="0.3">
      <c r="A721" s="9" t="s">
        <v>1548</v>
      </c>
      <c r="B721" s="18">
        <v>43536</v>
      </c>
      <c r="C721" s="10">
        <f>YEAR(Table1[[#This Row],[Order Date]])</f>
        <v>2019</v>
      </c>
      <c r="D721" s="10" t="s">
        <v>1549</v>
      </c>
      <c r="E721" s="10" t="s">
        <v>344</v>
      </c>
      <c r="F721" s="10" t="s">
        <v>71</v>
      </c>
      <c r="G721" s="10" t="s">
        <v>106</v>
      </c>
      <c r="H721" s="10" t="s">
        <v>73</v>
      </c>
      <c r="I721" s="10" t="str">
        <f>VLOOKUP(Table1[[#This Row],[Account Manager ID]],Table2[[Employee ID]:[Full Name]],4,FALSE)</f>
        <v>Cinthia Gunawan</v>
      </c>
      <c r="J721" s="10" t="str">
        <f>INDEX(Employee!$D$4:$D$47,MATCH($H$4:$H$1003,Employee!$A$4:$A$47,0))</f>
        <v>Cinthia Gunawan</v>
      </c>
      <c r="K721" s="10" t="s">
        <v>74</v>
      </c>
      <c r="L721" s="10" t="s">
        <v>388</v>
      </c>
      <c r="M721" s="10" t="s">
        <v>59</v>
      </c>
      <c r="N721" s="10" t="s">
        <v>67</v>
      </c>
      <c r="O721" s="10" t="s">
        <v>61</v>
      </c>
      <c r="P721" s="10">
        <v>43538</v>
      </c>
      <c r="Q721" s="15">
        <v>58200</v>
      </c>
      <c r="R721" s="15">
        <v>97050</v>
      </c>
      <c r="S721" s="15">
        <f>Table1[[#This Row],[Retail Price]]-Table1[[#This Row],[Cost Price]]</f>
        <v>38850</v>
      </c>
      <c r="T721" s="10">
        <v>16</v>
      </c>
      <c r="U721" s="15">
        <f>Table1[[#This Row],[Profit Margin]]*Table1[[#This Row],[Order Quantity]]</f>
        <v>621600</v>
      </c>
      <c r="V721" s="11">
        <v>0.01</v>
      </c>
      <c r="W721" s="15">
        <f t="shared" si="11"/>
        <v>6216</v>
      </c>
      <c r="X721" s="15">
        <f>Table1[[#This Row],[Sub Total]]-Table1[[#This Row],[Discount Rp]]</f>
        <v>615384</v>
      </c>
      <c r="Y721" s="15">
        <f ca="1">OFFSET(Helper!$C$3,MATCH(Data!$N$4:$N$1003,Helper!$C$4:$C$9,0),MATCH(Data!$O$4:$O$1003,Helper!$D$3:$F$3,0))</f>
        <v>5000</v>
      </c>
      <c r="Z721" s="16">
        <f ca="1">Table1[[#This Row],[Order Total]]+Table1[[#This Row],[Shipping Cost]]</f>
        <v>620384</v>
      </c>
    </row>
    <row r="722" spans="1:26" ht="15.75" customHeight="1" x14ac:dyDescent="0.3">
      <c r="A722" s="9" t="s">
        <v>1550</v>
      </c>
      <c r="B722" s="18">
        <v>43538</v>
      </c>
      <c r="C722" s="10">
        <f>YEAR(Table1[[#This Row],[Order Date]])</f>
        <v>2019</v>
      </c>
      <c r="D722" s="10" t="s">
        <v>576</v>
      </c>
      <c r="E722" s="10" t="s">
        <v>424</v>
      </c>
      <c r="F722" s="10" t="s">
        <v>54</v>
      </c>
      <c r="G722" s="10" t="s">
        <v>72</v>
      </c>
      <c r="H722" s="10" t="s">
        <v>56</v>
      </c>
      <c r="I722" s="10" t="str">
        <f>VLOOKUP(Table1[[#This Row],[Account Manager ID]],Table2[[Employee ID]:[Full Name]],4,FALSE)</f>
        <v>Gaduh Pratama</v>
      </c>
      <c r="J722" s="10" t="str">
        <f>INDEX(Employee!$D$4:$D$47,MATCH($H$4:$H$1003,Employee!$A$4:$A$47,0))</f>
        <v>Gaduh Pratama</v>
      </c>
      <c r="K722" s="10" t="s">
        <v>57</v>
      </c>
      <c r="L722" s="10" t="s">
        <v>126</v>
      </c>
      <c r="M722" s="10" t="s">
        <v>59</v>
      </c>
      <c r="N722" s="10" t="s">
        <v>60</v>
      </c>
      <c r="O722" s="10" t="s">
        <v>61</v>
      </c>
      <c r="P722" s="10">
        <v>43539</v>
      </c>
      <c r="Q722" s="15">
        <v>540300</v>
      </c>
      <c r="R722" s="15">
        <v>871500</v>
      </c>
      <c r="S722" s="15">
        <f>Table1[[#This Row],[Retail Price]]-Table1[[#This Row],[Cost Price]]</f>
        <v>331200</v>
      </c>
      <c r="T722" s="10">
        <v>27</v>
      </c>
      <c r="U722" s="15">
        <f>Table1[[#This Row],[Profit Margin]]*Table1[[#This Row],[Order Quantity]]</f>
        <v>8942400</v>
      </c>
      <c r="V722" s="11">
        <v>7.0000000000000007E-2</v>
      </c>
      <c r="W722" s="15">
        <f t="shared" si="11"/>
        <v>625968.00000000012</v>
      </c>
      <c r="X722" s="15">
        <f>Table1[[#This Row],[Sub Total]]-Table1[[#This Row],[Discount Rp]]</f>
        <v>8316432</v>
      </c>
      <c r="Y722" s="15">
        <f ca="1">OFFSET(Helper!$C$3,MATCH(Data!$N$4:$N$1003,Helper!$C$4:$C$9,0),MATCH(Data!$O$4:$O$1003,Helper!$D$3:$F$3,0))</f>
        <v>15000</v>
      </c>
      <c r="Z722" s="16">
        <f ca="1">Table1[[#This Row],[Order Total]]+Table1[[#This Row],[Shipping Cost]]</f>
        <v>8331432</v>
      </c>
    </row>
    <row r="723" spans="1:26" ht="15.75" customHeight="1" x14ac:dyDescent="0.3">
      <c r="A723" s="9" t="s">
        <v>1551</v>
      </c>
      <c r="B723" s="18">
        <v>43538</v>
      </c>
      <c r="C723" s="10">
        <f>YEAR(Table1[[#This Row],[Order Date]])</f>
        <v>2019</v>
      </c>
      <c r="D723" s="10" t="s">
        <v>1552</v>
      </c>
      <c r="E723" s="10" t="s">
        <v>587</v>
      </c>
      <c r="F723" s="10" t="s">
        <v>71</v>
      </c>
      <c r="G723" s="10" t="s">
        <v>72</v>
      </c>
      <c r="H723" s="10" t="s">
        <v>194</v>
      </c>
      <c r="I723" s="10" t="str">
        <f>VLOOKUP(Table1[[#This Row],[Account Manager ID]],Table2[[Employee ID]:[Full Name]],4,FALSE)</f>
        <v>Nabila Prakasa</v>
      </c>
      <c r="J723" s="10" t="str">
        <f>INDEX(Employee!$D$4:$D$47,MATCH($H$4:$H$1003,Employee!$A$4:$A$47,0))</f>
        <v>Nabila Prakasa</v>
      </c>
      <c r="K723" s="10" t="s">
        <v>107</v>
      </c>
      <c r="L723" s="10" t="s">
        <v>384</v>
      </c>
      <c r="M723" s="10" t="s">
        <v>59</v>
      </c>
      <c r="N723" s="10" t="s">
        <v>67</v>
      </c>
      <c r="O723" s="10" t="s">
        <v>61</v>
      </c>
      <c r="P723" s="10">
        <v>43539</v>
      </c>
      <c r="Q723" s="15">
        <v>65550</v>
      </c>
      <c r="R723" s="15">
        <v>136650</v>
      </c>
      <c r="S723" s="15">
        <f>Table1[[#This Row],[Retail Price]]-Table1[[#This Row],[Cost Price]]</f>
        <v>71100</v>
      </c>
      <c r="T723" s="10">
        <v>30</v>
      </c>
      <c r="U723" s="15">
        <f>Table1[[#This Row],[Profit Margin]]*Table1[[#This Row],[Order Quantity]]</f>
        <v>2133000</v>
      </c>
      <c r="V723" s="11">
        <v>0.03</v>
      </c>
      <c r="W723" s="15">
        <f t="shared" si="11"/>
        <v>63990</v>
      </c>
      <c r="X723" s="15">
        <f>Table1[[#This Row],[Sub Total]]-Table1[[#This Row],[Discount Rp]]</f>
        <v>2069010</v>
      </c>
      <c r="Y723" s="15">
        <f ca="1">OFFSET(Helper!$C$3,MATCH(Data!$N$4:$N$1003,Helper!$C$4:$C$9,0),MATCH(Data!$O$4:$O$1003,Helper!$D$3:$F$3,0))</f>
        <v>5000</v>
      </c>
      <c r="Z723" s="16">
        <f ca="1">Table1[[#This Row],[Order Total]]+Table1[[#This Row],[Shipping Cost]]</f>
        <v>2074010</v>
      </c>
    </row>
    <row r="724" spans="1:26" ht="15.75" customHeight="1" x14ac:dyDescent="0.3">
      <c r="A724" s="9" t="s">
        <v>1553</v>
      </c>
      <c r="B724" s="18">
        <v>43542</v>
      </c>
      <c r="C724" s="10">
        <f>YEAR(Table1[[#This Row],[Order Date]])</f>
        <v>2019</v>
      </c>
      <c r="D724" s="10" t="s">
        <v>902</v>
      </c>
      <c r="E724" s="10" t="s">
        <v>647</v>
      </c>
      <c r="F724" s="10" t="s">
        <v>71</v>
      </c>
      <c r="G724" s="10" t="s">
        <v>106</v>
      </c>
      <c r="H724" s="10" t="s">
        <v>97</v>
      </c>
      <c r="I724" s="10" t="str">
        <f>VLOOKUP(Table1[[#This Row],[Account Manager ID]],Table2[[Employee ID]:[Full Name]],4,FALSE)</f>
        <v>Violet Mentari</v>
      </c>
      <c r="J724" s="10" t="str">
        <f>INDEX(Employee!$D$4:$D$47,MATCH($H$4:$H$1003,Employee!$A$4:$A$47,0))</f>
        <v>Violet Mentari</v>
      </c>
      <c r="K724" s="10" t="s">
        <v>57</v>
      </c>
      <c r="L724" s="10" t="s">
        <v>931</v>
      </c>
      <c r="M724" s="10" t="s">
        <v>59</v>
      </c>
      <c r="N724" s="10" t="s">
        <v>60</v>
      </c>
      <c r="O724" s="10" t="s">
        <v>61</v>
      </c>
      <c r="P724" s="10">
        <v>43543</v>
      </c>
      <c r="Q724" s="15">
        <v>27600</v>
      </c>
      <c r="R724" s="15">
        <v>43200</v>
      </c>
      <c r="S724" s="15">
        <f>Table1[[#This Row],[Retail Price]]-Table1[[#This Row],[Cost Price]]</f>
        <v>15600</v>
      </c>
      <c r="T724" s="10">
        <v>28</v>
      </c>
      <c r="U724" s="15">
        <f>Table1[[#This Row],[Profit Margin]]*Table1[[#This Row],[Order Quantity]]</f>
        <v>436800</v>
      </c>
      <c r="V724" s="11">
        <v>0.1</v>
      </c>
      <c r="W724" s="15">
        <f t="shared" si="11"/>
        <v>43680</v>
      </c>
      <c r="X724" s="15">
        <f>Table1[[#This Row],[Sub Total]]-Table1[[#This Row],[Discount Rp]]</f>
        <v>393120</v>
      </c>
      <c r="Y724" s="15">
        <f ca="1">OFFSET(Helper!$C$3,MATCH(Data!$N$4:$N$1003,Helper!$C$4:$C$9,0),MATCH(Data!$O$4:$O$1003,Helper!$D$3:$F$3,0))</f>
        <v>15000</v>
      </c>
      <c r="Z724" s="16">
        <f ca="1">Table1[[#This Row],[Order Total]]+Table1[[#This Row],[Shipping Cost]]</f>
        <v>408120</v>
      </c>
    </row>
    <row r="725" spans="1:26" ht="15.75" customHeight="1" x14ac:dyDescent="0.3">
      <c r="A725" s="9" t="s">
        <v>1554</v>
      </c>
      <c r="B725" s="18">
        <v>43544</v>
      </c>
      <c r="C725" s="10">
        <f>YEAR(Table1[[#This Row],[Order Date]])</f>
        <v>2019</v>
      </c>
      <c r="D725" s="10" t="s">
        <v>1262</v>
      </c>
      <c r="E725" s="10" t="s">
        <v>154</v>
      </c>
      <c r="F725" s="10" t="s">
        <v>71</v>
      </c>
      <c r="G725" s="10" t="s">
        <v>72</v>
      </c>
      <c r="H725" s="10" t="s">
        <v>155</v>
      </c>
      <c r="I725" s="10" t="str">
        <f>VLOOKUP(Table1[[#This Row],[Account Manager ID]],Table2[[Employee ID]:[Full Name]],4,FALSE)</f>
        <v>Puti Nadine Prakasa</v>
      </c>
      <c r="J725" s="10" t="str">
        <f>INDEX(Employee!$D$4:$D$47,MATCH($H$4:$H$1003,Employee!$A$4:$A$47,0))</f>
        <v>Puti Nadine Prakasa</v>
      </c>
      <c r="K725" s="10" t="s">
        <v>92</v>
      </c>
      <c r="L725" s="10" t="s">
        <v>442</v>
      </c>
      <c r="M725" s="10" t="s">
        <v>59</v>
      </c>
      <c r="N725" s="10" t="s">
        <v>67</v>
      </c>
      <c r="O725" s="10" t="s">
        <v>61</v>
      </c>
      <c r="P725" s="10">
        <v>43546</v>
      </c>
      <c r="Q725" s="15">
        <v>17550</v>
      </c>
      <c r="R725" s="15">
        <v>41700</v>
      </c>
      <c r="S725" s="15">
        <f>Table1[[#This Row],[Retail Price]]-Table1[[#This Row],[Cost Price]]</f>
        <v>24150</v>
      </c>
      <c r="T725" s="10">
        <v>39</v>
      </c>
      <c r="U725" s="15">
        <f>Table1[[#This Row],[Profit Margin]]*Table1[[#This Row],[Order Quantity]]</f>
        <v>941850</v>
      </c>
      <c r="V725" s="11">
        <v>0.05</v>
      </c>
      <c r="W725" s="15">
        <f t="shared" si="11"/>
        <v>47092.5</v>
      </c>
      <c r="X725" s="15">
        <f>Table1[[#This Row],[Sub Total]]-Table1[[#This Row],[Discount Rp]]</f>
        <v>894757.5</v>
      </c>
      <c r="Y725" s="15">
        <f ca="1">OFFSET(Helper!$C$3,MATCH(Data!$N$4:$N$1003,Helper!$C$4:$C$9,0),MATCH(Data!$O$4:$O$1003,Helper!$D$3:$F$3,0))</f>
        <v>5000</v>
      </c>
      <c r="Z725" s="16">
        <f ca="1">Table1[[#This Row],[Order Total]]+Table1[[#This Row],[Shipping Cost]]</f>
        <v>899757.5</v>
      </c>
    </row>
    <row r="726" spans="1:26" ht="15.75" customHeight="1" x14ac:dyDescent="0.3">
      <c r="A726" s="9" t="s">
        <v>1555</v>
      </c>
      <c r="B726" s="18">
        <v>43544</v>
      </c>
      <c r="C726" s="10">
        <f>YEAR(Table1[[#This Row],[Order Date]])</f>
        <v>2019</v>
      </c>
      <c r="D726" s="10" t="s">
        <v>1556</v>
      </c>
      <c r="E726" s="10" t="s">
        <v>165</v>
      </c>
      <c r="F726" s="10" t="s">
        <v>71</v>
      </c>
      <c r="G726" s="10" t="s">
        <v>72</v>
      </c>
      <c r="H726" s="10" t="s">
        <v>88</v>
      </c>
      <c r="I726" s="10" t="str">
        <f>VLOOKUP(Table1[[#This Row],[Account Manager ID]],Table2[[Employee ID]:[Full Name]],4,FALSE)</f>
        <v>Bagiya Sihombing</v>
      </c>
      <c r="J726" s="10" t="str">
        <f>INDEX(Employee!$D$4:$D$47,MATCH($H$4:$H$1003,Employee!$A$4:$A$47,0))</f>
        <v>Bagiya Sihombing</v>
      </c>
      <c r="K726" s="10" t="s">
        <v>107</v>
      </c>
      <c r="L726" s="10" t="s">
        <v>265</v>
      </c>
      <c r="M726" s="10" t="s">
        <v>59</v>
      </c>
      <c r="N726" s="10" t="s">
        <v>60</v>
      </c>
      <c r="O726" s="10" t="s">
        <v>61</v>
      </c>
      <c r="P726" s="10">
        <v>43545</v>
      </c>
      <c r="Q726" s="15">
        <v>17700</v>
      </c>
      <c r="R726" s="15">
        <v>28200</v>
      </c>
      <c r="S726" s="15">
        <f>Table1[[#This Row],[Retail Price]]-Table1[[#This Row],[Cost Price]]</f>
        <v>10500</v>
      </c>
      <c r="T726" s="10">
        <v>20</v>
      </c>
      <c r="U726" s="15">
        <f>Table1[[#This Row],[Profit Margin]]*Table1[[#This Row],[Order Quantity]]</f>
        <v>210000</v>
      </c>
      <c r="V726" s="11">
        <v>7.0000000000000007E-2</v>
      </c>
      <c r="W726" s="15">
        <f t="shared" si="11"/>
        <v>14700.000000000002</v>
      </c>
      <c r="X726" s="15">
        <f>Table1[[#This Row],[Sub Total]]-Table1[[#This Row],[Discount Rp]]</f>
        <v>195300</v>
      </c>
      <c r="Y726" s="15">
        <f ca="1">OFFSET(Helper!$C$3,MATCH(Data!$N$4:$N$1003,Helper!$C$4:$C$9,0),MATCH(Data!$O$4:$O$1003,Helper!$D$3:$F$3,0))</f>
        <v>15000</v>
      </c>
      <c r="Z726" s="16">
        <f ca="1">Table1[[#This Row],[Order Total]]+Table1[[#This Row],[Shipping Cost]]</f>
        <v>210300</v>
      </c>
    </row>
    <row r="727" spans="1:26" ht="15.75" customHeight="1" x14ac:dyDescent="0.3">
      <c r="A727" s="9" t="s">
        <v>1557</v>
      </c>
      <c r="B727" s="18">
        <v>43546</v>
      </c>
      <c r="C727" s="10">
        <f>YEAR(Table1[[#This Row],[Order Date]])</f>
        <v>2019</v>
      </c>
      <c r="D727" s="10" t="s">
        <v>476</v>
      </c>
      <c r="E727" s="10" t="s">
        <v>477</v>
      </c>
      <c r="F727" s="10" t="s">
        <v>261</v>
      </c>
      <c r="G727" s="10" t="s">
        <v>72</v>
      </c>
      <c r="H727" s="10" t="s">
        <v>146</v>
      </c>
      <c r="I727" s="10" t="str">
        <f>VLOOKUP(Table1[[#This Row],[Account Manager ID]],Table2[[Employee ID]:[Full Name]],4,FALSE)</f>
        <v>Kenari Rajasa</v>
      </c>
      <c r="J727" s="10" t="str">
        <f>INDEX(Employee!$D$4:$D$47,MATCH($H$4:$H$1003,Employee!$A$4:$A$47,0))</f>
        <v>Kenari Rajasa</v>
      </c>
      <c r="K727" s="10" t="s">
        <v>92</v>
      </c>
      <c r="L727" s="10" t="s">
        <v>341</v>
      </c>
      <c r="M727" s="10" t="s">
        <v>59</v>
      </c>
      <c r="N727" s="10" t="s">
        <v>67</v>
      </c>
      <c r="O727" s="10" t="s">
        <v>61</v>
      </c>
      <c r="P727" s="10">
        <v>43550</v>
      </c>
      <c r="Q727" s="15">
        <v>24000</v>
      </c>
      <c r="R727" s="15">
        <v>39300</v>
      </c>
      <c r="S727" s="15">
        <f>Table1[[#This Row],[Retail Price]]-Table1[[#This Row],[Cost Price]]</f>
        <v>15300</v>
      </c>
      <c r="T727" s="10">
        <v>26</v>
      </c>
      <c r="U727" s="15">
        <f>Table1[[#This Row],[Profit Margin]]*Table1[[#This Row],[Order Quantity]]</f>
        <v>397800</v>
      </c>
      <c r="V727" s="11">
        <v>0.08</v>
      </c>
      <c r="W727" s="15">
        <f t="shared" si="11"/>
        <v>31824</v>
      </c>
      <c r="X727" s="15">
        <f>Table1[[#This Row],[Sub Total]]-Table1[[#This Row],[Discount Rp]]</f>
        <v>365976</v>
      </c>
      <c r="Y727" s="15">
        <f ca="1">OFFSET(Helper!$C$3,MATCH(Data!$N$4:$N$1003,Helper!$C$4:$C$9,0),MATCH(Data!$O$4:$O$1003,Helper!$D$3:$F$3,0))</f>
        <v>5000</v>
      </c>
      <c r="Z727" s="16">
        <f ca="1">Table1[[#This Row],[Order Total]]+Table1[[#This Row],[Shipping Cost]]</f>
        <v>370976</v>
      </c>
    </row>
    <row r="728" spans="1:26" ht="15.75" customHeight="1" x14ac:dyDescent="0.3">
      <c r="A728" s="9" t="s">
        <v>1558</v>
      </c>
      <c r="B728" s="18">
        <v>43547</v>
      </c>
      <c r="C728" s="10">
        <f>YEAR(Table1[[#This Row],[Order Date]])</f>
        <v>2019</v>
      </c>
      <c r="D728" s="10" t="s">
        <v>168</v>
      </c>
      <c r="E728" s="10" t="s">
        <v>169</v>
      </c>
      <c r="F728" s="10" t="s">
        <v>54</v>
      </c>
      <c r="G728" s="10" t="s">
        <v>72</v>
      </c>
      <c r="H728" s="10" t="s">
        <v>65</v>
      </c>
      <c r="I728" s="10" t="str">
        <f>VLOOKUP(Table1[[#This Row],[Account Manager ID]],Table2[[Employee ID]:[Full Name]],4,FALSE)</f>
        <v>Laras Nuraini</v>
      </c>
      <c r="J728" s="10" t="str">
        <f>INDEX(Employee!$D$4:$D$47,MATCH($H$4:$H$1003,Employee!$A$4:$A$47,0))</f>
        <v>Laras Nuraini</v>
      </c>
      <c r="K728" s="10" t="s">
        <v>57</v>
      </c>
      <c r="L728" s="10" t="s">
        <v>93</v>
      </c>
      <c r="M728" s="10" t="s">
        <v>59</v>
      </c>
      <c r="N728" s="10" t="s">
        <v>67</v>
      </c>
      <c r="O728" s="10" t="s">
        <v>61</v>
      </c>
      <c r="P728" s="10">
        <v>43547</v>
      </c>
      <c r="Q728" s="15">
        <v>16350.000000000002</v>
      </c>
      <c r="R728" s="15">
        <v>39000</v>
      </c>
      <c r="S728" s="15">
        <f>Table1[[#This Row],[Retail Price]]-Table1[[#This Row],[Cost Price]]</f>
        <v>22650</v>
      </c>
      <c r="T728" s="10">
        <v>14</v>
      </c>
      <c r="U728" s="15">
        <f>Table1[[#This Row],[Profit Margin]]*Table1[[#This Row],[Order Quantity]]</f>
        <v>317100</v>
      </c>
      <c r="V728" s="11">
        <v>0.08</v>
      </c>
      <c r="W728" s="15">
        <f t="shared" si="11"/>
        <v>25368</v>
      </c>
      <c r="X728" s="15">
        <f>Table1[[#This Row],[Sub Total]]-Table1[[#This Row],[Discount Rp]]</f>
        <v>291732</v>
      </c>
      <c r="Y728" s="15">
        <f ca="1">OFFSET(Helper!$C$3,MATCH(Data!$N$4:$N$1003,Helper!$C$4:$C$9,0),MATCH(Data!$O$4:$O$1003,Helper!$D$3:$F$3,0))</f>
        <v>5000</v>
      </c>
      <c r="Z728" s="16">
        <f ca="1">Table1[[#This Row],[Order Total]]+Table1[[#This Row],[Shipping Cost]]</f>
        <v>296732</v>
      </c>
    </row>
    <row r="729" spans="1:26" ht="15.75" customHeight="1" x14ac:dyDescent="0.3">
      <c r="A729" s="9" t="s">
        <v>1559</v>
      </c>
      <c r="B729" s="18">
        <v>43547</v>
      </c>
      <c r="C729" s="10">
        <f>YEAR(Table1[[#This Row],[Order Date]])</f>
        <v>2019</v>
      </c>
      <c r="D729" s="10" t="s">
        <v>1530</v>
      </c>
      <c r="E729" s="10" t="s">
        <v>169</v>
      </c>
      <c r="F729" s="10" t="s">
        <v>54</v>
      </c>
      <c r="G729" s="10" t="s">
        <v>55</v>
      </c>
      <c r="H729" s="10" t="s">
        <v>65</v>
      </c>
      <c r="I729" s="10" t="str">
        <f>VLOOKUP(Table1[[#This Row],[Account Manager ID]],Table2[[Employee ID]:[Full Name]],4,FALSE)</f>
        <v>Laras Nuraini</v>
      </c>
      <c r="J729" s="10" t="str">
        <f>INDEX(Employee!$D$4:$D$47,MATCH($H$4:$H$1003,Employee!$A$4:$A$47,0))</f>
        <v>Laras Nuraini</v>
      </c>
      <c r="K729" s="10" t="s">
        <v>117</v>
      </c>
      <c r="L729" s="10" t="s">
        <v>1560</v>
      </c>
      <c r="M729" s="10" t="s">
        <v>59</v>
      </c>
      <c r="N729" s="10" t="s">
        <v>67</v>
      </c>
      <c r="O729" s="10" t="s">
        <v>76</v>
      </c>
      <c r="P729" s="10">
        <v>43548</v>
      </c>
      <c r="Q729" s="15">
        <v>4800</v>
      </c>
      <c r="R729" s="15">
        <v>25200</v>
      </c>
      <c r="S729" s="15">
        <f>Table1[[#This Row],[Retail Price]]-Table1[[#This Row],[Cost Price]]</f>
        <v>20400</v>
      </c>
      <c r="T729" s="10">
        <v>6</v>
      </c>
      <c r="U729" s="15">
        <f>Table1[[#This Row],[Profit Margin]]*Table1[[#This Row],[Order Quantity]]</f>
        <v>122400</v>
      </c>
      <c r="V729" s="11">
        <v>0.05</v>
      </c>
      <c r="W729" s="15">
        <f t="shared" si="11"/>
        <v>6120</v>
      </c>
      <c r="X729" s="15">
        <f>Table1[[#This Row],[Sub Total]]-Table1[[#This Row],[Discount Rp]]</f>
        <v>116280</v>
      </c>
      <c r="Y729" s="15">
        <f ca="1">OFFSET(Helper!$C$3,MATCH(Data!$N$4:$N$1003,Helper!$C$4:$C$9,0),MATCH(Data!$O$4:$O$1003,Helper!$D$3:$F$3,0))</f>
        <v>10000</v>
      </c>
      <c r="Z729" s="16">
        <f ca="1">Table1[[#This Row],[Order Total]]+Table1[[#This Row],[Shipping Cost]]</f>
        <v>126280</v>
      </c>
    </row>
    <row r="730" spans="1:26" ht="15.75" customHeight="1" x14ac:dyDescent="0.3">
      <c r="A730" s="9" t="s">
        <v>1561</v>
      </c>
      <c r="B730" s="18">
        <v>43554</v>
      </c>
      <c r="C730" s="10">
        <f>YEAR(Table1[[#This Row],[Order Date]])</f>
        <v>2019</v>
      </c>
      <c r="D730" s="10" t="s">
        <v>720</v>
      </c>
      <c r="E730" s="10" t="s">
        <v>721</v>
      </c>
      <c r="F730" s="10" t="s">
        <v>261</v>
      </c>
      <c r="G730" s="10" t="s">
        <v>55</v>
      </c>
      <c r="H730" s="10" t="s">
        <v>146</v>
      </c>
      <c r="I730" s="10" t="str">
        <f>VLOOKUP(Table1[[#This Row],[Account Manager ID]],Table2[[Employee ID]:[Full Name]],4,FALSE)</f>
        <v>Kenari Rajasa</v>
      </c>
      <c r="J730" s="10" t="str">
        <f>INDEX(Employee!$D$4:$D$47,MATCH($H$4:$H$1003,Employee!$A$4:$A$47,0))</f>
        <v>Kenari Rajasa</v>
      </c>
      <c r="K730" s="10" t="s">
        <v>74</v>
      </c>
      <c r="L730" s="10" t="s">
        <v>186</v>
      </c>
      <c r="M730" s="10" t="s">
        <v>81</v>
      </c>
      <c r="N730" s="10" t="s">
        <v>60</v>
      </c>
      <c r="O730" s="10" t="s">
        <v>76</v>
      </c>
      <c r="P730" s="10">
        <v>43556</v>
      </c>
      <c r="Q730" s="15">
        <v>95850</v>
      </c>
      <c r="R730" s="15">
        <v>299700</v>
      </c>
      <c r="S730" s="15">
        <f>Table1[[#This Row],[Retail Price]]-Table1[[#This Row],[Cost Price]]</f>
        <v>203850</v>
      </c>
      <c r="T730" s="10">
        <v>18</v>
      </c>
      <c r="U730" s="15">
        <f>Table1[[#This Row],[Profit Margin]]*Table1[[#This Row],[Order Quantity]]</f>
        <v>3669300</v>
      </c>
      <c r="V730" s="11">
        <v>0.04</v>
      </c>
      <c r="W730" s="15">
        <f t="shared" si="11"/>
        <v>146772</v>
      </c>
      <c r="X730" s="15">
        <f>Table1[[#This Row],[Sub Total]]-Table1[[#This Row],[Discount Rp]]</f>
        <v>3522528</v>
      </c>
      <c r="Y730" s="15">
        <f ca="1">OFFSET(Helper!$C$3,MATCH(Data!$N$4:$N$1003,Helper!$C$4:$C$9,0),MATCH(Data!$O$4:$O$1003,Helper!$D$3:$F$3,0))</f>
        <v>30000</v>
      </c>
      <c r="Z730" s="16">
        <f ca="1">Table1[[#This Row],[Order Total]]+Table1[[#This Row],[Shipping Cost]]</f>
        <v>3552528</v>
      </c>
    </row>
    <row r="731" spans="1:26" ht="15.75" customHeight="1" x14ac:dyDescent="0.3">
      <c r="A731" s="9" t="s">
        <v>1562</v>
      </c>
      <c r="B731" s="18">
        <v>43554</v>
      </c>
      <c r="C731" s="10">
        <f>YEAR(Table1[[#This Row],[Order Date]])</f>
        <v>2019</v>
      </c>
      <c r="D731" s="10" t="s">
        <v>720</v>
      </c>
      <c r="E731" s="10" t="s">
        <v>721</v>
      </c>
      <c r="F731" s="10" t="s">
        <v>261</v>
      </c>
      <c r="G731" s="10" t="s">
        <v>55</v>
      </c>
      <c r="H731" s="10" t="s">
        <v>146</v>
      </c>
      <c r="I731" s="10" t="str">
        <f>VLOOKUP(Table1[[#This Row],[Account Manager ID]],Table2[[Employee ID]:[Full Name]],4,FALSE)</f>
        <v>Kenari Rajasa</v>
      </c>
      <c r="J731" s="10" t="str">
        <f>INDEX(Employee!$D$4:$D$47,MATCH($H$4:$H$1003,Employee!$A$4:$A$47,0))</f>
        <v>Kenari Rajasa</v>
      </c>
      <c r="K731" s="10" t="s">
        <v>74</v>
      </c>
      <c r="L731" s="10" t="s">
        <v>546</v>
      </c>
      <c r="M731" s="10" t="s">
        <v>59</v>
      </c>
      <c r="N731" s="10" t="s">
        <v>60</v>
      </c>
      <c r="O731" s="10" t="s">
        <v>61</v>
      </c>
      <c r="P731" s="10">
        <v>43556</v>
      </c>
      <c r="Q731" s="15">
        <v>224250</v>
      </c>
      <c r="R731" s="15">
        <v>521399.99999999994</v>
      </c>
      <c r="S731" s="15">
        <f>Table1[[#This Row],[Retail Price]]-Table1[[#This Row],[Cost Price]]</f>
        <v>297149.99999999994</v>
      </c>
      <c r="T731" s="10">
        <v>46</v>
      </c>
      <c r="U731" s="15">
        <f>Table1[[#This Row],[Profit Margin]]*Table1[[#This Row],[Order Quantity]]</f>
        <v>13668899.999999998</v>
      </c>
      <c r="V731" s="11">
        <v>0.09</v>
      </c>
      <c r="W731" s="15">
        <f t="shared" si="11"/>
        <v>1230200.9999999998</v>
      </c>
      <c r="X731" s="15">
        <f>Table1[[#This Row],[Sub Total]]-Table1[[#This Row],[Discount Rp]]</f>
        <v>12438698.999999998</v>
      </c>
      <c r="Y731" s="15">
        <f ca="1">OFFSET(Helper!$C$3,MATCH(Data!$N$4:$N$1003,Helper!$C$4:$C$9,0),MATCH(Data!$O$4:$O$1003,Helper!$D$3:$F$3,0))</f>
        <v>15000</v>
      </c>
      <c r="Z731" s="16">
        <f ca="1">Table1[[#This Row],[Order Total]]+Table1[[#This Row],[Shipping Cost]]</f>
        <v>12453698.999999998</v>
      </c>
    </row>
    <row r="732" spans="1:26" ht="15.75" customHeight="1" x14ac:dyDescent="0.3">
      <c r="A732" s="9" t="s">
        <v>1563</v>
      </c>
      <c r="B732" s="18">
        <v>43554</v>
      </c>
      <c r="C732" s="10">
        <f>YEAR(Table1[[#This Row],[Order Date]])</f>
        <v>2019</v>
      </c>
      <c r="D732" s="10" t="s">
        <v>1155</v>
      </c>
      <c r="E732" s="10" t="s">
        <v>101</v>
      </c>
      <c r="F732" s="10" t="s">
        <v>71</v>
      </c>
      <c r="G732" s="10" t="s">
        <v>87</v>
      </c>
      <c r="H732" s="10" t="s">
        <v>97</v>
      </c>
      <c r="I732" s="10" t="str">
        <f>VLOOKUP(Table1[[#This Row],[Account Manager ID]],Table2[[Employee ID]:[Full Name]],4,FALSE)</f>
        <v>Violet Mentari</v>
      </c>
      <c r="J732" s="10" t="str">
        <f>INDEX(Employee!$D$4:$D$47,MATCH($H$4:$H$1003,Employee!$A$4:$A$47,0))</f>
        <v>Violet Mentari</v>
      </c>
      <c r="K732" s="10" t="s">
        <v>117</v>
      </c>
      <c r="L732" s="10" t="s">
        <v>98</v>
      </c>
      <c r="M732" s="10" t="s">
        <v>59</v>
      </c>
      <c r="N732" s="10" t="s">
        <v>60</v>
      </c>
      <c r="O732" s="10" t="s">
        <v>61</v>
      </c>
      <c r="P732" s="10">
        <v>43555</v>
      </c>
      <c r="Q732" s="15">
        <v>1490850</v>
      </c>
      <c r="R732" s="15">
        <v>2443950</v>
      </c>
      <c r="S732" s="15">
        <f>Table1[[#This Row],[Retail Price]]-Table1[[#This Row],[Cost Price]]</f>
        <v>953100</v>
      </c>
      <c r="T732" s="10">
        <v>41</v>
      </c>
      <c r="U732" s="15">
        <f>Table1[[#This Row],[Profit Margin]]*Table1[[#This Row],[Order Quantity]]</f>
        <v>39077100</v>
      </c>
      <c r="V732" s="11">
        <v>0.01</v>
      </c>
      <c r="W732" s="15">
        <f t="shared" si="11"/>
        <v>390771</v>
      </c>
      <c r="X732" s="15">
        <f>Table1[[#This Row],[Sub Total]]-Table1[[#This Row],[Discount Rp]]</f>
        <v>38686329</v>
      </c>
      <c r="Y732" s="15">
        <f ca="1">OFFSET(Helper!$C$3,MATCH(Data!$N$4:$N$1003,Helper!$C$4:$C$9,0),MATCH(Data!$O$4:$O$1003,Helper!$D$3:$F$3,0))</f>
        <v>15000</v>
      </c>
      <c r="Z732" s="16">
        <f ca="1">Table1[[#This Row],[Order Total]]+Table1[[#This Row],[Shipping Cost]]</f>
        <v>38701329</v>
      </c>
    </row>
    <row r="733" spans="1:26" ht="15.75" customHeight="1" x14ac:dyDescent="0.3">
      <c r="A733" s="9" t="s">
        <v>1564</v>
      </c>
      <c r="B733" s="18">
        <v>43557</v>
      </c>
      <c r="C733" s="10">
        <f>YEAR(Table1[[#This Row],[Order Date]])</f>
        <v>2019</v>
      </c>
      <c r="D733" s="10" t="s">
        <v>91</v>
      </c>
      <c r="E733" s="10" t="s">
        <v>79</v>
      </c>
      <c r="F733" s="10" t="s">
        <v>54</v>
      </c>
      <c r="G733" s="10" t="s">
        <v>55</v>
      </c>
      <c r="H733" s="10" t="s">
        <v>56</v>
      </c>
      <c r="I733" s="10" t="str">
        <f>VLOOKUP(Table1[[#This Row],[Account Manager ID]],Table2[[Employee ID]:[Full Name]],4,FALSE)</f>
        <v>Gaduh Pratama</v>
      </c>
      <c r="J733" s="10" t="str">
        <f>INDEX(Employee!$D$4:$D$47,MATCH($H$4:$H$1003,Employee!$A$4:$A$47,0))</f>
        <v>Gaduh Pratama</v>
      </c>
      <c r="K733" s="10" t="s">
        <v>107</v>
      </c>
      <c r="L733" s="10" t="s">
        <v>510</v>
      </c>
      <c r="M733" s="10" t="s">
        <v>59</v>
      </c>
      <c r="N733" s="10" t="s">
        <v>67</v>
      </c>
      <c r="O733" s="10" t="s">
        <v>61</v>
      </c>
      <c r="P733" s="10">
        <v>43559</v>
      </c>
      <c r="Q733" s="15">
        <v>49800</v>
      </c>
      <c r="R733" s="15">
        <v>77700</v>
      </c>
      <c r="S733" s="15">
        <f>Table1[[#This Row],[Retail Price]]-Table1[[#This Row],[Cost Price]]</f>
        <v>27900</v>
      </c>
      <c r="T733" s="10">
        <v>25</v>
      </c>
      <c r="U733" s="15">
        <f>Table1[[#This Row],[Profit Margin]]*Table1[[#This Row],[Order Quantity]]</f>
        <v>697500</v>
      </c>
      <c r="V733" s="11">
        <v>0.1</v>
      </c>
      <c r="W733" s="15">
        <f t="shared" si="11"/>
        <v>69750</v>
      </c>
      <c r="X733" s="15">
        <f>Table1[[#This Row],[Sub Total]]-Table1[[#This Row],[Discount Rp]]</f>
        <v>627750</v>
      </c>
      <c r="Y733" s="15">
        <f ca="1">OFFSET(Helper!$C$3,MATCH(Data!$N$4:$N$1003,Helper!$C$4:$C$9,0),MATCH(Data!$O$4:$O$1003,Helper!$D$3:$F$3,0))</f>
        <v>5000</v>
      </c>
      <c r="Z733" s="16">
        <f ca="1">Table1[[#This Row],[Order Total]]+Table1[[#This Row],[Shipping Cost]]</f>
        <v>632750</v>
      </c>
    </row>
    <row r="734" spans="1:26" ht="15.75" customHeight="1" x14ac:dyDescent="0.3">
      <c r="A734" s="9" t="s">
        <v>1565</v>
      </c>
      <c r="B734" s="18">
        <v>43557</v>
      </c>
      <c r="C734" s="10">
        <f>YEAR(Table1[[#This Row],[Order Date]])</f>
        <v>2019</v>
      </c>
      <c r="D734" s="10" t="s">
        <v>1124</v>
      </c>
      <c r="E734" s="10" t="s">
        <v>601</v>
      </c>
      <c r="F734" s="10" t="s">
        <v>71</v>
      </c>
      <c r="G734" s="10" t="s">
        <v>72</v>
      </c>
      <c r="H734" s="10" t="s">
        <v>122</v>
      </c>
      <c r="I734" s="10" t="str">
        <f>VLOOKUP(Table1[[#This Row],[Account Manager ID]],Table2[[Employee ID]:[Full Name]],4,FALSE)</f>
        <v>Ophelia Mustofa</v>
      </c>
      <c r="J734" s="10" t="str">
        <f>INDEX(Employee!$D$4:$D$47,MATCH($H$4:$H$1003,Employee!$A$4:$A$47,0))</f>
        <v>Ophelia Mustofa</v>
      </c>
      <c r="K734" s="10" t="s">
        <v>74</v>
      </c>
      <c r="L734" s="10" t="s">
        <v>419</v>
      </c>
      <c r="M734" s="10" t="s">
        <v>59</v>
      </c>
      <c r="N734" s="10" t="s">
        <v>60</v>
      </c>
      <c r="O734" s="10" t="s">
        <v>61</v>
      </c>
      <c r="P734" s="10">
        <v>43559</v>
      </c>
      <c r="Q734" s="15">
        <v>66900</v>
      </c>
      <c r="R734" s="15">
        <v>163350</v>
      </c>
      <c r="S734" s="15">
        <f>Table1[[#This Row],[Retail Price]]-Table1[[#This Row],[Cost Price]]</f>
        <v>96450</v>
      </c>
      <c r="T734" s="10">
        <v>30</v>
      </c>
      <c r="U734" s="15">
        <f>Table1[[#This Row],[Profit Margin]]*Table1[[#This Row],[Order Quantity]]</f>
        <v>2893500</v>
      </c>
      <c r="V734" s="11">
        <v>0.08</v>
      </c>
      <c r="W734" s="15">
        <f t="shared" si="11"/>
        <v>231480</v>
      </c>
      <c r="X734" s="15">
        <f>Table1[[#This Row],[Sub Total]]-Table1[[#This Row],[Discount Rp]]</f>
        <v>2662020</v>
      </c>
      <c r="Y734" s="15">
        <f ca="1">OFFSET(Helper!$C$3,MATCH(Data!$N$4:$N$1003,Helper!$C$4:$C$9,0),MATCH(Data!$O$4:$O$1003,Helper!$D$3:$F$3,0))</f>
        <v>15000</v>
      </c>
      <c r="Z734" s="16">
        <f ca="1">Table1[[#This Row],[Order Total]]+Table1[[#This Row],[Shipping Cost]]</f>
        <v>2677020</v>
      </c>
    </row>
    <row r="735" spans="1:26" ht="15.75" customHeight="1" x14ac:dyDescent="0.3">
      <c r="A735" s="9" t="s">
        <v>1566</v>
      </c>
      <c r="B735" s="18">
        <v>43560</v>
      </c>
      <c r="C735" s="10">
        <f>YEAR(Table1[[#This Row],[Order Date]])</f>
        <v>2019</v>
      </c>
      <c r="D735" s="10" t="s">
        <v>502</v>
      </c>
      <c r="E735" s="10" t="s">
        <v>503</v>
      </c>
      <c r="F735" s="10" t="s">
        <v>261</v>
      </c>
      <c r="G735" s="10" t="s">
        <v>55</v>
      </c>
      <c r="H735" s="10" t="s">
        <v>316</v>
      </c>
      <c r="I735" s="10" t="str">
        <f>VLOOKUP(Table1[[#This Row],[Account Manager ID]],Table2[[Employee ID]:[Full Name]],4,FALSE)</f>
        <v>Sari Winarno</v>
      </c>
      <c r="J735" s="10" t="str">
        <f>INDEX(Employee!$D$4:$D$47,MATCH($H$4:$H$1003,Employee!$A$4:$A$47,0))</f>
        <v>Sari Winarno</v>
      </c>
      <c r="K735" s="10" t="s">
        <v>107</v>
      </c>
      <c r="L735" s="10" t="s">
        <v>242</v>
      </c>
      <c r="M735" s="10" t="s">
        <v>81</v>
      </c>
      <c r="N735" s="10" t="s">
        <v>60</v>
      </c>
      <c r="O735" s="10" t="s">
        <v>61</v>
      </c>
      <c r="P735" s="10">
        <v>43562</v>
      </c>
      <c r="Q735" s="15">
        <v>296700</v>
      </c>
      <c r="R735" s="15">
        <v>689850</v>
      </c>
      <c r="S735" s="15">
        <f>Table1[[#This Row],[Retail Price]]-Table1[[#This Row],[Cost Price]]</f>
        <v>393150</v>
      </c>
      <c r="T735" s="10">
        <v>11</v>
      </c>
      <c r="U735" s="15">
        <f>Table1[[#This Row],[Profit Margin]]*Table1[[#This Row],[Order Quantity]]</f>
        <v>4324650</v>
      </c>
      <c r="V735" s="11">
        <v>7.0000000000000007E-2</v>
      </c>
      <c r="W735" s="15">
        <f t="shared" si="11"/>
        <v>302725.5</v>
      </c>
      <c r="X735" s="15">
        <f>Table1[[#This Row],[Sub Total]]-Table1[[#This Row],[Discount Rp]]</f>
        <v>4021924.5</v>
      </c>
      <c r="Y735" s="15">
        <f ca="1">OFFSET(Helper!$C$3,MATCH(Data!$N$4:$N$1003,Helper!$C$4:$C$9,0),MATCH(Data!$O$4:$O$1003,Helper!$D$3:$F$3,0))</f>
        <v>15000</v>
      </c>
      <c r="Z735" s="16">
        <f ca="1">Table1[[#This Row],[Order Total]]+Table1[[#This Row],[Shipping Cost]]</f>
        <v>4036924.5</v>
      </c>
    </row>
    <row r="736" spans="1:26" ht="15.75" customHeight="1" x14ac:dyDescent="0.3">
      <c r="A736" s="9" t="s">
        <v>1567</v>
      </c>
      <c r="B736" s="18">
        <v>43562</v>
      </c>
      <c r="C736" s="10">
        <f>YEAR(Table1[[#This Row],[Order Date]])</f>
        <v>2019</v>
      </c>
      <c r="D736" s="10" t="s">
        <v>650</v>
      </c>
      <c r="E736" s="10" t="s">
        <v>101</v>
      </c>
      <c r="F736" s="10" t="s">
        <v>71</v>
      </c>
      <c r="G736" s="10" t="s">
        <v>72</v>
      </c>
      <c r="H736" s="10" t="s">
        <v>97</v>
      </c>
      <c r="I736" s="10" t="str">
        <f>VLOOKUP(Table1[[#This Row],[Account Manager ID]],Table2[[Employee ID]:[Full Name]],4,FALSE)</f>
        <v>Violet Mentari</v>
      </c>
      <c r="J736" s="10" t="str">
        <f>INDEX(Employee!$D$4:$D$47,MATCH($H$4:$H$1003,Employee!$A$4:$A$47,0))</f>
        <v>Violet Mentari</v>
      </c>
      <c r="K736" s="10" t="s">
        <v>74</v>
      </c>
      <c r="L736" s="10" t="s">
        <v>265</v>
      </c>
      <c r="M736" s="10" t="s">
        <v>59</v>
      </c>
      <c r="N736" s="10" t="s">
        <v>60</v>
      </c>
      <c r="O736" s="10" t="s">
        <v>61</v>
      </c>
      <c r="P736" s="10">
        <v>43564</v>
      </c>
      <c r="Q736" s="15">
        <v>17700</v>
      </c>
      <c r="R736" s="15">
        <v>28200</v>
      </c>
      <c r="S736" s="15">
        <f>Table1[[#This Row],[Retail Price]]-Table1[[#This Row],[Cost Price]]</f>
        <v>10500</v>
      </c>
      <c r="T736" s="10">
        <v>39</v>
      </c>
      <c r="U736" s="15">
        <f>Table1[[#This Row],[Profit Margin]]*Table1[[#This Row],[Order Quantity]]</f>
        <v>409500</v>
      </c>
      <c r="V736" s="11">
        <v>7.0000000000000007E-2</v>
      </c>
      <c r="W736" s="15">
        <f t="shared" si="11"/>
        <v>28665.000000000004</v>
      </c>
      <c r="X736" s="15">
        <f>Table1[[#This Row],[Sub Total]]-Table1[[#This Row],[Discount Rp]]</f>
        <v>380835</v>
      </c>
      <c r="Y736" s="15">
        <f ca="1">OFFSET(Helper!$C$3,MATCH(Data!$N$4:$N$1003,Helper!$C$4:$C$9,0),MATCH(Data!$O$4:$O$1003,Helper!$D$3:$F$3,0))</f>
        <v>15000</v>
      </c>
      <c r="Z736" s="16">
        <f ca="1">Table1[[#This Row],[Order Total]]+Table1[[#This Row],[Shipping Cost]]</f>
        <v>395835</v>
      </c>
    </row>
    <row r="737" spans="1:26" ht="15.75" customHeight="1" x14ac:dyDescent="0.3">
      <c r="A737" s="9" t="s">
        <v>1568</v>
      </c>
      <c r="B737" s="18">
        <v>43563</v>
      </c>
      <c r="C737" s="10">
        <f>YEAR(Table1[[#This Row],[Order Date]])</f>
        <v>2019</v>
      </c>
      <c r="D737" s="10" t="s">
        <v>959</v>
      </c>
      <c r="E737" s="10" t="s">
        <v>133</v>
      </c>
      <c r="F737" s="10" t="s">
        <v>71</v>
      </c>
      <c r="G737" s="10" t="s">
        <v>72</v>
      </c>
      <c r="H737" s="10" t="s">
        <v>73</v>
      </c>
      <c r="I737" s="10" t="str">
        <f>VLOOKUP(Table1[[#This Row],[Account Manager ID]],Table2[[Employee ID]:[Full Name]],4,FALSE)</f>
        <v>Cinthia Gunawan</v>
      </c>
      <c r="J737" s="10" t="str">
        <f>INDEX(Employee!$D$4:$D$47,MATCH($H$4:$H$1003,Employee!$A$4:$A$47,0))</f>
        <v>Cinthia Gunawan</v>
      </c>
      <c r="K737" s="10" t="s">
        <v>92</v>
      </c>
      <c r="L737" s="10" t="s">
        <v>751</v>
      </c>
      <c r="M737" s="10" t="s">
        <v>81</v>
      </c>
      <c r="N737" s="10" t="s">
        <v>459</v>
      </c>
      <c r="O737" s="10" t="s">
        <v>61</v>
      </c>
      <c r="P737" s="10">
        <v>43570</v>
      </c>
      <c r="Q737" s="15">
        <v>5669850</v>
      </c>
      <c r="R737" s="15">
        <v>8999850</v>
      </c>
      <c r="S737" s="15">
        <f>Table1[[#This Row],[Retail Price]]-Table1[[#This Row],[Cost Price]]</f>
        <v>3330000</v>
      </c>
      <c r="T737" s="10">
        <v>17</v>
      </c>
      <c r="U737" s="15">
        <f>Table1[[#This Row],[Profit Margin]]*Table1[[#This Row],[Order Quantity]]</f>
        <v>56610000</v>
      </c>
      <c r="V737" s="11">
        <v>0.08</v>
      </c>
      <c r="W737" s="15">
        <f t="shared" si="11"/>
        <v>4528800</v>
      </c>
      <c r="X737" s="15">
        <f>Table1[[#This Row],[Sub Total]]-Table1[[#This Row],[Discount Rp]]</f>
        <v>52081200</v>
      </c>
      <c r="Y737" s="15">
        <f ca="1">OFFSET(Helper!$C$3,MATCH(Data!$N$4:$N$1003,Helper!$C$4:$C$9,0),MATCH(Data!$O$4:$O$1003,Helper!$D$3:$F$3,0))</f>
        <v>50000</v>
      </c>
      <c r="Z737" s="16">
        <f ca="1">Table1[[#This Row],[Order Total]]+Table1[[#This Row],[Shipping Cost]]</f>
        <v>52131200</v>
      </c>
    </row>
    <row r="738" spans="1:26" ht="15.75" customHeight="1" x14ac:dyDescent="0.3">
      <c r="A738" s="9" t="s">
        <v>1569</v>
      </c>
      <c r="B738" s="18">
        <v>43563</v>
      </c>
      <c r="C738" s="10">
        <f>YEAR(Table1[[#This Row],[Order Date]])</f>
        <v>2019</v>
      </c>
      <c r="D738" s="10" t="s">
        <v>414</v>
      </c>
      <c r="E738" s="10" t="s">
        <v>241</v>
      </c>
      <c r="F738" s="10" t="s">
        <v>71</v>
      </c>
      <c r="G738" s="10" t="s">
        <v>72</v>
      </c>
      <c r="H738" s="10" t="s">
        <v>146</v>
      </c>
      <c r="I738" s="10" t="str">
        <f>VLOOKUP(Table1[[#This Row],[Account Manager ID]],Table2[[Employee ID]:[Full Name]],4,FALSE)</f>
        <v>Kenari Rajasa</v>
      </c>
      <c r="J738" s="10" t="str">
        <f>INDEX(Employee!$D$4:$D$47,MATCH($H$4:$H$1003,Employee!$A$4:$A$47,0))</f>
        <v>Kenari Rajasa</v>
      </c>
      <c r="K738" s="10" t="s">
        <v>57</v>
      </c>
      <c r="L738" s="10" t="s">
        <v>102</v>
      </c>
      <c r="M738" s="10" t="s">
        <v>59</v>
      </c>
      <c r="N738" s="10" t="s">
        <v>67</v>
      </c>
      <c r="O738" s="10" t="s">
        <v>61</v>
      </c>
      <c r="P738" s="10">
        <v>43564</v>
      </c>
      <c r="Q738" s="15">
        <v>16350.000000000002</v>
      </c>
      <c r="R738" s="15">
        <v>25200</v>
      </c>
      <c r="S738" s="15">
        <f>Table1[[#This Row],[Retail Price]]-Table1[[#This Row],[Cost Price]]</f>
        <v>8849.9999999999982</v>
      </c>
      <c r="T738" s="10">
        <v>24</v>
      </c>
      <c r="U738" s="15">
        <f>Table1[[#This Row],[Profit Margin]]*Table1[[#This Row],[Order Quantity]]</f>
        <v>212399.99999999994</v>
      </c>
      <c r="V738" s="11">
        <v>0.05</v>
      </c>
      <c r="W738" s="15">
        <f t="shared" si="11"/>
        <v>10619.999999999998</v>
      </c>
      <c r="X738" s="15">
        <f>Table1[[#This Row],[Sub Total]]-Table1[[#This Row],[Discount Rp]]</f>
        <v>201779.99999999994</v>
      </c>
      <c r="Y738" s="15">
        <f ca="1">OFFSET(Helper!$C$3,MATCH(Data!$N$4:$N$1003,Helper!$C$4:$C$9,0),MATCH(Data!$O$4:$O$1003,Helper!$D$3:$F$3,0))</f>
        <v>5000</v>
      </c>
      <c r="Z738" s="16">
        <f ca="1">Table1[[#This Row],[Order Total]]+Table1[[#This Row],[Shipping Cost]]</f>
        <v>206779.99999999994</v>
      </c>
    </row>
    <row r="739" spans="1:26" ht="15.75" customHeight="1" x14ac:dyDescent="0.3">
      <c r="A739" s="9" t="s">
        <v>1570</v>
      </c>
      <c r="B739" s="18">
        <v>43566</v>
      </c>
      <c r="C739" s="10">
        <f>YEAR(Table1[[#This Row],[Order Date]])</f>
        <v>2019</v>
      </c>
      <c r="D739" s="10" t="s">
        <v>1571</v>
      </c>
      <c r="E739" s="10" t="s">
        <v>927</v>
      </c>
      <c r="F739" s="10" t="s">
        <v>54</v>
      </c>
      <c r="G739" s="10" t="s">
        <v>55</v>
      </c>
      <c r="H739" s="10" t="s">
        <v>56</v>
      </c>
      <c r="I739" s="10" t="str">
        <f>VLOOKUP(Table1[[#This Row],[Account Manager ID]],Table2[[Employee ID]:[Full Name]],4,FALSE)</f>
        <v>Gaduh Pratama</v>
      </c>
      <c r="J739" s="10" t="str">
        <f>INDEX(Employee!$D$4:$D$47,MATCH($H$4:$H$1003,Employee!$A$4:$A$47,0))</f>
        <v>Gaduh Pratama</v>
      </c>
      <c r="K739" s="10" t="s">
        <v>57</v>
      </c>
      <c r="L739" s="10" t="s">
        <v>226</v>
      </c>
      <c r="M739" s="10" t="s">
        <v>81</v>
      </c>
      <c r="N739" s="10" t="s">
        <v>227</v>
      </c>
      <c r="O739" s="10" t="s">
        <v>61</v>
      </c>
      <c r="P739" s="10">
        <v>43567</v>
      </c>
      <c r="Q739" s="15">
        <v>132300</v>
      </c>
      <c r="R739" s="15">
        <v>314850</v>
      </c>
      <c r="S739" s="15">
        <f>Table1[[#This Row],[Retail Price]]-Table1[[#This Row],[Cost Price]]</f>
        <v>182550</v>
      </c>
      <c r="T739" s="10">
        <v>30</v>
      </c>
      <c r="U739" s="15">
        <f>Table1[[#This Row],[Profit Margin]]*Table1[[#This Row],[Order Quantity]]</f>
        <v>5476500</v>
      </c>
      <c r="V739" s="11">
        <v>0.03</v>
      </c>
      <c r="W739" s="15">
        <f t="shared" si="11"/>
        <v>164295</v>
      </c>
      <c r="X739" s="15">
        <f>Table1[[#This Row],[Sub Total]]-Table1[[#This Row],[Discount Rp]]</f>
        <v>5312205</v>
      </c>
      <c r="Y739" s="15">
        <f ca="1">OFFSET(Helper!$C$3,MATCH(Data!$N$4:$N$1003,Helper!$C$4:$C$9,0),MATCH(Data!$O$4:$O$1003,Helper!$D$3:$F$3,0))</f>
        <v>20000</v>
      </c>
      <c r="Z739" s="16">
        <f ca="1">Table1[[#This Row],[Order Total]]+Table1[[#This Row],[Shipping Cost]]</f>
        <v>5332205</v>
      </c>
    </row>
    <row r="740" spans="1:26" ht="15.75" customHeight="1" x14ac:dyDescent="0.3">
      <c r="A740" s="9" t="s">
        <v>1572</v>
      </c>
      <c r="B740" s="18">
        <v>43566</v>
      </c>
      <c r="C740" s="10">
        <f>YEAR(Table1[[#This Row],[Order Date]])</f>
        <v>2019</v>
      </c>
      <c r="D740" s="10" t="s">
        <v>884</v>
      </c>
      <c r="E740" s="10" t="s">
        <v>275</v>
      </c>
      <c r="F740" s="10" t="s">
        <v>71</v>
      </c>
      <c r="G740" s="10" t="s">
        <v>106</v>
      </c>
      <c r="H740" s="10" t="s">
        <v>146</v>
      </c>
      <c r="I740" s="10" t="str">
        <f>VLOOKUP(Table1[[#This Row],[Account Manager ID]],Table2[[Employee ID]:[Full Name]],4,FALSE)</f>
        <v>Kenari Rajasa</v>
      </c>
      <c r="J740" s="10" t="str">
        <f>INDEX(Employee!$D$4:$D$47,MATCH($H$4:$H$1003,Employee!$A$4:$A$47,0))</f>
        <v>Kenari Rajasa</v>
      </c>
      <c r="K740" s="10" t="s">
        <v>74</v>
      </c>
      <c r="L740" s="10" t="s">
        <v>265</v>
      </c>
      <c r="M740" s="10" t="s">
        <v>59</v>
      </c>
      <c r="N740" s="10" t="s">
        <v>60</v>
      </c>
      <c r="O740" s="10" t="s">
        <v>61</v>
      </c>
      <c r="P740" s="10">
        <v>43568</v>
      </c>
      <c r="Q740" s="15">
        <v>17700</v>
      </c>
      <c r="R740" s="15">
        <v>28200</v>
      </c>
      <c r="S740" s="15">
        <f>Table1[[#This Row],[Retail Price]]-Table1[[#This Row],[Cost Price]]</f>
        <v>10500</v>
      </c>
      <c r="T740" s="10">
        <v>1</v>
      </c>
      <c r="U740" s="15">
        <f>Table1[[#This Row],[Profit Margin]]*Table1[[#This Row],[Order Quantity]]</f>
        <v>10500</v>
      </c>
      <c r="V740" s="11">
        <v>0.09</v>
      </c>
      <c r="W740" s="15">
        <f t="shared" si="11"/>
        <v>945</v>
      </c>
      <c r="X740" s="15">
        <f>Table1[[#This Row],[Sub Total]]-Table1[[#This Row],[Discount Rp]]</f>
        <v>9555</v>
      </c>
      <c r="Y740" s="15">
        <f ca="1">OFFSET(Helper!$C$3,MATCH(Data!$N$4:$N$1003,Helper!$C$4:$C$9,0),MATCH(Data!$O$4:$O$1003,Helper!$D$3:$F$3,0))</f>
        <v>15000</v>
      </c>
      <c r="Z740" s="16">
        <f ca="1">Table1[[#This Row],[Order Total]]+Table1[[#This Row],[Shipping Cost]]</f>
        <v>24555</v>
      </c>
    </row>
    <row r="741" spans="1:26" ht="15.75" customHeight="1" x14ac:dyDescent="0.3">
      <c r="A741" s="9" t="s">
        <v>1573</v>
      </c>
      <c r="B741" s="18">
        <v>43566</v>
      </c>
      <c r="C741" s="10">
        <f>YEAR(Table1[[#This Row],[Order Date]])</f>
        <v>2019</v>
      </c>
      <c r="D741" s="10" t="s">
        <v>1472</v>
      </c>
      <c r="E741" s="10" t="s">
        <v>1473</v>
      </c>
      <c r="F741" s="10" t="s">
        <v>261</v>
      </c>
      <c r="G741" s="10" t="s">
        <v>72</v>
      </c>
      <c r="H741" s="10" t="s">
        <v>194</v>
      </c>
      <c r="I741" s="10" t="str">
        <f>VLOOKUP(Table1[[#This Row],[Account Manager ID]],Table2[[Employee ID]:[Full Name]],4,FALSE)</f>
        <v>Nabila Prakasa</v>
      </c>
      <c r="J741" s="10" t="str">
        <f>INDEX(Employee!$D$4:$D$47,MATCH($H$4:$H$1003,Employee!$A$4:$A$47,0))</f>
        <v>Nabila Prakasa</v>
      </c>
      <c r="K741" s="10" t="s">
        <v>92</v>
      </c>
      <c r="L741" s="10" t="s">
        <v>598</v>
      </c>
      <c r="M741" s="10" t="s">
        <v>59</v>
      </c>
      <c r="N741" s="10" t="s">
        <v>136</v>
      </c>
      <c r="O741" s="10" t="s">
        <v>76</v>
      </c>
      <c r="P741" s="10">
        <v>43573</v>
      </c>
      <c r="Q741" s="15">
        <v>252000</v>
      </c>
      <c r="R741" s="15">
        <v>614550</v>
      </c>
      <c r="S741" s="15">
        <f>Table1[[#This Row],[Retail Price]]-Table1[[#This Row],[Cost Price]]</f>
        <v>362550</v>
      </c>
      <c r="T741" s="10">
        <v>49</v>
      </c>
      <c r="U741" s="15">
        <f>Table1[[#This Row],[Profit Margin]]*Table1[[#This Row],[Order Quantity]]</f>
        <v>17764950</v>
      </c>
      <c r="V741" s="11">
        <v>0.1</v>
      </c>
      <c r="W741" s="15">
        <f t="shared" si="11"/>
        <v>1776495</v>
      </c>
      <c r="X741" s="15">
        <f>Table1[[#This Row],[Sub Total]]-Table1[[#This Row],[Discount Rp]]</f>
        <v>15988455</v>
      </c>
      <c r="Y741" s="15">
        <f ca="1">OFFSET(Helper!$C$3,MATCH(Data!$N$4:$N$1003,Helper!$C$4:$C$9,0),MATCH(Data!$O$4:$O$1003,Helper!$D$3:$F$3,0))</f>
        <v>20000</v>
      </c>
      <c r="Z741" s="16">
        <f ca="1">Table1[[#This Row],[Order Total]]+Table1[[#This Row],[Shipping Cost]]</f>
        <v>16008455</v>
      </c>
    </row>
    <row r="742" spans="1:26" ht="15.75" customHeight="1" x14ac:dyDescent="0.3">
      <c r="A742" s="9" t="s">
        <v>1574</v>
      </c>
      <c r="B742" s="18">
        <v>43569</v>
      </c>
      <c r="C742" s="10">
        <f>YEAR(Table1[[#This Row],[Order Date]])</f>
        <v>2019</v>
      </c>
      <c r="D742" s="10" t="s">
        <v>800</v>
      </c>
      <c r="E742" s="10" t="s">
        <v>801</v>
      </c>
      <c r="F742" s="10" t="s">
        <v>261</v>
      </c>
      <c r="G742" s="10" t="s">
        <v>55</v>
      </c>
      <c r="H742" s="10" t="s">
        <v>112</v>
      </c>
      <c r="I742" s="10" t="str">
        <f>VLOOKUP(Table1[[#This Row],[Account Manager ID]],Table2[[Employee ID]:[Full Name]],4,FALSE)</f>
        <v>Paiman Firgantoro</v>
      </c>
      <c r="J742" s="10" t="str">
        <f>INDEX(Employee!$D$4:$D$47,MATCH($H$4:$H$1003,Employee!$A$4:$A$47,0))</f>
        <v>Paiman Firgantoro</v>
      </c>
      <c r="K742" s="10" t="s">
        <v>57</v>
      </c>
      <c r="L742" s="10" t="s">
        <v>588</v>
      </c>
      <c r="M742" s="10" t="s">
        <v>59</v>
      </c>
      <c r="N742" s="10" t="s">
        <v>60</v>
      </c>
      <c r="O742" s="10" t="s">
        <v>61</v>
      </c>
      <c r="P742" s="10">
        <v>43570</v>
      </c>
      <c r="Q742" s="15">
        <v>67950</v>
      </c>
      <c r="R742" s="15">
        <v>109500</v>
      </c>
      <c r="S742" s="15">
        <f>Table1[[#This Row],[Retail Price]]-Table1[[#This Row],[Cost Price]]</f>
        <v>41550</v>
      </c>
      <c r="T742" s="10">
        <v>38</v>
      </c>
      <c r="U742" s="15">
        <f>Table1[[#This Row],[Profit Margin]]*Table1[[#This Row],[Order Quantity]]</f>
        <v>1578900</v>
      </c>
      <c r="V742" s="11">
        <v>0.05</v>
      </c>
      <c r="W742" s="15">
        <f t="shared" si="11"/>
        <v>78945</v>
      </c>
      <c r="X742" s="15">
        <f>Table1[[#This Row],[Sub Total]]-Table1[[#This Row],[Discount Rp]]</f>
        <v>1499955</v>
      </c>
      <c r="Y742" s="15">
        <f ca="1">OFFSET(Helper!$C$3,MATCH(Data!$N$4:$N$1003,Helper!$C$4:$C$9,0),MATCH(Data!$O$4:$O$1003,Helper!$D$3:$F$3,0))</f>
        <v>15000</v>
      </c>
      <c r="Z742" s="16">
        <f ca="1">Table1[[#This Row],[Order Total]]+Table1[[#This Row],[Shipping Cost]]</f>
        <v>1514955</v>
      </c>
    </row>
    <row r="743" spans="1:26" ht="15.75" customHeight="1" x14ac:dyDescent="0.3">
      <c r="A743" s="9" t="s">
        <v>1575</v>
      </c>
      <c r="B743" s="18">
        <v>43569</v>
      </c>
      <c r="C743" s="10">
        <f>YEAR(Table1[[#This Row],[Order Date]])</f>
        <v>2019</v>
      </c>
      <c r="D743" s="10" t="s">
        <v>800</v>
      </c>
      <c r="E743" s="10" t="s">
        <v>801</v>
      </c>
      <c r="F743" s="10" t="s">
        <v>261</v>
      </c>
      <c r="G743" s="10" t="s">
        <v>55</v>
      </c>
      <c r="H743" s="10" t="s">
        <v>112</v>
      </c>
      <c r="I743" s="10" t="str">
        <f>VLOOKUP(Table1[[#This Row],[Account Manager ID]],Table2[[Employee ID]:[Full Name]],4,FALSE)</f>
        <v>Paiman Firgantoro</v>
      </c>
      <c r="J743" s="10" t="str">
        <f>INDEX(Employee!$D$4:$D$47,MATCH($H$4:$H$1003,Employee!$A$4:$A$47,0))</f>
        <v>Paiman Firgantoro</v>
      </c>
      <c r="K743" s="10" t="s">
        <v>117</v>
      </c>
      <c r="L743" s="10" t="s">
        <v>611</v>
      </c>
      <c r="M743" s="10" t="s">
        <v>59</v>
      </c>
      <c r="N743" s="10" t="s">
        <v>60</v>
      </c>
      <c r="O743" s="10" t="s">
        <v>61</v>
      </c>
      <c r="P743" s="10">
        <v>43570</v>
      </c>
      <c r="Q743" s="15">
        <v>34350</v>
      </c>
      <c r="R743" s="15">
        <v>55350</v>
      </c>
      <c r="S743" s="15">
        <f>Table1[[#This Row],[Retail Price]]-Table1[[#This Row],[Cost Price]]</f>
        <v>21000</v>
      </c>
      <c r="T743" s="10">
        <v>41</v>
      </c>
      <c r="U743" s="15">
        <f>Table1[[#This Row],[Profit Margin]]*Table1[[#This Row],[Order Quantity]]</f>
        <v>861000</v>
      </c>
      <c r="V743" s="11">
        <v>0.01</v>
      </c>
      <c r="W743" s="15">
        <f t="shared" si="11"/>
        <v>8610</v>
      </c>
      <c r="X743" s="15">
        <f>Table1[[#This Row],[Sub Total]]-Table1[[#This Row],[Discount Rp]]</f>
        <v>852390</v>
      </c>
      <c r="Y743" s="15">
        <f ca="1">OFFSET(Helper!$C$3,MATCH(Data!$N$4:$N$1003,Helper!$C$4:$C$9,0),MATCH(Data!$O$4:$O$1003,Helper!$D$3:$F$3,0))</f>
        <v>15000</v>
      </c>
      <c r="Z743" s="16">
        <f ca="1">Table1[[#This Row],[Order Total]]+Table1[[#This Row],[Shipping Cost]]</f>
        <v>867390</v>
      </c>
    </row>
    <row r="744" spans="1:26" ht="15.75" customHeight="1" x14ac:dyDescent="0.3">
      <c r="A744" s="9" t="s">
        <v>1575</v>
      </c>
      <c r="B744" s="18">
        <v>43569</v>
      </c>
      <c r="C744" s="10">
        <f>YEAR(Table1[[#This Row],[Order Date]])</f>
        <v>2019</v>
      </c>
      <c r="D744" s="10" t="s">
        <v>800</v>
      </c>
      <c r="E744" s="10" t="s">
        <v>801</v>
      </c>
      <c r="F744" s="10" t="s">
        <v>261</v>
      </c>
      <c r="G744" s="10" t="s">
        <v>55</v>
      </c>
      <c r="H744" s="10" t="s">
        <v>112</v>
      </c>
      <c r="I744" s="10" t="str">
        <f>VLOOKUP(Table1[[#This Row],[Account Manager ID]],Table2[[Employee ID]:[Full Name]],4,FALSE)</f>
        <v>Paiman Firgantoro</v>
      </c>
      <c r="J744" s="10" t="str">
        <f>INDEX(Employee!$D$4:$D$47,MATCH($H$4:$H$1003,Employee!$A$4:$A$47,0))</f>
        <v>Paiman Firgantoro</v>
      </c>
      <c r="K744" s="10" t="s">
        <v>57</v>
      </c>
      <c r="L744" s="10" t="s">
        <v>384</v>
      </c>
      <c r="M744" s="10" t="s">
        <v>59</v>
      </c>
      <c r="N744" s="10" t="s">
        <v>67</v>
      </c>
      <c r="O744" s="10" t="s">
        <v>76</v>
      </c>
      <c r="P744" s="10">
        <v>43570</v>
      </c>
      <c r="Q744" s="15">
        <v>65550</v>
      </c>
      <c r="R744" s="15">
        <v>136650</v>
      </c>
      <c r="S744" s="15">
        <f>Table1[[#This Row],[Retail Price]]-Table1[[#This Row],[Cost Price]]</f>
        <v>71100</v>
      </c>
      <c r="T744" s="10">
        <v>21</v>
      </c>
      <c r="U744" s="15">
        <f>Table1[[#This Row],[Profit Margin]]*Table1[[#This Row],[Order Quantity]]</f>
        <v>1493100</v>
      </c>
      <c r="V744" s="11">
        <v>0.03</v>
      </c>
      <c r="W744" s="15">
        <f t="shared" si="11"/>
        <v>44793</v>
      </c>
      <c r="X744" s="15">
        <f>Table1[[#This Row],[Sub Total]]-Table1[[#This Row],[Discount Rp]]</f>
        <v>1448307</v>
      </c>
      <c r="Y744" s="15">
        <f ca="1">OFFSET(Helper!$C$3,MATCH(Data!$N$4:$N$1003,Helper!$C$4:$C$9,0),MATCH(Data!$O$4:$O$1003,Helper!$D$3:$F$3,0))</f>
        <v>10000</v>
      </c>
      <c r="Z744" s="16">
        <f ca="1">Table1[[#This Row],[Order Total]]+Table1[[#This Row],[Shipping Cost]]</f>
        <v>1458307</v>
      </c>
    </row>
    <row r="745" spans="1:26" ht="15.75" customHeight="1" x14ac:dyDescent="0.3">
      <c r="A745" s="9" t="s">
        <v>1576</v>
      </c>
      <c r="B745" s="18">
        <v>43571</v>
      </c>
      <c r="C745" s="10">
        <f>YEAR(Table1[[#This Row],[Order Date]])</f>
        <v>2019</v>
      </c>
      <c r="D745" s="10" t="s">
        <v>1577</v>
      </c>
      <c r="E745" s="10" t="s">
        <v>1578</v>
      </c>
      <c r="F745" s="10" t="s">
        <v>71</v>
      </c>
      <c r="G745" s="10" t="s">
        <v>72</v>
      </c>
      <c r="H745" s="10" t="s">
        <v>304</v>
      </c>
      <c r="I745" s="10" t="str">
        <f>VLOOKUP(Table1[[#This Row],[Account Manager ID]],Table2[[Employee ID]:[Full Name]],4,FALSE)</f>
        <v>Sutan Tirtayasa Wasita</v>
      </c>
      <c r="J745" s="10" t="str">
        <f>INDEX(Employee!$D$4:$D$47,MATCH($H$4:$H$1003,Employee!$A$4:$A$47,0))</f>
        <v>Sutan Tirtayasa Wasita</v>
      </c>
      <c r="K745" s="10" t="s">
        <v>107</v>
      </c>
      <c r="L745" s="10" t="s">
        <v>942</v>
      </c>
      <c r="M745" s="10" t="s">
        <v>81</v>
      </c>
      <c r="N745" s="10" t="s">
        <v>60</v>
      </c>
      <c r="O745" s="10" t="s">
        <v>61</v>
      </c>
      <c r="P745" s="10">
        <v>43572</v>
      </c>
      <c r="Q745" s="15">
        <v>220500</v>
      </c>
      <c r="R745" s="15">
        <v>449850</v>
      </c>
      <c r="S745" s="15">
        <f>Table1[[#This Row],[Retail Price]]-Table1[[#This Row],[Cost Price]]</f>
        <v>229350</v>
      </c>
      <c r="T745" s="10">
        <v>14</v>
      </c>
      <c r="U745" s="15">
        <f>Table1[[#This Row],[Profit Margin]]*Table1[[#This Row],[Order Quantity]]</f>
        <v>3210900</v>
      </c>
      <c r="V745" s="11">
        <v>0.04</v>
      </c>
      <c r="W745" s="15">
        <f t="shared" si="11"/>
        <v>128436</v>
      </c>
      <c r="X745" s="15">
        <f>Table1[[#This Row],[Sub Total]]-Table1[[#This Row],[Discount Rp]]</f>
        <v>3082464</v>
      </c>
      <c r="Y745" s="15">
        <f ca="1">OFFSET(Helper!$C$3,MATCH(Data!$N$4:$N$1003,Helper!$C$4:$C$9,0),MATCH(Data!$O$4:$O$1003,Helper!$D$3:$F$3,0))</f>
        <v>15000</v>
      </c>
      <c r="Z745" s="16">
        <f ca="1">Table1[[#This Row],[Order Total]]+Table1[[#This Row],[Shipping Cost]]</f>
        <v>3097464</v>
      </c>
    </row>
    <row r="746" spans="1:26" ht="15.75" customHeight="1" x14ac:dyDescent="0.3">
      <c r="A746" s="9" t="s">
        <v>1579</v>
      </c>
      <c r="B746" s="18">
        <v>43578</v>
      </c>
      <c r="C746" s="10">
        <f>YEAR(Table1[[#This Row],[Order Date]])</f>
        <v>2019</v>
      </c>
      <c r="D746" s="10" t="s">
        <v>1124</v>
      </c>
      <c r="E746" s="10" t="s">
        <v>601</v>
      </c>
      <c r="F746" s="10" t="s">
        <v>71</v>
      </c>
      <c r="G746" s="10" t="s">
        <v>55</v>
      </c>
      <c r="H746" s="10" t="s">
        <v>122</v>
      </c>
      <c r="I746" s="10" t="str">
        <f>VLOOKUP(Table1[[#This Row],[Account Manager ID]],Table2[[Employee ID]:[Full Name]],4,FALSE)</f>
        <v>Ophelia Mustofa</v>
      </c>
      <c r="J746" s="10" t="str">
        <f>INDEX(Employee!$D$4:$D$47,MATCH($H$4:$H$1003,Employee!$A$4:$A$47,0))</f>
        <v>Ophelia Mustofa</v>
      </c>
      <c r="K746" s="10" t="s">
        <v>57</v>
      </c>
      <c r="L746" s="10" t="s">
        <v>212</v>
      </c>
      <c r="M746" s="10" t="s">
        <v>59</v>
      </c>
      <c r="N746" s="10" t="s">
        <v>67</v>
      </c>
      <c r="O746" s="10" t="s">
        <v>61</v>
      </c>
      <c r="P746" s="10">
        <v>43580</v>
      </c>
      <c r="Q746" s="15">
        <v>52050</v>
      </c>
      <c r="R746" s="15">
        <v>100200</v>
      </c>
      <c r="S746" s="15">
        <f>Table1[[#This Row],[Retail Price]]-Table1[[#This Row],[Cost Price]]</f>
        <v>48150</v>
      </c>
      <c r="T746" s="10">
        <v>10</v>
      </c>
      <c r="U746" s="15">
        <f>Table1[[#This Row],[Profit Margin]]*Table1[[#This Row],[Order Quantity]]</f>
        <v>481500</v>
      </c>
      <c r="V746" s="11">
        <v>0.08</v>
      </c>
      <c r="W746" s="15">
        <f t="shared" si="11"/>
        <v>38520</v>
      </c>
      <c r="X746" s="15">
        <f>Table1[[#This Row],[Sub Total]]-Table1[[#This Row],[Discount Rp]]</f>
        <v>442980</v>
      </c>
      <c r="Y746" s="15">
        <f ca="1">OFFSET(Helper!$C$3,MATCH(Data!$N$4:$N$1003,Helper!$C$4:$C$9,0),MATCH(Data!$O$4:$O$1003,Helper!$D$3:$F$3,0))</f>
        <v>5000</v>
      </c>
      <c r="Z746" s="16">
        <f ca="1">Table1[[#This Row],[Order Total]]+Table1[[#This Row],[Shipping Cost]]</f>
        <v>447980</v>
      </c>
    </row>
    <row r="747" spans="1:26" ht="15.75" customHeight="1" x14ac:dyDescent="0.3">
      <c r="A747" s="9" t="s">
        <v>1580</v>
      </c>
      <c r="B747" s="18">
        <v>43581</v>
      </c>
      <c r="C747" s="10">
        <f>YEAR(Table1[[#This Row],[Order Date]])</f>
        <v>2019</v>
      </c>
      <c r="D747" s="10" t="s">
        <v>1167</v>
      </c>
      <c r="E747" s="10" t="s">
        <v>485</v>
      </c>
      <c r="F747" s="10" t="s">
        <v>71</v>
      </c>
      <c r="G747" s="10" t="s">
        <v>55</v>
      </c>
      <c r="H747" s="10" t="s">
        <v>185</v>
      </c>
      <c r="I747" s="10" t="str">
        <f>VLOOKUP(Table1[[#This Row],[Account Manager ID]],Table2[[Employee ID]:[Full Name]],4,FALSE)</f>
        <v>Clara Prasetyo</v>
      </c>
      <c r="J747" s="10" t="str">
        <f>INDEX(Employee!$D$4:$D$47,MATCH($H$4:$H$1003,Employee!$A$4:$A$47,0))</f>
        <v>Clara Prasetyo</v>
      </c>
      <c r="K747" s="10" t="s">
        <v>57</v>
      </c>
      <c r="L747" s="10" t="s">
        <v>256</v>
      </c>
      <c r="M747" s="10" t="s">
        <v>59</v>
      </c>
      <c r="N747" s="10" t="s">
        <v>60</v>
      </c>
      <c r="O747" s="10" t="s">
        <v>61</v>
      </c>
      <c r="P747" s="10">
        <v>43583</v>
      </c>
      <c r="Q747" s="15">
        <v>204600</v>
      </c>
      <c r="R747" s="15">
        <v>314700</v>
      </c>
      <c r="S747" s="15">
        <f>Table1[[#This Row],[Retail Price]]-Table1[[#This Row],[Cost Price]]</f>
        <v>110100</v>
      </c>
      <c r="T747" s="10">
        <v>34</v>
      </c>
      <c r="U747" s="15">
        <f>Table1[[#This Row],[Profit Margin]]*Table1[[#This Row],[Order Quantity]]</f>
        <v>3743400</v>
      </c>
      <c r="V747" s="11">
        <v>7.0000000000000007E-2</v>
      </c>
      <c r="W747" s="15">
        <f t="shared" si="11"/>
        <v>262038.00000000003</v>
      </c>
      <c r="X747" s="15">
        <f>Table1[[#This Row],[Sub Total]]-Table1[[#This Row],[Discount Rp]]</f>
        <v>3481362</v>
      </c>
      <c r="Y747" s="15">
        <f ca="1">OFFSET(Helper!$C$3,MATCH(Data!$N$4:$N$1003,Helper!$C$4:$C$9,0),MATCH(Data!$O$4:$O$1003,Helper!$D$3:$F$3,0))</f>
        <v>15000</v>
      </c>
      <c r="Z747" s="16">
        <f ca="1">Table1[[#This Row],[Order Total]]+Table1[[#This Row],[Shipping Cost]]</f>
        <v>3496362</v>
      </c>
    </row>
    <row r="748" spans="1:26" ht="15.75" customHeight="1" x14ac:dyDescent="0.3">
      <c r="A748" s="12" t="s">
        <v>1581</v>
      </c>
      <c r="B748" s="18">
        <v>43586</v>
      </c>
      <c r="C748" s="10">
        <f>YEAR(Table1[[#This Row],[Order Date]])</f>
        <v>2019</v>
      </c>
      <c r="D748" s="10" t="s">
        <v>132</v>
      </c>
      <c r="E748" s="10" t="s">
        <v>133</v>
      </c>
      <c r="F748" s="10" t="s">
        <v>71</v>
      </c>
      <c r="G748" s="10" t="s">
        <v>55</v>
      </c>
      <c r="H748" s="10" t="s">
        <v>134</v>
      </c>
      <c r="I748" s="10" t="str">
        <f>VLOOKUP(Table1[[#This Row],[Account Manager ID]],Table2[[Employee ID]:[Full Name]],4,FALSE)</f>
        <v>Darmanto Laksita</v>
      </c>
      <c r="J748" s="10" t="str">
        <f>INDEX(Employee!$D$4:$D$47,MATCH($H$4:$H$1003,Employee!$A$4:$A$47,0))</f>
        <v>Darmanto Laksita</v>
      </c>
      <c r="K748" s="10" t="s">
        <v>57</v>
      </c>
      <c r="L748" s="10" t="s">
        <v>216</v>
      </c>
      <c r="M748" s="10" t="s">
        <v>81</v>
      </c>
      <c r="N748" s="10" t="s">
        <v>136</v>
      </c>
      <c r="O748" s="10" t="s">
        <v>61</v>
      </c>
      <c r="P748" s="10">
        <v>43587</v>
      </c>
      <c r="Q748" s="15">
        <v>28050</v>
      </c>
      <c r="R748" s="15">
        <v>121799.99999999999</v>
      </c>
      <c r="S748" s="15">
        <f>Table1[[#This Row],[Retail Price]]-Table1[[#This Row],[Cost Price]]</f>
        <v>93749.999999999985</v>
      </c>
      <c r="T748" s="10">
        <v>47</v>
      </c>
      <c r="U748" s="15">
        <f>Table1[[#This Row],[Profit Margin]]*Table1[[#This Row],[Order Quantity]]</f>
        <v>4406249.9999999991</v>
      </c>
      <c r="V748" s="11">
        <v>7.0000000000000007E-2</v>
      </c>
      <c r="W748" s="15">
        <f t="shared" si="11"/>
        <v>308437.49999999994</v>
      </c>
      <c r="X748" s="15">
        <f>Table1[[#This Row],[Sub Total]]-Table1[[#This Row],[Discount Rp]]</f>
        <v>4097812.4999999991</v>
      </c>
      <c r="Y748" s="15">
        <f ca="1">OFFSET(Helper!$C$3,MATCH(Data!$N$4:$N$1003,Helper!$C$4:$C$9,0),MATCH(Data!$O$4:$O$1003,Helper!$D$3:$F$3,0))</f>
        <v>10000</v>
      </c>
      <c r="Z748" s="16">
        <f ca="1">Table1[[#This Row],[Order Total]]+Table1[[#This Row],[Shipping Cost]]</f>
        <v>4107812.4999999991</v>
      </c>
    </row>
    <row r="749" spans="1:26" ht="15.75" customHeight="1" x14ac:dyDescent="0.3">
      <c r="A749" s="9" t="s">
        <v>1582</v>
      </c>
      <c r="B749" s="18">
        <v>43586</v>
      </c>
      <c r="C749" s="10">
        <f>YEAR(Table1[[#This Row],[Order Date]])</f>
        <v>2019</v>
      </c>
      <c r="D749" s="10" t="s">
        <v>1488</v>
      </c>
      <c r="E749" s="10" t="s">
        <v>521</v>
      </c>
      <c r="F749" s="10" t="s">
        <v>71</v>
      </c>
      <c r="G749" s="10" t="s">
        <v>87</v>
      </c>
      <c r="H749" s="10" t="s">
        <v>88</v>
      </c>
      <c r="I749" s="10" t="str">
        <f>VLOOKUP(Table1[[#This Row],[Account Manager ID]],Table2[[Employee ID]:[Full Name]],4,FALSE)</f>
        <v>Bagiya Sihombing</v>
      </c>
      <c r="J749" s="10" t="str">
        <f>INDEX(Employee!$D$4:$D$47,MATCH($H$4:$H$1003,Employee!$A$4:$A$47,0))</f>
        <v>Bagiya Sihombing</v>
      </c>
      <c r="K749" s="10" t="s">
        <v>117</v>
      </c>
      <c r="L749" s="10" t="s">
        <v>216</v>
      </c>
      <c r="M749" s="10" t="s">
        <v>81</v>
      </c>
      <c r="N749" s="10" t="s">
        <v>136</v>
      </c>
      <c r="O749" s="10" t="s">
        <v>61</v>
      </c>
      <c r="P749" s="10">
        <v>43586</v>
      </c>
      <c r="Q749" s="15">
        <v>28050</v>
      </c>
      <c r="R749" s="15">
        <v>121799.99999999999</v>
      </c>
      <c r="S749" s="15">
        <f>Table1[[#This Row],[Retail Price]]-Table1[[#This Row],[Cost Price]]</f>
        <v>93749.999999999985</v>
      </c>
      <c r="T749" s="10">
        <v>36</v>
      </c>
      <c r="U749" s="15">
        <f>Table1[[#This Row],[Profit Margin]]*Table1[[#This Row],[Order Quantity]]</f>
        <v>3374999.9999999995</v>
      </c>
      <c r="V749" s="11">
        <v>0.1</v>
      </c>
      <c r="W749" s="15">
        <f t="shared" si="11"/>
        <v>337500</v>
      </c>
      <c r="X749" s="15">
        <f>Table1[[#This Row],[Sub Total]]-Table1[[#This Row],[Discount Rp]]</f>
        <v>3037499.9999999995</v>
      </c>
      <c r="Y749" s="15">
        <f ca="1">OFFSET(Helper!$C$3,MATCH(Data!$N$4:$N$1003,Helper!$C$4:$C$9,0),MATCH(Data!$O$4:$O$1003,Helper!$D$3:$F$3,0))</f>
        <v>10000</v>
      </c>
      <c r="Z749" s="16">
        <f ca="1">Table1[[#This Row],[Order Total]]+Table1[[#This Row],[Shipping Cost]]</f>
        <v>3047499.9999999995</v>
      </c>
    </row>
    <row r="750" spans="1:26" ht="15.75" customHeight="1" x14ac:dyDescent="0.3">
      <c r="A750" s="9" t="s">
        <v>1583</v>
      </c>
      <c r="B750" s="18">
        <v>43586</v>
      </c>
      <c r="C750" s="10">
        <f>YEAR(Table1[[#This Row],[Order Date]])</f>
        <v>2019</v>
      </c>
      <c r="D750" s="10" t="s">
        <v>1502</v>
      </c>
      <c r="E750" s="10" t="s">
        <v>145</v>
      </c>
      <c r="F750" s="10" t="s">
        <v>71</v>
      </c>
      <c r="G750" s="10" t="s">
        <v>55</v>
      </c>
      <c r="H750" s="10" t="s">
        <v>146</v>
      </c>
      <c r="I750" s="10" t="str">
        <f>VLOOKUP(Table1[[#This Row],[Account Manager ID]],Table2[[Employee ID]:[Full Name]],4,FALSE)</f>
        <v>Kenari Rajasa</v>
      </c>
      <c r="J750" s="10" t="str">
        <f>INDEX(Employee!$D$4:$D$47,MATCH($H$4:$H$1003,Employee!$A$4:$A$47,0))</f>
        <v>Kenari Rajasa</v>
      </c>
      <c r="K750" s="10" t="s">
        <v>117</v>
      </c>
      <c r="L750" s="10" t="s">
        <v>200</v>
      </c>
      <c r="M750" s="10" t="s">
        <v>59</v>
      </c>
      <c r="N750" s="10" t="s">
        <v>136</v>
      </c>
      <c r="O750" s="10" t="s">
        <v>61</v>
      </c>
      <c r="P750" s="10">
        <v>43588</v>
      </c>
      <c r="Q750" s="15">
        <v>71850</v>
      </c>
      <c r="R750" s="15">
        <v>179550</v>
      </c>
      <c r="S750" s="15">
        <f>Table1[[#This Row],[Retail Price]]-Table1[[#This Row],[Cost Price]]</f>
        <v>107700</v>
      </c>
      <c r="T750" s="10">
        <v>28</v>
      </c>
      <c r="U750" s="15">
        <f>Table1[[#This Row],[Profit Margin]]*Table1[[#This Row],[Order Quantity]]</f>
        <v>3015600</v>
      </c>
      <c r="V750" s="11">
        <v>0.03</v>
      </c>
      <c r="W750" s="15">
        <f t="shared" si="11"/>
        <v>90468</v>
      </c>
      <c r="X750" s="15">
        <f>Table1[[#This Row],[Sub Total]]-Table1[[#This Row],[Discount Rp]]</f>
        <v>2925132</v>
      </c>
      <c r="Y750" s="15">
        <f ca="1">OFFSET(Helper!$C$3,MATCH(Data!$N$4:$N$1003,Helper!$C$4:$C$9,0),MATCH(Data!$O$4:$O$1003,Helper!$D$3:$F$3,0))</f>
        <v>10000</v>
      </c>
      <c r="Z750" s="16">
        <f ca="1">Table1[[#This Row],[Order Total]]+Table1[[#This Row],[Shipping Cost]]</f>
        <v>2935132</v>
      </c>
    </row>
    <row r="751" spans="1:26" ht="15.75" customHeight="1" x14ac:dyDescent="0.3">
      <c r="A751" s="9" t="s">
        <v>1584</v>
      </c>
      <c r="B751" s="18">
        <v>43587</v>
      </c>
      <c r="C751" s="10">
        <f>YEAR(Table1[[#This Row],[Order Date]])</f>
        <v>2019</v>
      </c>
      <c r="D751" s="10" t="s">
        <v>1245</v>
      </c>
      <c r="E751" s="10" t="s">
        <v>279</v>
      </c>
      <c r="F751" s="10" t="s">
        <v>71</v>
      </c>
      <c r="G751" s="10" t="s">
        <v>55</v>
      </c>
      <c r="H751" s="10" t="s">
        <v>155</v>
      </c>
      <c r="I751" s="10" t="str">
        <f>VLOOKUP(Table1[[#This Row],[Account Manager ID]],Table2[[Employee ID]:[Full Name]],4,FALSE)</f>
        <v>Puti Nadine Prakasa</v>
      </c>
      <c r="J751" s="10" t="str">
        <f>INDEX(Employee!$D$4:$D$47,MATCH($H$4:$H$1003,Employee!$A$4:$A$47,0))</f>
        <v>Puti Nadine Prakasa</v>
      </c>
      <c r="K751" s="10" t="s">
        <v>107</v>
      </c>
      <c r="L751" s="10" t="s">
        <v>197</v>
      </c>
      <c r="M751" s="10" t="s">
        <v>81</v>
      </c>
      <c r="N751" s="10" t="s">
        <v>60</v>
      </c>
      <c r="O751" s="10" t="s">
        <v>61</v>
      </c>
      <c r="P751" s="10">
        <v>43589</v>
      </c>
      <c r="Q751" s="15">
        <v>124650.00000000001</v>
      </c>
      <c r="R751" s="15">
        <v>239700</v>
      </c>
      <c r="S751" s="15">
        <f>Table1[[#This Row],[Retail Price]]-Table1[[#This Row],[Cost Price]]</f>
        <v>115049.99999999999</v>
      </c>
      <c r="T751" s="10">
        <v>4</v>
      </c>
      <c r="U751" s="15">
        <f>Table1[[#This Row],[Profit Margin]]*Table1[[#This Row],[Order Quantity]]</f>
        <v>460199.99999999994</v>
      </c>
      <c r="V751" s="11">
        <v>0.09</v>
      </c>
      <c r="W751" s="15">
        <f t="shared" si="11"/>
        <v>41417.999999999993</v>
      </c>
      <c r="X751" s="15">
        <f>Table1[[#This Row],[Sub Total]]-Table1[[#This Row],[Discount Rp]]</f>
        <v>418781.99999999994</v>
      </c>
      <c r="Y751" s="15">
        <f ca="1">OFFSET(Helper!$C$3,MATCH(Data!$N$4:$N$1003,Helper!$C$4:$C$9,0),MATCH(Data!$O$4:$O$1003,Helper!$D$3:$F$3,0))</f>
        <v>15000</v>
      </c>
      <c r="Z751" s="16">
        <f ca="1">Table1[[#This Row],[Order Total]]+Table1[[#This Row],[Shipping Cost]]</f>
        <v>433781.99999999994</v>
      </c>
    </row>
    <row r="752" spans="1:26" ht="15.75" customHeight="1" x14ac:dyDescent="0.3">
      <c r="A752" s="9" t="s">
        <v>1585</v>
      </c>
      <c r="B752" s="18">
        <v>43588</v>
      </c>
      <c r="C752" s="10">
        <f>YEAR(Table1[[#This Row],[Order Date]])</f>
        <v>2019</v>
      </c>
      <c r="D752" s="10" t="s">
        <v>581</v>
      </c>
      <c r="E752" s="10" t="s">
        <v>101</v>
      </c>
      <c r="F752" s="10" t="s">
        <v>71</v>
      </c>
      <c r="G752" s="10" t="s">
        <v>72</v>
      </c>
      <c r="H752" s="10" t="s">
        <v>97</v>
      </c>
      <c r="I752" s="10" t="str">
        <f>VLOOKUP(Table1[[#This Row],[Account Manager ID]],Table2[[Employee ID]:[Full Name]],4,FALSE)</f>
        <v>Violet Mentari</v>
      </c>
      <c r="J752" s="10" t="str">
        <f>INDEX(Employee!$D$4:$D$47,MATCH($H$4:$H$1003,Employee!$A$4:$A$47,0))</f>
        <v>Violet Mentari</v>
      </c>
      <c r="K752" s="10" t="s">
        <v>57</v>
      </c>
      <c r="L752" s="10" t="s">
        <v>419</v>
      </c>
      <c r="M752" s="10" t="s">
        <v>59</v>
      </c>
      <c r="N752" s="10" t="s">
        <v>60</v>
      </c>
      <c r="O752" s="10" t="s">
        <v>61</v>
      </c>
      <c r="P752" s="10">
        <v>43588</v>
      </c>
      <c r="Q752" s="15">
        <v>66900</v>
      </c>
      <c r="R752" s="15">
        <v>163350</v>
      </c>
      <c r="S752" s="15">
        <f>Table1[[#This Row],[Retail Price]]-Table1[[#This Row],[Cost Price]]</f>
        <v>96450</v>
      </c>
      <c r="T752" s="10">
        <v>25</v>
      </c>
      <c r="U752" s="15">
        <f>Table1[[#This Row],[Profit Margin]]*Table1[[#This Row],[Order Quantity]]</f>
        <v>2411250</v>
      </c>
      <c r="V752" s="11">
        <v>0.03</v>
      </c>
      <c r="W752" s="15">
        <f t="shared" si="11"/>
        <v>72337.5</v>
      </c>
      <c r="X752" s="15">
        <f>Table1[[#This Row],[Sub Total]]-Table1[[#This Row],[Discount Rp]]</f>
        <v>2338912.5</v>
      </c>
      <c r="Y752" s="15">
        <f ca="1">OFFSET(Helper!$C$3,MATCH(Data!$N$4:$N$1003,Helper!$C$4:$C$9,0),MATCH(Data!$O$4:$O$1003,Helper!$D$3:$F$3,0))</f>
        <v>15000</v>
      </c>
      <c r="Z752" s="16">
        <f ca="1">Table1[[#This Row],[Order Total]]+Table1[[#This Row],[Shipping Cost]]</f>
        <v>2353912.5</v>
      </c>
    </row>
    <row r="753" spans="1:26" ht="15.75" customHeight="1" x14ac:dyDescent="0.3">
      <c r="A753" s="9" t="s">
        <v>1586</v>
      </c>
      <c r="B753" s="18">
        <v>43588</v>
      </c>
      <c r="C753" s="10">
        <f>YEAR(Table1[[#This Row],[Order Date]])</f>
        <v>2019</v>
      </c>
      <c r="D753" s="10" t="s">
        <v>1587</v>
      </c>
      <c r="E753" s="10" t="s">
        <v>159</v>
      </c>
      <c r="F753" s="10" t="s">
        <v>71</v>
      </c>
      <c r="G753" s="10" t="s">
        <v>87</v>
      </c>
      <c r="H753" s="10" t="s">
        <v>122</v>
      </c>
      <c r="I753" s="10" t="str">
        <f>VLOOKUP(Table1[[#This Row],[Account Manager ID]],Table2[[Employee ID]:[Full Name]],4,FALSE)</f>
        <v>Ophelia Mustofa</v>
      </c>
      <c r="J753" s="10" t="str">
        <f>INDEX(Employee!$D$4:$D$47,MATCH($H$4:$H$1003,Employee!$A$4:$A$47,0))</f>
        <v>Ophelia Mustofa</v>
      </c>
      <c r="K753" s="10" t="s">
        <v>74</v>
      </c>
      <c r="L753" s="10" t="s">
        <v>166</v>
      </c>
      <c r="M753" s="10" t="s">
        <v>59</v>
      </c>
      <c r="N753" s="10" t="s">
        <v>136</v>
      </c>
      <c r="O753" s="10" t="s">
        <v>61</v>
      </c>
      <c r="P753" s="10">
        <v>43588</v>
      </c>
      <c r="Q753" s="15">
        <v>14100</v>
      </c>
      <c r="R753" s="15">
        <v>31200</v>
      </c>
      <c r="S753" s="15">
        <f>Table1[[#This Row],[Retail Price]]-Table1[[#This Row],[Cost Price]]</f>
        <v>17100</v>
      </c>
      <c r="T753" s="10">
        <v>33</v>
      </c>
      <c r="U753" s="15">
        <f>Table1[[#This Row],[Profit Margin]]*Table1[[#This Row],[Order Quantity]]</f>
        <v>564300</v>
      </c>
      <c r="V753" s="11">
        <v>0.05</v>
      </c>
      <c r="W753" s="15">
        <f t="shared" si="11"/>
        <v>28215</v>
      </c>
      <c r="X753" s="15">
        <f>Table1[[#This Row],[Sub Total]]-Table1[[#This Row],[Discount Rp]]</f>
        <v>536085</v>
      </c>
      <c r="Y753" s="15">
        <f ca="1">OFFSET(Helper!$C$3,MATCH(Data!$N$4:$N$1003,Helper!$C$4:$C$9,0),MATCH(Data!$O$4:$O$1003,Helper!$D$3:$F$3,0))</f>
        <v>10000</v>
      </c>
      <c r="Z753" s="16">
        <f ca="1">Table1[[#This Row],[Order Total]]+Table1[[#This Row],[Shipping Cost]]</f>
        <v>546085</v>
      </c>
    </row>
    <row r="754" spans="1:26" ht="15.75" customHeight="1" x14ac:dyDescent="0.3">
      <c r="A754" s="9" t="s">
        <v>1588</v>
      </c>
      <c r="B754" s="18">
        <v>43588</v>
      </c>
      <c r="C754" s="10">
        <f>YEAR(Table1[[#This Row],[Order Date]])</f>
        <v>2019</v>
      </c>
      <c r="D754" s="10" t="s">
        <v>1589</v>
      </c>
      <c r="E754" s="10" t="s">
        <v>1396</v>
      </c>
      <c r="F754" s="10" t="s">
        <v>71</v>
      </c>
      <c r="G754" s="10" t="s">
        <v>72</v>
      </c>
      <c r="H754" s="10" t="s">
        <v>146</v>
      </c>
      <c r="I754" s="10" t="str">
        <f>VLOOKUP(Table1[[#This Row],[Account Manager ID]],Table2[[Employee ID]:[Full Name]],4,FALSE)</f>
        <v>Kenari Rajasa</v>
      </c>
      <c r="J754" s="10" t="str">
        <f>INDEX(Employee!$D$4:$D$47,MATCH($H$4:$H$1003,Employee!$A$4:$A$47,0))</f>
        <v>Kenari Rajasa</v>
      </c>
      <c r="K754" s="10" t="s">
        <v>74</v>
      </c>
      <c r="L754" s="10" t="s">
        <v>276</v>
      </c>
      <c r="M754" s="10" t="s">
        <v>81</v>
      </c>
      <c r="N754" s="10" t="s">
        <v>60</v>
      </c>
      <c r="O754" s="10" t="s">
        <v>61</v>
      </c>
      <c r="P754" s="10">
        <v>43588</v>
      </c>
      <c r="Q754" s="15">
        <v>2347500</v>
      </c>
      <c r="R754" s="15">
        <v>4514550</v>
      </c>
      <c r="S754" s="15">
        <f>Table1[[#This Row],[Retail Price]]-Table1[[#This Row],[Cost Price]]</f>
        <v>2167050</v>
      </c>
      <c r="T754" s="10">
        <v>43</v>
      </c>
      <c r="U754" s="15">
        <f>Table1[[#This Row],[Profit Margin]]*Table1[[#This Row],[Order Quantity]]</f>
        <v>93183150</v>
      </c>
      <c r="V754" s="11">
        <v>0.08</v>
      </c>
      <c r="W754" s="15">
        <f t="shared" si="11"/>
        <v>7454652</v>
      </c>
      <c r="X754" s="15">
        <f>Table1[[#This Row],[Sub Total]]-Table1[[#This Row],[Discount Rp]]</f>
        <v>85728498</v>
      </c>
      <c r="Y754" s="15">
        <f ca="1">OFFSET(Helper!$C$3,MATCH(Data!$N$4:$N$1003,Helper!$C$4:$C$9,0),MATCH(Data!$O$4:$O$1003,Helper!$D$3:$F$3,0))</f>
        <v>15000</v>
      </c>
      <c r="Z754" s="16">
        <f ca="1">Table1[[#This Row],[Order Total]]+Table1[[#This Row],[Shipping Cost]]</f>
        <v>85743498</v>
      </c>
    </row>
    <row r="755" spans="1:26" ht="15.75" customHeight="1" x14ac:dyDescent="0.3">
      <c r="A755" s="9" t="s">
        <v>1590</v>
      </c>
      <c r="B755" s="18">
        <v>43593</v>
      </c>
      <c r="C755" s="10">
        <f>YEAR(Table1[[#This Row],[Order Date]])</f>
        <v>2019</v>
      </c>
      <c r="D755" s="10" t="s">
        <v>1591</v>
      </c>
      <c r="E755" s="10" t="s">
        <v>628</v>
      </c>
      <c r="F755" s="10" t="s">
        <v>71</v>
      </c>
      <c r="G755" s="10" t="s">
        <v>55</v>
      </c>
      <c r="H755" s="10" t="s">
        <v>304</v>
      </c>
      <c r="I755" s="10" t="str">
        <f>VLOOKUP(Table1[[#This Row],[Account Manager ID]],Table2[[Employee ID]:[Full Name]],4,FALSE)</f>
        <v>Sutan Tirtayasa Wasita</v>
      </c>
      <c r="J755" s="10" t="str">
        <f>INDEX(Employee!$D$4:$D$47,MATCH($H$4:$H$1003,Employee!$A$4:$A$47,0))</f>
        <v>Sutan Tirtayasa Wasita</v>
      </c>
      <c r="K755" s="10" t="s">
        <v>74</v>
      </c>
      <c r="L755" s="10" t="s">
        <v>488</v>
      </c>
      <c r="M755" s="10" t="s">
        <v>59</v>
      </c>
      <c r="N755" s="10" t="s">
        <v>136</v>
      </c>
      <c r="O755" s="10" t="s">
        <v>61</v>
      </c>
      <c r="P755" s="10">
        <v>43594</v>
      </c>
      <c r="Q755" s="15">
        <v>77850</v>
      </c>
      <c r="R755" s="15">
        <v>194700</v>
      </c>
      <c r="S755" s="15">
        <f>Table1[[#This Row],[Retail Price]]-Table1[[#This Row],[Cost Price]]</f>
        <v>116850</v>
      </c>
      <c r="T755" s="10">
        <v>50</v>
      </c>
      <c r="U755" s="15">
        <f>Table1[[#This Row],[Profit Margin]]*Table1[[#This Row],[Order Quantity]]</f>
        <v>5842500</v>
      </c>
      <c r="V755" s="11">
        <v>0.08</v>
      </c>
      <c r="W755" s="15">
        <f t="shared" si="11"/>
        <v>467400</v>
      </c>
      <c r="X755" s="15">
        <f>Table1[[#This Row],[Sub Total]]-Table1[[#This Row],[Discount Rp]]</f>
        <v>5375100</v>
      </c>
      <c r="Y755" s="15">
        <f ca="1">OFFSET(Helper!$C$3,MATCH(Data!$N$4:$N$1003,Helper!$C$4:$C$9,0),MATCH(Data!$O$4:$O$1003,Helper!$D$3:$F$3,0))</f>
        <v>10000</v>
      </c>
      <c r="Z755" s="16">
        <f ca="1">Table1[[#This Row],[Order Total]]+Table1[[#This Row],[Shipping Cost]]</f>
        <v>5385100</v>
      </c>
    </row>
    <row r="756" spans="1:26" ht="15.75" customHeight="1" x14ac:dyDescent="0.3">
      <c r="A756" s="9" t="s">
        <v>1592</v>
      </c>
      <c r="B756" s="18">
        <v>43595</v>
      </c>
      <c r="C756" s="10">
        <f>YEAR(Table1[[#This Row],[Order Date]])</f>
        <v>2019</v>
      </c>
      <c r="D756" s="10" t="s">
        <v>347</v>
      </c>
      <c r="E756" s="10" t="s">
        <v>348</v>
      </c>
      <c r="F756" s="10" t="s">
        <v>261</v>
      </c>
      <c r="G756" s="10" t="s">
        <v>72</v>
      </c>
      <c r="H756" s="10" t="s">
        <v>146</v>
      </c>
      <c r="I756" s="10" t="str">
        <f>VLOOKUP(Table1[[#This Row],[Account Manager ID]],Table2[[Employee ID]:[Full Name]],4,FALSE)</f>
        <v>Kenari Rajasa</v>
      </c>
      <c r="J756" s="10" t="str">
        <f>INDEX(Employee!$D$4:$D$47,MATCH($H$4:$H$1003,Employee!$A$4:$A$47,0))</f>
        <v>Kenari Rajasa</v>
      </c>
      <c r="K756" s="10" t="s">
        <v>57</v>
      </c>
      <c r="L756" s="10" t="s">
        <v>75</v>
      </c>
      <c r="M756" s="10" t="s">
        <v>59</v>
      </c>
      <c r="N756" s="10" t="s">
        <v>67</v>
      </c>
      <c r="O756" s="10" t="s">
        <v>76</v>
      </c>
      <c r="P756" s="10">
        <v>43597</v>
      </c>
      <c r="Q756" s="15">
        <v>36150</v>
      </c>
      <c r="R756" s="15">
        <v>55650</v>
      </c>
      <c r="S756" s="15">
        <f>Table1[[#This Row],[Retail Price]]-Table1[[#This Row],[Cost Price]]</f>
        <v>19500</v>
      </c>
      <c r="T756" s="10">
        <v>16</v>
      </c>
      <c r="U756" s="15">
        <f>Table1[[#This Row],[Profit Margin]]*Table1[[#This Row],[Order Quantity]]</f>
        <v>312000</v>
      </c>
      <c r="V756" s="11">
        <v>0.1</v>
      </c>
      <c r="W756" s="15">
        <f t="shared" si="11"/>
        <v>31200</v>
      </c>
      <c r="X756" s="15">
        <f>Table1[[#This Row],[Sub Total]]-Table1[[#This Row],[Discount Rp]]</f>
        <v>280800</v>
      </c>
      <c r="Y756" s="15">
        <f ca="1">OFFSET(Helper!$C$3,MATCH(Data!$N$4:$N$1003,Helper!$C$4:$C$9,0),MATCH(Data!$O$4:$O$1003,Helper!$D$3:$F$3,0))</f>
        <v>10000</v>
      </c>
      <c r="Z756" s="16">
        <f ca="1">Table1[[#This Row],[Order Total]]+Table1[[#This Row],[Shipping Cost]]</f>
        <v>290800</v>
      </c>
    </row>
    <row r="757" spans="1:26" ht="15.75" customHeight="1" x14ac:dyDescent="0.3">
      <c r="A757" s="9" t="s">
        <v>1593</v>
      </c>
      <c r="B757" s="18">
        <v>43597</v>
      </c>
      <c r="C757" s="10">
        <f>YEAR(Table1[[#This Row],[Order Date]])</f>
        <v>2019</v>
      </c>
      <c r="D757" s="10" t="s">
        <v>1594</v>
      </c>
      <c r="E757" s="10" t="s">
        <v>455</v>
      </c>
      <c r="F757" s="10" t="s">
        <v>71</v>
      </c>
      <c r="G757" s="10" t="s">
        <v>55</v>
      </c>
      <c r="H757" s="10" t="s">
        <v>155</v>
      </c>
      <c r="I757" s="10" t="str">
        <f>VLOOKUP(Table1[[#This Row],[Account Manager ID]],Table2[[Employee ID]:[Full Name]],4,FALSE)</f>
        <v>Puti Nadine Prakasa</v>
      </c>
      <c r="J757" s="10" t="str">
        <f>INDEX(Employee!$D$4:$D$47,MATCH($H$4:$H$1003,Employee!$A$4:$A$47,0))</f>
        <v>Puti Nadine Prakasa</v>
      </c>
      <c r="K757" s="10" t="s">
        <v>117</v>
      </c>
      <c r="L757" s="10" t="s">
        <v>190</v>
      </c>
      <c r="M757" s="10" t="s">
        <v>81</v>
      </c>
      <c r="N757" s="10" t="s">
        <v>60</v>
      </c>
      <c r="O757" s="10" t="s">
        <v>61</v>
      </c>
      <c r="P757" s="10">
        <v>43598</v>
      </c>
      <c r="Q757" s="15">
        <v>594600</v>
      </c>
      <c r="R757" s="15">
        <v>2287200</v>
      </c>
      <c r="S757" s="15">
        <f>Table1[[#This Row],[Retail Price]]-Table1[[#This Row],[Cost Price]]</f>
        <v>1692600</v>
      </c>
      <c r="T757" s="10">
        <v>27</v>
      </c>
      <c r="U757" s="15">
        <f>Table1[[#This Row],[Profit Margin]]*Table1[[#This Row],[Order Quantity]]</f>
        <v>45700200</v>
      </c>
      <c r="V757" s="11">
        <v>0.1</v>
      </c>
      <c r="W757" s="15">
        <f t="shared" si="11"/>
        <v>4570020</v>
      </c>
      <c r="X757" s="15">
        <f>Table1[[#This Row],[Sub Total]]-Table1[[#This Row],[Discount Rp]]</f>
        <v>41130180</v>
      </c>
      <c r="Y757" s="15">
        <f ca="1">OFFSET(Helper!$C$3,MATCH(Data!$N$4:$N$1003,Helper!$C$4:$C$9,0),MATCH(Data!$O$4:$O$1003,Helper!$D$3:$F$3,0))</f>
        <v>15000</v>
      </c>
      <c r="Z757" s="16">
        <f ca="1">Table1[[#This Row],[Order Total]]+Table1[[#This Row],[Shipping Cost]]</f>
        <v>41145180</v>
      </c>
    </row>
    <row r="758" spans="1:26" ht="15.75" customHeight="1" x14ac:dyDescent="0.3">
      <c r="A758" s="9" t="s">
        <v>1595</v>
      </c>
      <c r="B758" s="18">
        <v>43597</v>
      </c>
      <c r="C758" s="10">
        <f>YEAR(Table1[[#This Row],[Order Date]])</f>
        <v>2019</v>
      </c>
      <c r="D758" s="10" t="s">
        <v>1596</v>
      </c>
      <c r="E758" s="10" t="s">
        <v>1597</v>
      </c>
      <c r="F758" s="10" t="s">
        <v>261</v>
      </c>
      <c r="G758" s="10" t="s">
        <v>55</v>
      </c>
      <c r="H758" s="10" t="s">
        <v>194</v>
      </c>
      <c r="I758" s="10" t="str">
        <f>VLOOKUP(Table1[[#This Row],[Account Manager ID]],Table2[[Employee ID]:[Full Name]],4,FALSE)</f>
        <v>Nabila Prakasa</v>
      </c>
      <c r="J758" s="10" t="str">
        <f>INDEX(Employee!$D$4:$D$47,MATCH($H$4:$H$1003,Employee!$A$4:$A$47,0))</f>
        <v>Nabila Prakasa</v>
      </c>
      <c r="K758" s="10" t="s">
        <v>74</v>
      </c>
      <c r="L758" s="10" t="s">
        <v>753</v>
      </c>
      <c r="M758" s="10" t="s">
        <v>59</v>
      </c>
      <c r="N758" s="10" t="s">
        <v>67</v>
      </c>
      <c r="O758" s="10" t="s">
        <v>61</v>
      </c>
      <c r="P758" s="10">
        <v>43599</v>
      </c>
      <c r="Q758" s="15">
        <v>38850</v>
      </c>
      <c r="R758" s="15">
        <v>59700</v>
      </c>
      <c r="S758" s="15">
        <f>Table1[[#This Row],[Retail Price]]-Table1[[#This Row],[Cost Price]]</f>
        <v>20850</v>
      </c>
      <c r="T758" s="10">
        <v>41</v>
      </c>
      <c r="U758" s="15">
        <f>Table1[[#This Row],[Profit Margin]]*Table1[[#This Row],[Order Quantity]]</f>
        <v>854850</v>
      </c>
      <c r="V758" s="11">
        <v>0.1</v>
      </c>
      <c r="W758" s="15">
        <f t="shared" si="11"/>
        <v>85485</v>
      </c>
      <c r="X758" s="15">
        <f>Table1[[#This Row],[Sub Total]]-Table1[[#This Row],[Discount Rp]]</f>
        <v>769365</v>
      </c>
      <c r="Y758" s="15">
        <f ca="1">OFFSET(Helper!$C$3,MATCH(Data!$N$4:$N$1003,Helper!$C$4:$C$9,0),MATCH(Data!$O$4:$O$1003,Helper!$D$3:$F$3,0))</f>
        <v>5000</v>
      </c>
      <c r="Z758" s="16">
        <f ca="1">Table1[[#This Row],[Order Total]]+Table1[[#This Row],[Shipping Cost]]</f>
        <v>774365</v>
      </c>
    </row>
    <row r="759" spans="1:26" ht="15.75" customHeight="1" x14ac:dyDescent="0.3">
      <c r="A759" s="9" t="s">
        <v>1598</v>
      </c>
      <c r="B759" s="18">
        <v>43598</v>
      </c>
      <c r="C759" s="10">
        <f>YEAR(Table1[[#This Row],[Order Date]])</f>
        <v>2019</v>
      </c>
      <c r="D759" s="10" t="s">
        <v>1402</v>
      </c>
      <c r="E759" s="10" t="s">
        <v>724</v>
      </c>
      <c r="F759" s="10" t="s">
        <v>71</v>
      </c>
      <c r="G759" s="10" t="s">
        <v>55</v>
      </c>
      <c r="H759" s="10" t="s">
        <v>185</v>
      </c>
      <c r="I759" s="10" t="str">
        <f>VLOOKUP(Table1[[#This Row],[Account Manager ID]],Table2[[Employee ID]:[Full Name]],4,FALSE)</f>
        <v>Clara Prasetyo</v>
      </c>
      <c r="J759" s="10" t="str">
        <f>INDEX(Employee!$D$4:$D$47,MATCH($H$4:$H$1003,Employee!$A$4:$A$47,0))</f>
        <v>Clara Prasetyo</v>
      </c>
      <c r="K759" s="10" t="s">
        <v>107</v>
      </c>
      <c r="L759" s="10" t="s">
        <v>442</v>
      </c>
      <c r="M759" s="10" t="s">
        <v>59</v>
      </c>
      <c r="N759" s="10" t="s">
        <v>67</v>
      </c>
      <c r="O759" s="10" t="s">
        <v>61</v>
      </c>
      <c r="P759" s="10">
        <v>43600</v>
      </c>
      <c r="Q759" s="15">
        <v>22950</v>
      </c>
      <c r="R759" s="15">
        <v>41700</v>
      </c>
      <c r="S759" s="15">
        <f>Table1[[#This Row],[Retail Price]]-Table1[[#This Row],[Cost Price]]</f>
        <v>18750</v>
      </c>
      <c r="T759" s="10">
        <v>38</v>
      </c>
      <c r="U759" s="15">
        <f>Table1[[#This Row],[Profit Margin]]*Table1[[#This Row],[Order Quantity]]</f>
        <v>712500</v>
      </c>
      <c r="V759" s="11">
        <v>0</v>
      </c>
      <c r="W759" s="15">
        <f t="shared" si="11"/>
        <v>0</v>
      </c>
      <c r="X759" s="15">
        <f>Table1[[#This Row],[Sub Total]]-Table1[[#This Row],[Discount Rp]]</f>
        <v>712500</v>
      </c>
      <c r="Y759" s="15">
        <f ca="1">OFFSET(Helper!$C$3,MATCH(Data!$N$4:$N$1003,Helper!$C$4:$C$9,0),MATCH(Data!$O$4:$O$1003,Helper!$D$3:$F$3,0))</f>
        <v>5000</v>
      </c>
      <c r="Z759" s="16">
        <f ca="1">Table1[[#This Row],[Order Total]]+Table1[[#This Row],[Shipping Cost]]</f>
        <v>717500</v>
      </c>
    </row>
    <row r="760" spans="1:26" ht="15.75" customHeight="1" x14ac:dyDescent="0.3">
      <c r="A760" s="12" t="s">
        <v>1599</v>
      </c>
      <c r="B760" s="18">
        <v>43601</v>
      </c>
      <c r="C760" s="10">
        <f>YEAR(Table1[[#This Row],[Order Date]])</f>
        <v>2019</v>
      </c>
      <c r="D760" s="10" t="s">
        <v>1600</v>
      </c>
      <c r="E760" s="10" t="s">
        <v>334</v>
      </c>
      <c r="F760" s="10" t="s">
        <v>54</v>
      </c>
      <c r="G760" s="10" t="s">
        <v>87</v>
      </c>
      <c r="H760" s="10" t="s">
        <v>65</v>
      </c>
      <c r="I760" s="10" t="str">
        <f>VLOOKUP(Table1[[#This Row],[Account Manager ID]],Table2[[Employee ID]:[Full Name]],4,FALSE)</f>
        <v>Laras Nuraini</v>
      </c>
      <c r="J760" s="10" t="str">
        <f>INDEX(Employee!$D$4:$D$47,MATCH($H$4:$H$1003,Employee!$A$4:$A$47,0))</f>
        <v>Laras Nuraini</v>
      </c>
      <c r="K760" s="10" t="s">
        <v>57</v>
      </c>
      <c r="L760" s="10" t="s">
        <v>1061</v>
      </c>
      <c r="M760" s="10" t="s">
        <v>59</v>
      </c>
      <c r="N760" s="10" t="s">
        <v>60</v>
      </c>
      <c r="O760" s="10" t="s">
        <v>61</v>
      </c>
      <c r="P760" s="10">
        <v>43602</v>
      </c>
      <c r="Q760" s="15">
        <v>17850</v>
      </c>
      <c r="R760" s="15">
        <v>29700</v>
      </c>
      <c r="S760" s="15">
        <f>Table1[[#This Row],[Retail Price]]-Table1[[#This Row],[Cost Price]]</f>
        <v>11850</v>
      </c>
      <c r="T760" s="10">
        <v>12</v>
      </c>
      <c r="U760" s="15">
        <f>Table1[[#This Row],[Profit Margin]]*Table1[[#This Row],[Order Quantity]]</f>
        <v>142200</v>
      </c>
      <c r="V760" s="11">
        <v>7.0000000000000007E-2</v>
      </c>
      <c r="W760" s="15">
        <f t="shared" si="11"/>
        <v>9954.0000000000018</v>
      </c>
      <c r="X760" s="15">
        <f>Table1[[#This Row],[Sub Total]]-Table1[[#This Row],[Discount Rp]]</f>
        <v>132246</v>
      </c>
      <c r="Y760" s="15">
        <f ca="1">OFFSET(Helper!$C$3,MATCH(Data!$N$4:$N$1003,Helper!$C$4:$C$9,0),MATCH(Data!$O$4:$O$1003,Helper!$D$3:$F$3,0))</f>
        <v>15000</v>
      </c>
      <c r="Z760" s="16">
        <f ca="1">Table1[[#This Row],[Order Total]]+Table1[[#This Row],[Shipping Cost]]</f>
        <v>147246</v>
      </c>
    </row>
    <row r="761" spans="1:26" ht="15.75" customHeight="1" x14ac:dyDescent="0.3">
      <c r="A761" s="12" t="s">
        <v>1601</v>
      </c>
      <c r="B761" s="18">
        <v>43602</v>
      </c>
      <c r="C761" s="10">
        <f>YEAR(Table1[[#This Row],[Order Date]])</f>
        <v>2019</v>
      </c>
      <c r="D761" s="10" t="s">
        <v>1602</v>
      </c>
      <c r="E761" s="10" t="s">
        <v>579</v>
      </c>
      <c r="F761" s="10" t="s">
        <v>71</v>
      </c>
      <c r="G761" s="10" t="s">
        <v>72</v>
      </c>
      <c r="H761" s="10" t="s">
        <v>73</v>
      </c>
      <c r="I761" s="10" t="str">
        <f>VLOOKUP(Table1[[#This Row],[Account Manager ID]],Table2[[Employee ID]:[Full Name]],4,FALSE)</f>
        <v>Cinthia Gunawan</v>
      </c>
      <c r="J761" s="10" t="str">
        <f>INDEX(Employee!$D$4:$D$47,MATCH($H$4:$H$1003,Employee!$A$4:$A$47,0))</f>
        <v>Cinthia Gunawan</v>
      </c>
      <c r="K761" s="10" t="s">
        <v>74</v>
      </c>
      <c r="L761" s="10" t="s">
        <v>406</v>
      </c>
      <c r="M761" s="10" t="s">
        <v>81</v>
      </c>
      <c r="N761" s="10" t="s">
        <v>82</v>
      </c>
      <c r="O761" s="10" t="s">
        <v>83</v>
      </c>
      <c r="P761" s="10">
        <v>43603</v>
      </c>
      <c r="Q761" s="15">
        <v>4184850</v>
      </c>
      <c r="R761" s="15">
        <v>6749850</v>
      </c>
      <c r="S761" s="15">
        <f>Table1[[#This Row],[Retail Price]]-Table1[[#This Row],[Cost Price]]</f>
        <v>2565000</v>
      </c>
      <c r="T761" s="10">
        <v>16</v>
      </c>
      <c r="U761" s="15">
        <f>Table1[[#This Row],[Profit Margin]]*Table1[[#This Row],[Order Quantity]]</f>
        <v>41040000</v>
      </c>
      <c r="V761" s="11">
        <v>0.09</v>
      </c>
      <c r="W761" s="15">
        <f t="shared" si="11"/>
        <v>3693600</v>
      </c>
      <c r="X761" s="15">
        <f>Table1[[#This Row],[Sub Total]]-Table1[[#This Row],[Discount Rp]]</f>
        <v>37346400</v>
      </c>
      <c r="Y761" s="15">
        <f ca="1">OFFSET(Helper!$C$3,MATCH(Data!$N$4:$N$1003,Helper!$C$4:$C$9,0),MATCH(Data!$O$4:$O$1003,Helper!$D$3:$F$3,0))</f>
        <v>500000</v>
      </c>
      <c r="Z761" s="16">
        <f ca="1">Table1[[#This Row],[Order Total]]+Table1[[#This Row],[Shipping Cost]]</f>
        <v>37846400</v>
      </c>
    </row>
    <row r="762" spans="1:26" ht="15.75" customHeight="1" x14ac:dyDescent="0.3">
      <c r="A762" s="9" t="s">
        <v>1603</v>
      </c>
      <c r="B762" s="18">
        <v>43603</v>
      </c>
      <c r="C762" s="10">
        <f>YEAR(Table1[[#This Row],[Order Date]])</f>
        <v>2019</v>
      </c>
      <c r="D762" s="10" t="s">
        <v>509</v>
      </c>
      <c r="E762" s="10" t="s">
        <v>53</v>
      </c>
      <c r="F762" s="10" t="s">
        <v>54</v>
      </c>
      <c r="G762" s="10" t="s">
        <v>106</v>
      </c>
      <c r="H762" s="10" t="s">
        <v>56</v>
      </c>
      <c r="I762" s="10" t="str">
        <f>VLOOKUP(Table1[[#This Row],[Account Manager ID]],Table2[[Employee ID]:[Full Name]],4,FALSE)</f>
        <v>Gaduh Pratama</v>
      </c>
      <c r="J762" s="10" t="str">
        <f>INDEX(Employee!$D$4:$D$47,MATCH($H$4:$H$1003,Employee!$A$4:$A$47,0))</f>
        <v>Gaduh Pratama</v>
      </c>
      <c r="K762" s="10" t="s">
        <v>92</v>
      </c>
      <c r="L762" s="10" t="s">
        <v>1540</v>
      </c>
      <c r="M762" s="10" t="s">
        <v>59</v>
      </c>
      <c r="N762" s="10" t="s">
        <v>67</v>
      </c>
      <c r="O762" s="10" t="s">
        <v>61</v>
      </c>
      <c r="P762" s="10">
        <v>43605</v>
      </c>
      <c r="Q762" s="15">
        <v>59250</v>
      </c>
      <c r="R762" s="15">
        <v>91200</v>
      </c>
      <c r="S762" s="15">
        <f>Table1[[#This Row],[Retail Price]]-Table1[[#This Row],[Cost Price]]</f>
        <v>31950</v>
      </c>
      <c r="T762" s="10">
        <v>42</v>
      </c>
      <c r="U762" s="15">
        <f>Table1[[#This Row],[Profit Margin]]*Table1[[#This Row],[Order Quantity]]</f>
        <v>1341900</v>
      </c>
      <c r="V762" s="11">
        <v>0.09</v>
      </c>
      <c r="W762" s="15">
        <f t="shared" si="11"/>
        <v>120771</v>
      </c>
      <c r="X762" s="15">
        <f>Table1[[#This Row],[Sub Total]]-Table1[[#This Row],[Discount Rp]]</f>
        <v>1221129</v>
      </c>
      <c r="Y762" s="15">
        <f ca="1">OFFSET(Helper!$C$3,MATCH(Data!$N$4:$N$1003,Helper!$C$4:$C$9,0),MATCH(Data!$O$4:$O$1003,Helper!$D$3:$F$3,0))</f>
        <v>5000</v>
      </c>
      <c r="Z762" s="16">
        <f ca="1">Table1[[#This Row],[Order Total]]+Table1[[#This Row],[Shipping Cost]]</f>
        <v>1226129</v>
      </c>
    </row>
    <row r="763" spans="1:26" ht="15.75" customHeight="1" x14ac:dyDescent="0.3">
      <c r="A763" s="9" t="s">
        <v>1604</v>
      </c>
      <c r="B763" s="18">
        <v>43604</v>
      </c>
      <c r="C763" s="10">
        <f>YEAR(Table1[[#This Row],[Order Date]])</f>
        <v>2019</v>
      </c>
      <c r="D763" s="10" t="s">
        <v>1605</v>
      </c>
      <c r="E763" s="10" t="s">
        <v>1606</v>
      </c>
      <c r="F763" s="10" t="s">
        <v>261</v>
      </c>
      <c r="G763" s="10" t="s">
        <v>106</v>
      </c>
      <c r="H763" s="10" t="s">
        <v>97</v>
      </c>
      <c r="I763" s="10" t="str">
        <f>VLOOKUP(Table1[[#This Row],[Account Manager ID]],Table2[[Employee ID]:[Full Name]],4,FALSE)</f>
        <v>Violet Mentari</v>
      </c>
      <c r="J763" s="10" t="str">
        <f>INDEX(Employee!$D$4:$D$47,MATCH($H$4:$H$1003,Employee!$A$4:$A$47,0))</f>
        <v>Violet Mentari</v>
      </c>
      <c r="K763" s="10" t="s">
        <v>107</v>
      </c>
      <c r="L763" s="10" t="s">
        <v>598</v>
      </c>
      <c r="M763" s="10" t="s">
        <v>59</v>
      </c>
      <c r="N763" s="10" t="s">
        <v>136</v>
      </c>
      <c r="O763" s="10" t="s">
        <v>76</v>
      </c>
      <c r="P763" s="10">
        <v>43605</v>
      </c>
      <c r="Q763" s="15">
        <v>252000</v>
      </c>
      <c r="R763" s="15">
        <v>614550</v>
      </c>
      <c r="S763" s="15">
        <f>Table1[[#This Row],[Retail Price]]-Table1[[#This Row],[Cost Price]]</f>
        <v>362550</v>
      </c>
      <c r="T763" s="10">
        <v>49</v>
      </c>
      <c r="U763" s="15">
        <f>Table1[[#This Row],[Profit Margin]]*Table1[[#This Row],[Order Quantity]]</f>
        <v>17764950</v>
      </c>
      <c r="V763" s="11">
        <v>0.04</v>
      </c>
      <c r="W763" s="15">
        <f t="shared" si="11"/>
        <v>710598</v>
      </c>
      <c r="X763" s="15">
        <f>Table1[[#This Row],[Sub Total]]-Table1[[#This Row],[Discount Rp]]</f>
        <v>17054352</v>
      </c>
      <c r="Y763" s="15">
        <f ca="1">OFFSET(Helper!$C$3,MATCH(Data!$N$4:$N$1003,Helper!$C$4:$C$9,0),MATCH(Data!$O$4:$O$1003,Helper!$D$3:$F$3,0))</f>
        <v>20000</v>
      </c>
      <c r="Z763" s="16">
        <f ca="1">Table1[[#This Row],[Order Total]]+Table1[[#This Row],[Shipping Cost]]</f>
        <v>17074352</v>
      </c>
    </row>
    <row r="764" spans="1:26" ht="15.75" customHeight="1" x14ac:dyDescent="0.3">
      <c r="A764" s="9" t="s">
        <v>1607</v>
      </c>
      <c r="B764" s="18">
        <v>43608</v>
      </c>
      <c r="C764" s="10">
        <f>YEAR(Table1[[#This Row],[Order Date]])</f>
        <v>2019</v>
      </c>
      <c r="D764" s="10" t="s">
        <v>1128</v>
      </c>
      <c r="E764" s="10" t="s">
        <v>189</v>
      </c>
      <c r="F764" s="10" t="s">
        <v>54</v>
      </c>
      <c r="G764" s="10" t="s">
        <v>55</v>
      </c>
      <c r="H764" s="10" t="s">
        <v>56</v>
      </c>
      <c r="I764" s="10" t="str">
        <f>VLOOKUP(Table1[[#This Row],[Account Manager ID]],Table2[[Employee ID]:[Full Name]],4,FALSE)</f>
        <v>Gaduh Pratama</v>
      </c>
      <c r="J764" s="10" t="str">
        <f>INDEX(Employee!$D$4:$D$47,MATCH($H$4:$H$1003,Employee!$A$4:$A$47,0))</f>
        <v>Gaduh Pratama</v>
      </c>
      <c r="K764" s="10" t="s">
        <v>117</v>
      </c>
      <c r="L764" s="10" t="s">
        <v>238</v>
      </c>
      <c r="M764" s="10" t="s">
        <v>59</v>
      </c>
      <c r="N764" s="10" t="s">
        <v>67</v>
      </c>
      <c r="O764" s="10" t="s">
        <v>61</v>
      </c>
      <c r="P764" s="10">
        <v>43609</v>
      </c>
      <c r="Q764" s="15">
        <v>323400</v>
      </c>
      <c r="R764" s="15">
        <v>548250</v>
      </c>
      <c r="S764" s="15">
        <f>Table1[[#This Row],[Retail Price]]-Table1[[#This Row],[Cost Price]]</f>
        <v>224850</v>
      </c>
      <c r="T764" s="10">
        <v>6</v>
      </c>
      <c r="U764" s="15">
        <f>Table1[[#This Row],[Profit Margin]]*Table1[[#This Row],[Order Quantity]]</f>
        <v>1349100</v>
      </c>
      <c r="V764" s="11">
        <v>0.01</v>
      </c>
      <c r="W764" s="15">
        <f t="shared" si="11"/>
        <v>13491</v>
      </c>
      <c r="X764" s="15">
        <f>Table1[[#This Row],[Sub Total]]-Table1[[#This Row],[Discount Rp]]</f>
        <v>1335609</v>
      </c>
      <c r="Y764" s="15">
        <f ca="1">OFFSET(Helper!$C$3,MATCH(Data!$N$4:$N$1003,Helper!$C$4:$C$9,0),MATCH(Data!$O$4:$O$1003,Helper!$D$3:$F$3,0))</f>
        <v>5000</v>
      </c>
      <c r="Z764" s="16">
        <f ca="1">Table1[[#This Row],[Order Total]]+Table1[[#This Row],[Shipping Cost]]</f>
        <v>1340609</v>
      </c>
    </row>
    <row r="765" spans="1:26" ht="15.75" customHeight="1" x14ac:dyDescent="0.3">
      <c r="A765" s="9" t="s">
        <v>1608</v>
      </c>
      <c r="B765" s="18">
        <v>43609</v>
      </c>
      <c r="C765" s="10">
        <f>YEAR(Table1[[#This Row],[Order Date]])</f>
        <v>2019</v>
      </c>
      <c r="D765" s="10" t="s">
        <v>250</v>
      </c>
      <c r="E765" s="10" t="s">
        <v>251</v>
      </c>
      <c r="F765" s="10" t="s">
        <v>71</v>
      </c>
      <c r="G765" s="10" t="s">
        <v>72</v>
      </c>
      <c r="H765" s="10" t="s">
        <v>122</v>
      </c>
      <c r="I765" s="10" t="str">
        <f>VLOOKUP(Table1[[#This Row],[Account Manager ID]],Table2[[Employee ID]:[Full Name]],4,FALSE)</f>
        <v>Ophelia Mustofa</v>
      </c>
      <c r="J765" s="10" t="str">
        <f>INDEX(Employee!$D$4:$D$47,MATCH($H$4:$H$1003,Employee!$A$4:$A$47,0))</f>
        <v>Ophelia Mustofa</v>
      </c>
      <c r="K765" s="10" t="s">
        <v>92</v>
      </c>
      <c r="L765" s="10" t="s">
        <v>753</v>
      </c>
      <c r="M765" s="10" t="s">
        <v>59</v>
      </c>
      <c r="N765" s="10" t="s">
        <v>67</v>
      </c>
      <c r="O765" s="10" t="s">
        <v>61</v>
      </c>
      <c r="P765" s="10">
        <v>43614</v>
      </c>
      <c r="Q765" s="15">
        <v>38850</v>
      </c>
      <c r="R765" s="15">
        <v>59700</v>
      </c>
      <c r="S765" s="15">
        <f>Table1[[#This Row],[Retail Price]]-Table1[[#This Row],[Cost Price]]</f>
        <v>20850</v>
      </c>
      <c r="T765" s="10">
        <v>50</v>
      </c>
      <c r="U765" s="15">
        <f>Table1[[#This Row],[Profit Margin]]*Table1[[#This Row],[Order Quantity]]</f>
        <v>1042500</v>
      </c>
      <c r="V765" s="11">
        <v>0.08</v>
      </c>
      <c r="W765" s="15">
        <f t="shared" si="11"/>
        <v>83400</v>
      </c>
      <c r="X765" s="15">
        <f>Table1[[#This Row],[Sub Total]]-Table1[[#This Row],[Discount Rp]]</f>
        <v>959100</v>
      </c>
      <c r="Y765" s="15">
        <f ca="1">OFFSET(Helper!$C$3,MATCH(Data!$N$4:$N$1003,Helper!$C$4:$C$9,0),MATCH(Data!$O$4:$O$1003,Helper!$D$3:$F$3,0))</f>
        <v>5000</v>
      </c>
      <c r="Z765" s="16">
        <f ca="1">Table1[[#This Row],[Order Total]]+Table1[[#This Row],[Shipping Cost]]</f>
        <v>964100</v>
      </c>
    </row>
    <row r="766" spans="1:26" ht="15.75" customHeight="1" x14ac:dyDescent="0.3">
      <c r="A766" s="9" t="s">
        <v>1609</v>
      </c>
      <c r="B766" s="18">
        <v>43610</v>
      </c>
      <c r="C766" s="10">
        <f>YEAR(Table1[[#This Row],[Order Date]])</f>
        <v>2019</v>
      </c>
      <c r="D766" s="10" t="s">
        <v>250</v>
      </c>
      <c r="E766" s="10" t="s">
        <v>251</v>
      </c>
      <c r="F766" s="10" t="s">
        <v>71</v>
      </c>
      <c r="G766" s="10" t="s">
        <v>72</v>
      </c>
      <c r="H766" s="10" t="s">
        <v>122</v>
      </c>
      <c r="I766" s="10" t="str">
        <f>VLOOKUP(Table1[[#This Row],[Account Manager ID]],Table2[[Employee ID]:[Full Name]],4,FALSE)</f>
        <v>Ophelia Mustofa</v>
      </c>
      <c r="J766" s="10" t="str">
        <f>INDEX(Employee!$D$4:$D$47,MATCH($H$4:$H$1003,Employee!$A$4:$A$47,0))</f>
        <v>Ophelia Mustofa</v>
      </c>
      <c r="K766" s="10" t="s">
        <v>117</v>
      </c>
      <c r="L766" s="10" t="s">
        <v>349</v>
      </c>
      <c r="M766" s="10" t="s">
        <v>59</v>
      </c>
      <c r="N766" s="10" t="s">
        <v>67</v>
      </c>
      <c r="O766" s="10" t="s">
        <v>61</v>
      </c>
      <c r="P766" s="10">
        <v>43611</v>
      </c>
      <c r="Q766" s="15">
        <v>166650</v>
      </c>
      <c r="R766" s="15">
        <v>297600</v>
      </c>
      <c r="S766" s="15">
        <f>Table1[[#This Row],[Retail Price]]-Table1[[#This Row],[Cost Price]]</f>
        <v>130950</v>
      </c>
      <c r="T766" s="10">
        <v>10</v>
      </c>
      <c r="U766" s="15">
        <f>Table1[[#This Row],[Profit Margin]]*Table1[[#This Row],[Order Quantity]]</f>
        <v>1309500</v>
      </c>
      <c r="V766" s="11">
        <v>0.05</v>
      </c>
      <c r="W766" s="15">
        <f t="shared" si="11"/>
        <v>65475</v>
      </c>
      <c r="X766" s="15">
        <f>Table1[[#This Row],[Sub Total]]-Table1[[#This Row],[Discount Rp]]</f>
        <v>1244025</v>
      </c>
      <c r="Y766" s="15">
        <f ca="1">OFFSET(Helper!$C$3,MATCH(Data!$N$4:$N$1003,Helper!$C$4:$C$9,0),MATCH(Data!$O$4:$O$1003,Helper!$D$3:$F$3,0))</f>
        <v>5000</v>
      </c>
      <c r="Z766" s="16">
        <f ca="1">Table1[[#This Row],[Order Total]]+Table1[[#This Row],[Shipping Cost]]</f>
        <v>1249025</v>
      </c>
    </row>
    <row r="767" spans="1:26" ht="15.75" customHeight="1" x14ac:dyDescent="0.3">
      <c r="A767" s="9" t="s">
        <v>1610</v>
      </c>
      <c r="B767" s="18">
        <v>43611</v>
      </c>
      <c r="C767" s="10">
        <f>YEAR(Table1[[#This Row],[Order Date]])</f>
        <v>2019</v>
      </c>
      <c r="D767" s="10" t="s">
        <v>818</v>
      </c>
      <c r="E767" s="10" t="s">
        <v>557</v>
      </c>
      <c r="F767" s="10" t="s">
        <v>71</v>
      </c>
      <c r="G767" s="10" t="s">
        <v>87</v>
      </c>
      <c r="H767" s="10" t="s">
        <v>185</v>
      </c>
      <c r="I767" s="10" t="str">
        <f>VLOOKUP(Table1[[#This Row],[Account Manager ID]],Table2[[Employee ID]:[Full Name]],4,FALSE)</f>
        <v>Clara Prasetyo</v>
      </c>
      <c r="J767" s="10" t="str">
        <f>INDEX(Employee!$D$4:$D$47,MATCH($H$4:$H$1003,Employee!$A$4:$A$47,0))</f>
        <v>Clara Prasetyo</v>
      </c>
      <c r="K767" s="10" t="s">
        <v>117</v>
      </c>
      <c r="L767" s="10" t="s">
        <v>560</v>
      </c>
      <c r="M767" s="10" t="s">
        <v>81</v>
      </c>
      <c r="N767" s="10" t="s">
        <v>60</v>
      </c>
      <c r="O767" s="10" t="s">
        <v>61</v>
      </c>
      <c r="P767" s="10">
        <v>43613</v>
      </c>
      <c r="Q767" s="15">
        <v>619200</v>
      </c>
      <c r="R767" s="15">
        <v>1439850</v>
      </c>
      <c r="S767" s="15">
        <f>Table1[[#This Row],[Retail Price]]-Table1[[#This Row],[Cost Price]]</f>
        <v>820650</v>
      </c>
      <c r="T767" s="10">
        <v>14</v>
      </c>
      <c r="U767" s="15">
        <f>Table1[[#This Row],[Profit Margin]]*Table1[[#This Row],[Order Quantity]]</f>
        <v>11489100</v>
      </c>
      <c r="V767" s="11">
        <v>0.04</v>
      </c>
      <c r="W767" s="15">
        <f t="shared" si="11"/>
        <v>459564</v>
      </c>
      <c r="X767" s="15">
        <f>Table1[[#This Row],[Sub Total]]-Table1[[#This Row],[Discount Rp]]</f>
        <v>11029536</v>
      </c>
      <c r="Y767" s="15">
        <f ca="1">OFFSET(Helper!$C$3,MATCH(Data!$N$4:$N$1003,Helper!$C$4:$C$9,0),MATCH(Data!$O$4:$O$1003,Helper!$D$3:$F$3,0))</f>
        <v>15000</v>
      </c>
      <c r="Z767" s="16">
        <f ca="1">Table1[[#This Row],[Order Total]]+Table1[[#This Row],[Shipping Cost]]</f>
        <v>11044536</v>
      </c>
    </row>
    <row r="768" spans="1:26" ht="15.75" customHeight="1" x14ac:dyDescent="0.3">
      <c r="A768" s="9" t="s">
        <v>1611</v>
      </c>
      <c r="B768" s="18">
        <v>43611</v>
      </c>
      <c r="C768" s="10">
        <f>YEAR(Table1[[#This Row],[Order Date]])</f>
        <v>2019</v>
      </c>
      <c r="D768" s="10" t="s">
        <v>1515</v>
      </c>
      <c r="E768" s="10" t="s">
        <v>521</v>
      </c>
      <c r="F768" s="10" t="s">
        <v>71</v>
      </c>
      <c r="G768" s="10" t="s">
        <v>55</v>
      </c>
      <c r="H768" s="10" t="s">
        <v>88</v>
      </c>
      <c r="I768" s="10" t="str">
        <f>VLOOKUP(Table1[[#This Row],[Account Manager ID]],Table2[[Employee ID]:[Full Name]],4,FALSE)</f>
        <v>Bagiya Sihombing</v>
      </c>
      <c r="J768" s="10" t="str">
        <f>INDEX(Employee!$D$4:$D$47,MATCH($H$4:$H$1003,Employee!$A$4:$A$47,0))</f>
        <v>Bagiya Sihombing</v>
      </c>
      <c r="K768" s="10" t="s">
        <v>92</v>
      </c>
      <c r="L768" s="10" t="s">
        <v>98</v>
      </c>
      <c r="M768" s="10" t="s">
        <v>59</v>
      </c>
      <c r="N768" s="10" t="s">
        <v>60</v>
      </c>
      <c r="O768" s="10" t="s">
        <v>61</v>
      </c>
      <c r="P768" s="10">
        <v>43620</v>
      </c>
      <c r="Q768" s="15">
        <v>1490850</v>
      </c>
      <c r="R768" s="15">
        <v>2443950</v>
      </c>
      <c r="S768" s="15">
        <f>Table1[[#This Row],[Retail Price]]-Table1[[#This Row],[Cost Price]]</f>
        <v>953100</v>
      </c>
      <c r="T768" s="10">
        <v>22</v>
      </c>
      <c r="U768" s="15">
        <f>Table1[[#This Row],[Profit Margin]]*Table1[[#This Row],[Order Quantity]]</f>
        <v>20968200</v>
      </c>
      <c r="V768" s="11">
        <v>7.0000000000000007E-2</v>
      </c>
      <c r="W768" s="15">
        <f t="shared" si="11"/>
        <v>1467774.0000000002</v>
      </c>
      <c r="X768" s="15">
        <f>Table1[[#This Row],[Sub Total]]-Table1[[#This Row],[Discount Rp]]</f>
        <v>19500426</v>
      </c>
      <c r="Y768" s="15">
        <f ca="1">OFFSET(Helper!$C$3,MATCH(Data!$N$4:$N$1003,Helper!$C$4:$C$9,0),MATCH(Data!$O$4:$O$1003,Helper!$D$3:$F$3,0))</f>
        <v>15000</v>
      </c>
      <c r="Z768" s="16">
        <f ca="1">Table1[[#This Row],[Order Total]]+Table1[[#This Row],[Shipping Cost]]</f>
        <v>19515426</v>
      </c>
    </row>
    <row r="769" spans="1:26" ht="15.75" customHeight="1" x14ac:dyDescent="0.3">
      <c r="A769" s="9" t="s">
        <v>1612</v>
      </c>
      <c r="B769" s="18">
        <v>43612</v>
      </c>
      <c r="C769" s="10">
        <f>YEAR(Table1[[#This Row],[Order Date]])</f>
        <v>2019</v>
      </c>
      <c r="D769" s="10" t="s">
        <v>934</v>
      </c>
      <c r="E769" s="10" t="s">
        <v>233</v>
      </c>
      <c r="F769" s="10" t="s">
        <v>54</v>
      </c>
      <c r="G769" s="10" t="s">
        <v>106</v>
      </c>
      <c r="H769" s="10" t="s">
        <v>65</v>
      </c>
      <c r="I769" s="10" t="str">
        <f>VLOOKUP(Table1[[#This Row],[Account Manager ID]],Table2[[Employee ID]:[Full Name]],4,FALSE)</f>
        <v>Laras Nuraini</v>
      </c>
      <c r="J769" s="10" t="str">
        <f>INDEX(Employee!$D$4:$D$47,MATCH($H$4:$H$1003,Employee!$A$4:$A$47,0))</f>
        <v>Laras Nuraini</v>
      </c>
      <c r="K769" s="10" t="s">
        <v>74</v>
      </c>
      <c r="L769" s="10" t="s">
        <v>615</v>
      </c>
      <c r="M769" s="10" t="s">
        <v>59</v>
      </c>
      <c r="N769" s="10" t="s">
        <v>67</v>
      </c>
      <c r="O769" s="10" t="s">
        <v>61</v>
      </c>
      <c r="P769" s="10">
        <v>43613</v>
      </c>
      <c r="Q769" s="15">
        <v>78300</v>
      </c>
      <c r="R769" s="15">
        <v>147750</v>
      </c>
      <c r="S769" s="15">
        <f>Table1[[#This Row],[Retail Price]]-Table1[[#This Row],[Cost Price]]</f>
        <v>69450</v>
      </c>
      <c r="T769" s="10">
        <v>48</v>
      </c>
      <c r="U769" s="15">
        <f>Table1[[#This Row],[Profit Margin]]*Table1[[#This Row],[Order Quantity]]</f>
        <v>3333600</v>
      </c>
      <c r="V769" s="11">
        <v>0.09</v>
      </c>
      <c r="W769" s="15">
        <f t="shared" si="11"/>
        <v>300024</v>
      </c>
      <c r="X769" s="15">
        <f>Table1[[#This Row],[Sub Total]]-Table1[[#This Row],[Discount Rp]]</f>
        <v>3033576</v>
      </c>
      <c r="Y769" s="15">
        <f ca="1">OFFSET(Helper!$C$3,MATCH(Data!$N$4:$N$1003,Helper!$C$4:$C$9,0),MATCH(Data!$O$4:$O$1003,Helper!$D$3:$F$3,0))</f>
        <v>5000</v>
      </c>
      <c r="Z769" s="16">
        <f ca="1">Table1[[#This Row],[Order Total]]+Table1[[#This Row],[Shipping Cost]]</f>
        <v>3038576</v>
      </c>
    </row>
    <row r="770" spans="1:26" ht="15.75" customHeight="1" x14ac:dyDescent="0.3">
      <c r="A770" s="9" t="s">
        <v>1613</v>
      </c>
      <c r="B770" s="18">
        <v>43612</v>
      </c>
      <c r="C770" s="10">
        <f>YEAR(Table1[[#This Row],[Order Date]])</f>
        <v>2019</v>
      </c>
      <c r="D770" s="10" t="s">
        <v>934</v>
      </c>
      <c r="E770" s="10" t="s">
        <v>233</v>
      </c>
      <c r="F770" s="10" t="s">
        <v>54</v>
      </c>
      <c r="G770" s="10" t="s">
        <v>106</v>
      </c>
      <c r="H770" s="10" t="s">
        <v>65</v>
      </c>
      <c r="I770" s="10" t="str">
        <f>VLOOKUP(Table1[[#This Row],[Account Manager ID]],Table2[[Employee ID]:[Full Name]],4,FALSE)</f>
        <v>Laras Nuraini</v>
      </c>
      <c r="J770" s="10" t="str">
        <f>INDEX(Employee!$D$4:$D$47,MATCH($H$4:$H$1003,Employee!$A$4:$A$47,0))</f>
        <v>Laras Nuraini</v>
      </c>
      <c r="K770" s="10" t="s">
        <v>74</v>
      </c>
      <c r="L770" s="10" t="s">
        <v>629</v>
      </c>
      <c r="M770" s="10" t="s">
        <v>59</v>
      </c>
      <c r="N770" s="10" t="s">
        <v>67</v>
      </c>
      <c r="O770" s="10" t="s">
        <v>61</v>
      </c>
      <c r="P770" s="10">
        <v>43613</v>
      </c>
      <c r="Q770" s="15">
        <v>26400</v>
      </c>
      <c r="R770" s="15">
        <v>44100</v>
      </c>
      <c r="S770" s="15">
        <f>Table1[[#This Row],[Retail Price]]-Table1[[#This Row],[Cost Price]]</f>
        <v>17700</v>
      </c>
      <c r="T770" s="10">
        <v>18</v>
      </c>
      <c r="U770" s="15">
        <f>Table1[[#This Row],[Profit Margin]]*Table1[[#This Row],[Order Quantity]]</f>
        <v>318600</v>
      </c>
      <c r="V770" s="11">
        <v>0.01</v>
      </c>
      <c r="W770" s="15">
        <f t="shared" si="11"/>
        <v>3186</v>
      </c>
      <c r="X770" s="15">
        <f>Table1[[#This Row],[Sub Total]]-Table1[[#This Row],[Discount Rp]]</f>
        <v>315414</v>
      </c>
      <c r="Y770" s="15">
        <f ca="1">OFFSET(Helper!$C$3,MATCH(Data!$N$4:$N$1003,Helper!$C$4:$C$9,0),MATCH(Data!$O$4:$O$1003,Helper!$D$3:$F$3,0))</f>
        <v>5000</v>
      </c>
      <c r="Z770" s="16">
        <f ca="1">Table1[[#This Row],[Order Total]]+Table1[[#This Row],[Shipping Cost]]</f>
        <v>320414</v>
      </c>
    </row>
    <row r="771" spans="1:26" ht="15.75" customHeight="1" x14ac:dyDescent="0.3">
      <c r="A771" s="9" t="s">
        <v>1614</v>
      </c>
      <c r="B771" s="18">
        <v>43613</v>
      </c>
      <c r="C771" s="10">
        <f>YEAR(Table1[[#This Row],[Order Date]])</f>
        <v>2019</v>
      </c>
      <c r="D771" s="10" t="s">
        <v>1028</v>
      </c>
      <c r="E771" s="10" t="s">
        <v>105</v>
      </c>
      <c r="F771" s="10" t="s">
        <v>71</v>
      </c>
      <c r="G771" s="10" t="s">
        <v>87</v>
      </c>
      <c r="H771" s="10" t="s">
        <v>73</v>
      </c>
      <c r="I771" s="10" t="str">
        <f>VLOOKUP(Table1[[#This Row],[Account Manager ID]],Table2[[Employee ID]:[Full Name]],4,FALSE)</f>
        <v>Cinthia Gunawan</v>
      </c>
      <c r="J771" s="10" t="str">
        <f>INDEX(Employee!$D$4:$D$47,MATCH($H$4:$H$1003,Employee!$A$4:$A$47,0))</f>
        <v>Cinthia Gunawan</v>
      </c>
      <c r="K771" s="10" t="s">
        <v>57</v>
      </c>
      <c r="L771" s="10" t="s">
        <v>252</v>
      </c>
      <c r="M771" s="10" t="s">
        <v>253</v>
      </c>
      <c r="N771" s="10" t="s">
        <v>136</v>
      </c>
      <c r="O771" s="10" t="s">
        <v>61</v>
      </c>
      <c r="P771" s="10">
        <v>43614</v>
      </c>
      <c r="Q771" s="15">
        <v>82500</v>
      </c>
      <c r="R771" s="15">
        <v>183300</v>
      </c>
      <c r="S771" s="15">
        <f>Table1[[#This Row],[Retail Price]]-Table1[[#This Row],[Cost Price]]</f>
        <v>100800</v>
      </c>
      <c r="T771" s="10">
        <v>10</v>
      </c>
      <c r="U771" s="15">
        <f>Table1[[#This Row],[Profit Margin]]*Table1[[#This Row],[Order Quantity]]</f>
        <v>1008000</v>
      </c>
      <c r="V771" s="11">
        <v>0.1</v>
      </c>
      <c r="W771" s="15">
        <f t="shared" si="11"/>
        <v>100800</v>
      </c>
      <c r="X771" s="15">
        <f>Table1[[#This Row],[Sub Total]]-Table1[[#This Row],[Discount Rp]]</f>
        <v>907200</v>
      </c>
      <c r="Y771" s="15">
        <f ca="1">OFFSET(Helper!$C$3,MATCH(Data!$N$4:$N$1003,Helper!$C$4:$C$9,0),MATCH(Data!$O$4:$O$1003,Helper!$D$3:$F$3,0))</f>
        <v>10000</v>
      </c>
      <c r="Z771" s="16">
        <f ca="1">Table1[[#This Row],[Order Total]]+Table1[[#This Row],[Shipping Cost]]</f>
        <v>917200</v>
      </c>
    </row>
    <row r="772" spans="1:26" ht="15.75" customHeight="1" x14ac:dyDescent="0.3">
      <c r="A772" s="9" t="s">
        <v>1615</v>
      </c>
      <c r="B772" s="18">
        <v>43613</v>
      </c>
      <c r="C772" s="10">
        <f>YEAR(Table1[[#This Row],[Order Date]])</f>
        <v>2019</v>
      </c>
      <c r="D772" s="10" t="s">
        <v>1616</v>
      </c>
      <c r="E772" s="10" t="s">
        <v>1617</v>
      </c>
      <c r="F772" s="10" t="s">
        <v>71</v>
      </c>
      <c r="G772" s="10" t="s">
        <v>72</v>
      </c>
      <c r="H772" s="10" t="s">
        <v>88</v>
      </c>
      <c r="I772" s="10" t="str">
        <f>VLOOKUP(Table1[[#This Row],[Account Manager ID]],Table2[[Employee ID]:[Full Name]],4,FALSE)</f>
        <v>Bagiya Sihombing</v>
      </c>
      <c r="J772" s="10" t="str">
        <f>INDEX(Employee!$D$4:$D$47,MATCH($H$4:$H$1003,Employee!$A$4:$A$47,0))</f>
        <v>Bagiya Sihombing</v>
      </c>
      <c r="K772" s="10" t="s">
        <v>57</v>
      </c>
      <c r="L772" s="10" t="s">
        <v>775</v>
      </c>
      <c r="M772" s="10" t="s">
        <v>59</v>
      </c>
      <c r="N772" s="10" t="s">
        <v>136</v>
      </c>
      <c r="O772" s="10" t="s">
        <v>76</v>
      </c>
      <c r="P772" s="10">
        <v>43616</v>
      </c>
      <c r="Q772" s="15">
        <v>62850.000000000007</v>
      </c>
      <c r="R772" s="15">
        <v>153450</v>
      </c>
      <c r="S772" s="15">
        <f>Table1[[#This Row],[Retail Price]]-Table1[[#This Row],[Cost Price]]</f>
        <v>90600</v>
      </c>
      <c r="T772" s="10">
        <v>19</v>
      </c>
      <c r="U772" s="15">
        <f>Table1[[#This Row],[Profit Margin]]*Table1[[#This Row],[Order Quantity]]</f>
        <v>1721400</v>
      </c>
      <c r="V772" s="11">
        <v>0.08</v>
      </c>
      <c r="W772" s="15">
        <f t="shared" ref="W772:W835" si="12">V772*U772</f>
        <v>137712</v>
      </c>
      <c r="X772" s="15">
        <f>Table1[[#This Row],[Sub Total]]-Table1[[#This Row],[Discount Rp]]</f>
        <v>1583688</v>
      </c>
      <c r="Y772" s="15">
        <f ca="1">OFFSET(Helper!$C$3,MATCH(Data!$N$4:$N$1003,Helper!$C$4:$C$9,0),MATCH(Data!$O$4:$O$1003,Helper!$D$3:$F$3,0))</f>
        <v>20000</v>
      </c>
      <c r="Z772" s="16">
        <f ca="1">Table1[[#This Row],[Order Total]]+Table1[[#This Row],[Shipping Cost]]</f>
        <v>1603688</v>
      </c>
    </row>
    <row r="773" spans="1:26" ht="15.75" customHeight="1" x14ac:dyDescent="0.3">
      <c r="A773" s="9" t="s">
        <v>1618</v>
      </c>
      <c r="B773" s="18">
        <v>43613</v>
      </c>
      <c r="C773" s="10">
        <f>YEAR(Table1[[#This Row],[Order Date]])</f>
        <v>2019</v>
      </c>
      <c r="D773" s="10" t="s">
        <v>1096</v>
      </c>
      <c r="E773" s="10" t="s">
        <v>813</v>
      </c>
      <c r="F773" s="10" t="s">
        <v>54</v>
      </c>
      <c r="G773" s="10" t="s">
        <v>87</v>
      </c>
      <c r="H773" s="10" t="s">
        <v>65</v>
      </c>
      <c r="I773" s="10" t="str">
        <f>VLOOKUP(Table1[[#This Row],[Account Manager ID]],Table2[[Employee ID]:[Full Name]],4,FALSE)</f>
        <v>Laras Nuraini</v>
      </c>
      <c r="J773" s="10" t="str">
        <f>INDEX(Employee!$D$4:$D$47,MATCH($H$4:$H$1003,Employee!$A$4:$A$47,0))</f>
        <v>Laras Nuraini</v>
      </c>
      <c r="K773" s="10" t="s">
        <v>57</v>
      </c>
      <c r="L773" s="10" t="s">
        <v>331</v>
      </c>
      <c r="M773" s="10" t="s">
        <v>59</v>
      </c>
      <c r="N773" s="10" t="s">
        <v>67</v>
      </c>
      <c r="O773" s="10" t="s">
        <v>61</v>
      </c>
      <c r="P773" s="10">
        <v>43616</v>
      </c>
      <c r="Q773" s="15">
        <v>43500</v>
      </c>
      <c r="R773" s="15">
        <v>71400</v>
      </c>
      <c r="S773" s="15">
        <f>Table1[[#This Row],[Retail Price]]-Table1[[#This Row],[Cost Price]]</f>
        <v>27900</v>
      </c>
      <c r="T773" s="10">
        <v>33</v>
      </c>
      <c r="U773" s="15">
        <f>Table1[[#This Row],[Profit Margin]]*Table1[[#This Row],[Order Quantity]]</f>
        <v>920700</v>
      </c>
      <c r="V773" s="11">
        <v>0.06</v>
      </c>
      <c r="W773" s="15">
        <f t="shared" si="12"/>
        <v>55242</v>
      </c>
      <c r="X773" s="15">
        <f>Table1[[#This Row],[Sub Total]]-Table1[[#This Row],[Discount Rp]]</f>
        <v>865458</v>
      </c>
      <c r="Y773" s="15">
        <f ca="1">OFFSET(Helper!$C$3,MATCH(Data!$N$4:$N$1003,Helper!$C$4:$C$9,0),MATCH(Data!$O$4:$O$1003,Helper!$D$3:$F$3,0))</f>
        <v>5000</v>
      </c>
      <c r="Z773" s="16">
        <f ca="1">Table1[[#This Row],[Order Total]]+Table1[[#This Row],[Shipping Cost]]</f>
        <v>870458</v>
      </c>
    </row>
    <row r="774" spans="1:26" ht="15.75" customHeight="1" x14ac:dyDescent="0.3">
      <c r="A774" s="9" t="s">
        <v>1619</v>
      </c>
      <c r="B774" s="18">
        <v>43616</v>
      </c>
      <c r="C774" s="10">
        <f>YEAR(Table1[[#This Row],[Order Date]])</f>
        <v>2019</v>
      </c>
      <c r="D774" s="10" t="s">
        <v>702</v>
      </c>
      <c r="E774" s="10" t="s">
        <v>193</v>
      </c>
      <c r="F774" s="10" t="s">
        <v>71</v>
      </c>
      <c r="G774" s="10" t="s">
        <v>106</v>
      </c>
      <c r="H774" s="10" t="s">
        <v>194</v>
      </c>
      <c r="I774" s="10" t="str">
        <f>VLOOKUP(Table1[[#This Row],[Account Manager ID]],Table2[[Employee ID]:[Full Name]],4,FALSE)</f>
        <v>Nabila Prakasa</v>
      </c>
      <c r="J774" s="10" t="str">
        <f>INDEX(Employee!$D$4:$D$47,MATCH($H$4:$H$1003,Employee!$A$4:$A$47,0))</f>
        <v>Nabila Prakasa</v>
      </c>
      <c r="K774" s="10" t="s">
        <v>107</v>
      </c>
      <c r="L774" s="10" t="s">
        <v>588</v>
      </c>
      <c r="M774" s="10" t="s">
        <v>59</v>
      </c>
      <c r="N774" s="10" t="s">
        <v>60</v>
      </c>
      <c r="O774" s="10" t="s">
        <v>61</v>
      </c>
      <c r="P774" s="10">
        <v>43617</v>
      </c>
      <c r="Q774" s="15">
        <v>67950</v>
      </c>
      <c r="R774" s="15">
        <v>109500</v>
      </c>
      <c r="S774" s="15">
        <f>Table1[[#This Row],[Retail Price]]-Table1[[#This Row],[Cost Price]]</f>
        <v>41550</v>
      </c>
      <c r="T774" s="10">
        <v>36</v>
      </c>
      <c r="U774" s="15">
        <f>Table1[[#This Row],[Profit Margin]]*Table1[[#This Row],[Order Quantity]]</f>
        <v>1495800</v>
      </c>
      <c r="V774" s="11">
        <v>0.1</v>
      </c>
      <c r="W774" s="15">
        <f t="shared" si="12"/>
        <v>149580</v>
      </c>
      <c r="X774" s="15">
        <f>Table1[[#This Row],[Sub Total]]-Table1[[#This Row],[Discount Rp]]</f>
        <v>1346220</v>
      </c>
      <c r="Y774" s="15">
        <f ca="1">OFFSET(Helper!$C$3,MATCH(Data!$N$4:$N$1003,Helper!$C$4:$C$9,0),MATCH(Data!$O$4:$O$1003,Helper!$D$3:$F$3,0))</f>
        <v>15000</v>
      </c>
      <c r="Z774" s="16">
        <f ca="1">Table1[[#This Row],[Order Total]]+Table1[[#This Row],[Shipping Cost]]</f>
        <v>1361220</v>
      </c>
    </row>
    <row r="775" spans="1:26" ht="15.75" customHeight="1" x14ac:dyDescent="0.3">
      <c r="A775" s="9" t="s">
        <v>1620</v>
      </c>
      <c r="B775" s="18">
        <v>43616</v>
      </c>
      <c r="C775" s="10">
        <f>YEAR(Table1[[#This Row],[Order Date]])</f>
        <v>2019</v>
      </c>
      <c r="D775" s="10" t="s">
        <v>1621</v>
      </c>
      <c r="E775" s="10" t="s">
        <v>513</v>
      </c>
      <c r="F775" s="10" t="s">
        <v>71</v>
      </c>
      <c r="G775" s="10" t="s">
        <v>72</v>
      </c>
      <c r="H775" s="10" t="s">
        <v>88</v>
      </c>
      <c r="I775" s="10" t="str">
        <f>VLOOKUP(Table1[[#This Row],[Account Manager ID]],Table2[[Employee ID]:[Full Name]],4,FALSE)</f>
        <v>Bagiya Sihombing</v>
      </c>
      <c r="J775" s="10" t="str">
        <f>INDEX(Employee!$D$4:$D$47,MATCH($H$4:$H$1003,Employee!$A$4:$A$47,0))</f>
        <v>Bagiya Sihombing</v>
      </c>
      <c r="K775" s="10" t="s">
        <v>92</v>
      </c>
      <c r="L775" s="10" t="s">
        <v>753</v>
      </c>
      <c r="M775" s="10" t="s">
        <v>59</v>
      </c>
      <c r="N775" s="10" t="s">
        <v>67</v>
      </c>
      <c r="O775" s="10" t="s">
        <v>61</v>
      </c>
      <c r="P775" s="10">
        <v>43621</v>
      </c>
      <c r="Q775" s="15">
        <v>38850</v>
      </c>
      <c r="R775" s="15">
        <v>59700</v>
      </c>
      <c r="S775" s="15">
        <f>Table1[[#This Row],[Retail Price]]-Table1[[#This Row],[Cost Price]]</f>
        <v>20850</v>
      </c>
      <c r="T775" s="10">
        <v>11</v>
      </c>
      <c r="U775" s="15">
        <f>Table1[[#This Row],[Profit Margin]]*Table1[[#This Row],[Order Quantity]]</f>
        <v>229350</v>
      </c>
      <c r="V775" s="11">
        <v>0.01</v>
      </c>
      <c r="W775" s="15">
        <f t="shared" si="12"/>
        <v>2293.5</v>
      </c>
      <c r="X775" s="15">
        <f>Table1[[#This Row],[Sub Total]]-Table1[[#This Row],[Discount Rp]]</f>
        <v>227056.5</v>
      </c>
      <c r="Y775" s="15">
        <f ca="1">OFFSET(Helper!$C$3,MATCH(Data!$N$4:$N$1003,Helper!$C$4:$C$9,0),MATCH(Data!$O$4:$O$1003,Helper!$D$3:$F$3,0))</f>
        <v>5000</v>
      </c>
      <c r="Z775" s="16">
        <f ca="1">Table1[[#This Row],[Order Total]]+Table1[[#This Row],[Shipping Cost]]</f>
        <v>232056.5</v>
      </c>
    </row>
    <row r="776" spans="1:26" ht="15.75" customHeight="1" x14ac:dyDescent="0.3">
      <c r="A776" s="9" t="s">
        <v>1622</v>
      </c>
      <c r="B776" s="18">
        <v>43617</v>
      </c>
      <c r="C776" s="10">
        <f>YEAR(Table1[[#This Row],[Order Date]])</f>
        <v>2019</v>
      </c>
      <c r="D776" s="10" t="s">
        <v>458</v>
      </c>
      <c r="E776" s="10" t="s">
        <v>189</v>
      </c>
      <c r="F776" s="10" t="s">
        <v>54</v>
      </c>
      <c r="G776" s="10" t="s">
        <v>55</v>
      </c>
      <c r="H776" s="10" t="s">
        <v>56</v>
      </c>
      <c r="I776" s="10" t="str">
        <f>VLOOKUP(Table1[[#This Row],[Account Manager ID]],Table2[[Employee ID]:[Full Name]],4,FALSE)</f>
        <v>Gaduh Pratama</v>
      </c>
      <c r="J776" s="10" t="str">
        <f>INDEX(Employee!$D$4:$D$47,MATCH($H$4:$H$1003,Employee!$A$4:$A$47,0))</f>
        <v>Gaduh Pratama</v>
      </c>
      <c r="K776" s="10" t="s">
        <v>107</v>
      </c>
      <c r="L776" s="10" t="s">
        <v>341</v>
      </c>
      <c r="M776" s="10" t="s">
        <v>59</v>
      </c>
      <c r="N776" s="10" t="s">
        <v>67</v>
      </c>
      <c r="O776" s="10" t="s">
        <v>61</v>
      </c>
      <c r="P776" s="10">
        <v>43618</v>
      </c>
      <c r="Q776" s="15">
        <v>24000</v>
      </c>
      <c r="R776" s="15">
        <v>39300</v>
      </c>
      <c r="S776" s="15">
        <f>Table1[[#This Row],[Retail Price]]-Table1[[#This Row],[Cost Price]]</f>
        <v>15300</v>
      </c>
      <c r="T776" s="10">
        <v>48</v>
      </c>
      <c r="U776" s="15">
        <f>Table1[[#This Row],[Profit Margin]]*Table1[[#This Row],[Order Quantity]]</f>
        <v>734400</v>
      </c>
      <c r="V776" s="11">
        <v>0.1</v>
      </c>
      <c r="W776" s="15">
        <f t="shared" si="12"/>
        <v>73440</v>
      </c>
      <c r="X776" s="15">
        <f>Table1[[#This Row],[Sub Total]]-Table1[[#This Row],[Discount Rp]]</f>
        <v>660960</v>
      </c>
      <c r="Y776" s="15">
        <f ca="1">OFFSET(Helper!$C$3,MATCH(Data!$N$4:$N$1003,Helper!$C$4:$C$9,0),MATCH(Data!$O$4:$O$1003,Helper!$D$3:$F$3,0))</f>
        <v>5000</v>
      </c>
      <c r="Z776" s="16">
        <f ca="1">Table1[[#This Row],[Order Total]]+Table1[[#This Row],[Shipping Cost]]</f>
        <v>665960</v>
      </c>
    </row>
    <row r="777" spans="1:26" ht="15.75" customHeight="1" x14ac:dyDescent="0.3">
      <c r="A777" s="9" t="s">
        <v>1623</v>
      </c>
      <c r="B777" s="18">
        <v>43620</v>
      </c>
      <c r="C777" s="10">
        <f>YEAR(Table1[[#This Row],[Order Date]])</f>
        <v>2019</v>
      </c>
      <c r="D777" s="10" t="s">
        <v>263</v>
      </c>
      <c r="E777" s="10" t="s">
        <v>1624</v>
      </c>
      <c r="F777" s="10" t="s">
        <v>54</v>
      </c>
      <c r="G777" s="10" t="s">
        <v>72</v>
      </c>
      <c r="H777" s="10" t="s">
        <v>56</v>
      </c>
      <c r="I777" s="10" t="str">
        <f>VLOOKUP(Table1[[#This Row],[Account Manager ID]],Table2[[Employee ID]:[Full Name]],4,FALSE)</f>
        <v>Gaduh Pratama</v>
      </c>
      <c r="J777" s="10" t="str">
        <f>INDEX(Employee!$D$4:$D$47,MATCH($H$4:$H$1003,Employee!$A$4:$A$47,0))</f>
        <v>Gaduh Pratama</v>
      </c>
      <c r="K777" s="10" t="s">
        <v>74</v>
      </c>
      <c r="L777" s="10" t="s">
        <v>942</v>
      </c>
      <c r="M777" s="10" t="s">
        <v>81</v>
      </c>
      <c r="N777" s="10" t="s">
        <v>60</v>
      </c>
      <c r="O777" s="10" t="s">
        <v>61</v>
      </c>
      <c r="P777" s="10">
        <v>43622</v>
      </c>
      <c r="Q777" s="15">
        <v>220500</v>
      </c>
      <c r="R777" s="15">
        <v>449850</v>
      </c>
      <c r="S777" s="15">
        <f>Table1[[#This Row],[Retail Price]]-Table1[[#This Row],[Cost Price]]</f>
        <v>229350</v>
      </c>
      <c r="T777" s="10">
        <v>11</v>
      </c>
      <c r="U777" s="15">
        <f>Table1[[#This Row],[Profit Margin]]*Table1[[#This Row],[Order Quantity]]</f>
        <v>2522850</v>
      </c>
      <c r="V777" s="11">
        <v>0.08</v>
      </c>
      <c r="W777" s="15">
        <f t="shared" si="12"/>
        <v>201828</v>
      </c>
      <c r="X777" s="15">
        <f>Table1[[#This Row],[Sub Total]]-Table1[[#This Row],[Discount Rp]]</f>
        <v>2321022</v>
      </c>
      <c r="Y777" s="15">
        <f ca="1">OFFSET(Helper!$C$3,MATCH(Data!$N$4:$N$1003,Helper!$C$4:$C$9,0),MATCH(Data!$O$4:$O$1003,Helper!$D$3:$F$3,0))</f>
        <v>15000</v>
      </c>
      <c r="Z777" s="16">
        <f ca="1">Table1[[#This Row],[Order Total]]+Table1[[#This Row],[Shipping Cost]]</f>
        <v>2336022</v>
      </c>
    </row>
    <row r="778" spans="1:26" ht="15.75" customHeight="1" x14ac:dyDescent="0.3">
      <c r="A778" s="9" t="s">
        <v>1625</v>
      </c>
      <c r="B778" s="18">
        <v>43622</v>
      </c>
      <c r="C778" s="10">
        <f>YEAR(Table1[[#This Row],[Order Date]])</f>
        <v>2019</v>
      </c>
      <c r="D778" s="10" t="s">
        <v>1626</v>
      </c>
      <c r="E778" s="10" t="s">
        <v>165</v>
      </c>
      <c r="F778" s="10" t="s">
        <v>71</v>
      </c>
      <c r="G778" s="10" t="s">
        <v>106</v>
      </c>
      <c r="H778" s="10" t="s">
        <v>88</v>
      </c>
      <c r="I778" s="10" t="str">
        <f>VLOOKUP(Table1[[#This Row],[Account Manager ID]],Table2[[Employee ID]:[Full Name]],4,FALSE)</f>
        <v>Bagiya Sihombing</v>
      </c>
      <c r="J778" s="10" t="str">
        <f>INDEX(Employee!$D$4:$D$47,MATCH($H$4:$H$1003,Employee!$A$4:$A$47,0))</f>
        <v>Bagiya Sihombing</v>
      </c>
      <c r="K778" s="10" t="s">
        <v>107</v>
      </c>
      <c r="L778" s="10" t="s">
        <v>406</v>
      </c>
      <c r="M778" s="10" t="s">
        <v>81</v>
      </c>
      <c r="N778" s="10" t="s">
        <v>82</v>
      </c>
      <c r="O778" s="10" t="s">
        <v>83</v>
      </c>
      <c r="P778" s="10">
        <v>43623</v>
      </c>
      <c r="Q778" s="15">
        <v>4184850</v>
      </c>
      <c r="R778" s="15">
        <v>6749850</v>
      </c>
      <c r="S778" s="15">
        <f>Table1[[#This Row],[Retail Price]]-Table1[[#This Row],[Cost Price]]</f>
        <v>2565000</v>
      </c>
      <c r="T778" s="10">
        <v>38</v>
      </c>
      <c r="U778" s="15">
        <f>Table1[[#This Row],[Profit Margin]]*Table1[[#This Row],[Order Quantity]]</f>
        <v>97470000</v>
      </c>
      <c r="V778" s="11">
        <v>0.01</v>
      </c>
      <c r="W778" s="15">
        <f t="shared" si="12"/>
        <v>974700</v>
      </c>
      <c r="X778" s="15">
        <f>Table1[[#This Row],[Sub Total]]-Table1[[#This Row],[Discount Rp]]</f>
        <v>96495300</v>
      </c>
      <c r="Y778" s="15">
        <f ca="1">OFFSET(Helper!$C$3,MATCH(Data!$N$4:$N$1003,Helper!$C$4:$C$9,0),MATCH(Data!$O$4:$O$1003,Helper!$D$3:$F$3,0))</f>
        <v>500000</v>
      </c>
      <c r="Z778" s="16">
        <f ca="1">Table1[[#This Row],[Order Total]]+Table1[[#This Row],[Shipping Cost]]</f>
        <v>96995300</v>
      </c>
    </row>
    <row r="779" spans="1:26" ht="15.75" customHeight="1" x14ac:dyDescent="0.3">
      <c r="A779" s="9" t="s">
        <v>1627</v>
      </c>
      <c r="B779" s="18">
        <v>43623</v>
      </c>
      <c r="C779" s="10">
        <f>YEAR(Table1[[#This Row],[Order Date]])</f>
        <v>2019</v>
      </c>
      <c r="D779" s="10" t="s">
        <v>1628</v>
      </c>
      <c r="E779" s="10" t="s">
        <v>1363</v>
      </c>
      <c r="F779" s="10" t="s">
        <v>71</v>
      </c>
      <c r="G779" s="10" t="s">
        <v>106</v>
      </c>
      <c r="H779" s="10" t="s">
        <v>122</v>
      </c>
      <c r="I779" s="10" t="str">
        <f>VLOOKUP(Table1[[#This Row],[Account Manager ID]],Table2[[Employee ID]:[Full Name]],4,FALSE)</f>
        <v>Ophelia Mustofa</v>
      </c>
      <c r="J779" s="10" t="str">
        <f>INDEX(Employee!$D$4:$D$47,MATCH($H$4:$H$1003,Employee!$A$4:$A$47,0))</f>
        <v>Ophelia Mustofa</v>
      </c>
      <c r="K779" s="10" t="s">
        <v>117</v>
      </c>
      <c r="L779" s="10" t="s">
        <v>810</v>
      </c>
      <c r="M779" s="10" t="s">
        <v>59</v>
      </c>
      <c r="N779" s="10" t="s">
        <v>60</v>
      </c>
      <c r="O779" s="10" t="s">
        <v>61</v>
      </c>
      <c r="P779" s="10">
        <v>43624</v>
      </c>
      <c r="Q779" s="15">
        <v>329550</v>
      </c>
      <c r="R779" s="15">
        <v>531600</v>
      </c>
      <c r="S779" s="15">
        <f>Table1[[#This Row],[Retail Price]]-Table1[[#This Row],[Cost Price]]</f>
        <v>202050</v>
      </c>
      <c r="T779" s="10">
        <v>48</v>
      </c>
      <c r="U779" s="15">
        <f>Table1[[#This Row],[Profit Margin]]*Table1[[#This Row],[Order Quantity]]</f>
        <v>9698400</v>
      </c>
      <c r="V779" s="11">
        <v>0.08</v>
      </c>
      <c r="W779" s="15">
        <f t="shared" si="12"/>
        <v>775872</v>
      </c>
      <c r="X779" s="15">
        <f>Table1[[#This Row],[Sub Total]]-Table1[[#This Row],[Discount Rp]]</f>
        <v>8922528</v>
      </c>
      <c r="Y779" s="15">
        <f ca="1">OFFSET(Helper!$C$3,MATCH(Data!$N$4:$N$1003,Helper!$C$4:$C$9,0),MATCH(Data!$O$4:$O$1003,Helper!$D$3:$F$3,0))</f>
        <v>15000</v>
      </c>
      <c r="Z779" s="16">
        <f ca="1">Table1[[#This Row],[Order Total]]+Table1[[#This Row],[Shipping Cost]]</f>
        <v>8937528</v>
      </c>
    </row>
    <row r="780" spans="1:26" ht="15.75" customHeight="1" x14ac:dyDescent="0.3">
      <c r="A780" s="9" t="s">
        <v>1629</v>
      </c>
      <c r="B780" s="18">
        <v>43626</v>
      </c>
      <c r="C780" s="10">
        <f>YEAR(Table1[[#This Row],[Order Date]])</f>
        <v>2019</v>
      </c>
      <c r="D780" s="10" t="s">
        <v>1135</v>
      </c>
      <c r="E780" s="10" t="s">
        <v>364</v>
      </c>
      <c r="F780" s="10" t="s">
        <v>71</v>
      </c>
      <c r="G780" s="10" t="s">
        <v>87</v>
      </c>
      <c r="H780" s="10" t="s">
        <v>97</v>
      </c>
      <c r="I780" s="10" t="str">
        <f>VLOOKUP(Table1[[#This Row],[Account Manager ID]],Table2[[Employee ID]:[Full Name]],4,FALSE)</f>
        <v>Violet Mentari</v>
      </c>
      <c r="J780" s="10" t="str">
        <f>INDEX(Employee!$D$4:$D$47,MATCH($H$4:$H$1003,Employee!$A$4:$A$47,0))</f>
        <v>Violet Mentari</v>
      </c>
      <c r="K780" s="10" t="s">
        <v>92</v>
      </c>
      <c r="L780" s="10" t="s">
        <v>412</v>
      </c>
      <c r="M780" s="10" t="s">
        <v>59</v>
      </c>
      <c r="N780" s="10" t="s">
        <v>67</v>
      </c>
      <c r="O780" s="10" t="s">
        <v>61</v>
      </c>
      <c r="P780" s="10">
        <v>43633</v>
      </c>
      <c r="Q780" s="15">
        <v>44700</v>
      </c>
      <c r="R780" s="15">
        <v>87600</v>
      </c>
      <c r="S780" s="15">
        <f>Table1[[#This Row],[Retail Price]]-Table1[[#This Row],[Cost Price]]</f>
        <v>42900</v>
      </c>
      <c r="T780" s="10">
        <v>19</v>
      </c>
      <c r="U780" s="15">
        <f>Table1[[#This Row],[Profit Margin]]*Table1[[#This Row],[Order Quantity]]</f>
        <v>815100</v>
      </c>
      <c r="V780" s="11">
        <v>0.01</v>
      </c>
      <c r="W780" s="15">
        <f t="shared" si="12"/>
        <v>8151</v>
      </c>
      <c r="X780" s="15">
        <f>Table1[[#This Row],[Sub Total]]-Table1[[#This Row],[Discount Rp]]</f>
        <v>806949</v>
      </c>
      <c r="Y780" s="15">
        <f ca="1">OFFSET(Helper!$C$3,MATCH(Data!$N$4:$N$1003,Helper!$C$4:$C$9,0),MATCH(Data!$O$4:$O$1003,Helper!$D$3:$F$3,0))</f>
        <v>5000</v>
      </c>
      <c r="Z780" s="16">
        <f ca="1">Table1[[#This Row],[Order Total]]+Table1[[#This Row],[Shipping Cost]]</f>
        <v>811949</v>
      </c>
    </row>
    <row r="781" spans="1:26" ht="15.75" customHeight="1" x14ac:dyDescent="0.3">
      <c r="A781" s="9" t="s">
        <v>1630</v>
      </c>
      <c r="B781" s="18">
        <v>43629</v>
      </c>
      <c r="C781" s="10">
        <f>YEAR(Table1[[#This Row],[Order Date]])</f>
        <v>2019</v>
      </c>
      <c r="D781" s="10" t="s">
        <v>914</v>
      </c>
      <c r="E781" s="10" t="s">
        <v>915</v>
      </c>
      <c r="F781" s="10" t="s">
        <v>261</v>
      </c>
      <c r="G781" s="10" t="s">
        <v>106</v>
      </c>
      <c r="H781" s="10" t="s">
        <v>97</v>
      </c>
      <c r="I781" s="10" t="str">
        <f>VLOOKUP(Table1[[#This Row],[Account Manager ID]],Table2[[Employee ID]:[Full Name]],4,FALSE)</f>
        <v>Violet Mentari</v>
      </c>
      <c r="J781" s="10" t="str">
        <f>INDEX(Employee!$D$4:$D$47,MATCH($H$4:$H$1003,Employee!$A$4:$A$47,0))</f>
        <v>Violet Mentari</v>
      </c>
      <c r="K781" s="10" t="s">
        <v>117</v>
      </c>
      <c r="L781" s="10" t="s">
        <v>108</v>
      </c>
      <c r="M781" s="10" t="s">
        <v>59</v>
      </c>
      <c r="N781" s="10" t="s">
        <v>60</v>
      </c>
      <c r="O781" s="10" t="s">
        <v>61</v>
      </c>
      <c r="P781" s="10">
        <v>43629</v>
      </c>
      <c r="Q781" s="15">
        <v>814350</v>
      </c>
      <c r="R781" s="15">
        <v>1357200</v>
      </c>
      <c r="S781" s="15">
        <f>Table1[[#This Row],[Retail Price]]-Table1[[#This Row],[Cost Price]]</f>
        <v>542850</v>
      </c>
      <c r="T781" s="10">
        <v>16</v>
      </c>
      <c r="U781" s="15">
        <f>Table1[[#This Row],[Profit Margin]]*Table1[[#This Row],[Order Quantity]]</f>
        <v>8685600</v>
      </c>
      <c r="V781" s="11">
        <v>0</v>
      </c>
      <c r="W781" s="15">
        <f t="shared" si="12"/>
        <v>0</v>
      </c>
      <c r="X781" s="15">
        <f>Table1[[#This Row],[Sub Total]]-Table1[[#This Row],[Discount Rp]]</f>
        <v>8685600</v>
      </c>
      <c r="Y781" s="15">
        <f ca="1">OFFSET(Helper!$C$3,MATCH(Data!$N$4:$N$1003,Helper!$C$4:$C$9,0),MATCH(Data!$O$4:$O$1003,Helper!$D$3:$F$3,0))</f>
        <v>15000</v>
      </c>
      <c r="Z781" s="16">
        <f ca="1">Table1[[#This Row],[Order Total]]+Table1[[#This Row],[Shipping Cost]]</f>
        <v>8700600</v>
      </c>
    </row>
    <row r="782" spans="1:26" ht="15.75" customHeight="1" x14ac:dyDescent="0.3">
      <c r="A782" s="9" t="s">
        <v>1631</v>
      </c>
      <c r="B782" s="18">
        <v>43634</v>
      </c>
      <c r="C782" s="10">
        <f>YEAR(Table1[[#This Row],[Order Date]])</f>
        <v>2019</v>
      </c>
      <c r="D782" s="10" t="s">
        <v>1632</v>
      </c>
      <c r="E782" s="10" t="s">
        <v>154</v>
      </c>
      <c r="F782" s="10" t="s">
        <v>71</v>
      </c>
      <c r="G782" s="10" t="s">
        <v>55</v>
      </c>
      <c r="H782" s="10" t="s">
        <v>155</v>
      </c>
      <c r="I782" s="10" t="str">
        <f>VLOOKUP(Table1[[#This Row],[Account Manager ID]],Table2[[Employee ID]:[Full Name]],4,FALSE)</f>
        <v>Puti Nadine Prakasa</v>
      </c>
      <c r="J782" s="10" t="str">
        <f>INDEX(Employee!$D$4:$D$47,MATCH($H$4:$H$1003,Employee!$A$4:$A$47,0))</f>
        <v>Puti Nadine Prakasa</v>
      </c>
      <c r="K782" s="10" t="s">
        <v>92</v>
      </c>
      <c r="L782" s="10" t="s">
        <v>661</v>
      </c>
      <c r="M782" s="10" t="s">
        <v>59</v>
      </c>
      <c r="N782" s="10" t="s">
        <v>67</v>
      </c>
      <c r="O782" s="10" t="s">
        <v>61</v>
      </c>
      <c r="P782" s="10">
        <v>43638</v>
      </c>
      <c r="Q782" s="15">
        <v>13950</v>
      </c>
      <c r="R782" s="15">
        <v>24000</v>
      </c>
      <c r="S782" s="15">
        <f>Table1[[#This Row],[Retail Price]]-Table1[[#This Row],[Cost Price]]</f>
        <v>10050</v>
      </c>
      <c r="T782" s="10">
        <v>43</v>
      </c>
      <c r="U782" s="15">
        <f>Table1[[#This Row],[Profit Margin]]*Table1[[#This Row],[Order Quantity]]</f>
        <v>432150</v>
      </c>
      <c r="V782" s="11">
        <v>0.01</v>
      </c>
      <c r="W782" s="15">
        <f t="shared" si="12"/>
        <v>4321.5</v>
      </c>
      <c r="X782" s="15">
        <f>Table1[[#This Row],[Sub Total]]-Table1[[#This Row],[Discount Rp]]</f>
        <v>427828.5</v>
      </c>
      <c r="Y782" s="15">
        <f ca="1">OFFSET(Helper!$C$3,MATCH(Data!$N$4:$N$1003,Helper!$C$4:$C$9,0),MATCH(Data!$O$4:$O$1003,Helper!$D$3:$F$3,0))</f>
        <v>5000</v>
      </c>
      <c r="Z782" s="16">
        <f ca="1">Table1[[#This Row],[Order Total]]+Table1[[#This Row],[Shipping Cost]]</f>
        <v>432828.5</v>
      </c>
    </row>
    <row r="783" spans="1:26" ht="15.75" customHeight="1" x14ac:dyDescent="0.3">
      <c r="A783" s="9" t="s">
        <v>1633</v>
      </c>
      <c r="B783" s="18">
        <v>43635</v>
      </c>
      <c r="C783" s="10">
        <f>YEAR(Table1[[#This Row],[Order Date]])</f>
        <v>2019</v>
      </c>
      <c r="D783" s="10" t="s">
        <v>161</v>
      </c>
      <c r="E783" s="10" t="s">
        <v>145</v>
      </c>
      <c r="F783" s="10" t="s">
        <v>71</v>
      </c>
      <c r="G783" s="10" t="s">
        <v>106</v>
      </c>
      <c r="H783" s="10" t="s">
        <v>146</v>
      </c>
      <c r="I783" s="10" t="str">
        <f>VLOOKUP(Table1[[#This Row],[Account Manager ID]],Table2[[Employee ID]:[Full Name]],4,FALSE)</f>
        <v>Kenari Rajasa</v>
      </c>
      <c r="J783" s="10" t="str">
        <f>INDEX(Employee!$D$4:$D$47,MATCH($H$4:$H$1003,Employee!$A$4:$A$47,0))</f>
        <v>Kenari Rajasa</v>
      </c>
      <c r="K783" s="10" t="s">
        <v>92</v>
      </c>
      <c r="L783" s="10" t="s">
        <v>560</v>
      </c>
      <c r="M783" s="10" t="s">
        <v>81</v>
      </c>
      <c r="N783" s="10" t="s">
        <v>60</v>
      </c>
      <c r="O783" s="10" t="s">
        <v>61</v>
      </c>
      <c r="P783" s="10">
        <v>43640</v>
      </c>
      <c r="Q783" s="15">
        <v>619200</v>
      </c>
      <c r="R783" s="15">
        <v>1439850</v>
      </c>
      <c r="S783" s="15">
        <f>Table1[[#This Row],[Retail Price]]-Table1[[#This Row],[Cost Price]]</f>
        <v>820650</v>
      </c>
      <c r="T783" s="10">
        <v>40</v>
      </c>
      <c r="U783" s="15">
        <f>Table1[[#This Row],[Profit Margin]]*Table1[[#This Row],[Order Quantity]]</f>
        <v>32826000</v>
      </c>
      <c r="V783" s="11">
        <v>0.05</v>
      </c>
      <c r="W783" s="15">
        <f t="shared" si="12"/>
        <v>1641300</v>
      </c>
      <c r="X783" s="15">
        <f>Table1[[#This Row],[Sub Total]]-Table1[[#This Row],[Discount Rp]]</f>
        <v>31184700</v>
      </c>
      <c r="Y783" s="15">
        <f ca="1">OFFSET(Helper!$C$3,MATCH(Data!$N$4:$N$1003,Helper!$C$4:$C$9,0),MATCH(Data!$O$4:$O$1003,Helper!$D$3:$F$3,0))</f>
        <v>15000</v>
      </c>
      <c r="Z783" s="16">
        <f ca="1">Table1[[#This Row],[Order Total]]+Table1[[#This Row],[Shipping Cost]]</f>
        <v>31199700</v>
      </c>
    </row>
    <row r="784" spans="1:26" ht="15.75" customHeight="1" x14ac:dyDescent="0.3">
      <c r="A784" s="9" t="s">
        <v>1634</v>
      </c>
      <c r="B784" s="18">
        <v>43635</v>
      </c>
      <c r="C784" s="10">
        <f>YEAR(Table1[[#This Row],[Order Date]])</f>
        <v>2019</v>
      </c>
      <c r="D784" s="10" t="s">
        <v>1635</v>
      </c>
      <c r="E784" s="10" t="s">
        <v>303</v>
      </c>
      <c r="F784" s="10" t="s">
        <v>71</v>
      </c>
      <c r="G784" s="10" t="s">
        <v>72</v>
      </c>
      <c r="H784" s="10" t="s">
        <v>304</v>
      </c>
      <c r="I784" s="10" t="str">
        <f>VLOOKUP(Table1[[#This Row],[Account Manager ID]],Table2[[Employee ID]:[Full Name]],4,FALSE)</f>
        <v>Sutan Tirtayasa Wasita</v>
      </c>
      <c r="J784" s="10" t="str">
        <f>INDEX(Employee!$D$4:$D$47,MATCH($H$4:$H$1003,Employee!$A$4:$A$47,0))</f>
        <v>Sutan Tirtayasa Wasita</v>
      </c>
      <c r="K784" s="10" t="s">
        <v>107</v>
      </c>
      <c r="L784" s="10" t="s">
        <v>1241</v>
      </c>
      <c r="M784" s="10" t="s">
        <v>59</v>
      </c>
      <c r="N784" s="10" t="s">
        <v>60</v>
      </c>
      <c r="O784" s="10" t="s">
        <v>76</v>
      </c>
      <c r="P784" s="10">
        <v>43636</v>
      </c>
      <c r="Q784" s="15">
        <v>59850</v>
      </c>
      <c r="R784" s="15">
        <v>93450</v>
      </c>
      <c r="S784" s="15">
        <f>Table1[[#This Row],[Retail Price]]-Table1[[#This Row],[Cost Price]]</f>
        <v>33600</v>
      </c>
      <c r="T784" s="10">
        <v>33</v>
      </c>
      <c r="U784" s="15">
        <f>Table1[[#This Row],[Profit Margin]]*Table1[[#This Row],[Order Quantity]]</f>
        <v>1108800</v>
      </c>
      <c r="V784" s="11">
        <v>0.08</v>
      </c>
      <c r="W784" s="15">
        <f t="shared" si="12"/>
        <v>88704</v>
      </c>
      <c r="X784" s="15">
        <f>Table1[[#This Row],[Sub Total]]-Table1[[#This Row],[Discount Rp]]</f>
        <v>1020096</v>
      </c>
      <c r="Y784" s="15">
        <f ca="1">OFFSET(Helper!$C$3,MATCH(Data!$N$4:$N$1003,Helper!$C$4:$C$9,0),MATCH(Data!$O$4:$O$1003,Helper!$D$3:$F$3,0))</f>
        <v>30000</v>
      </c>
      <c r="Z784" s="16">
        <f ca="1">Table1[[#This Row],[Order Total]]+Table1[[#This Row],[Shipping Cost]]</f>
        <v>1050096</v>
      </c>
    </row>
    <row r="785" spans="1:26" ht="15.75" customHeight="1" x14ac:dyDescent="0.3">
      <c r="A785" s="9" t="s">
        <v>1636</v>
      </c>
      <c r="B785" s="18">
        <v>43636</v>
      </c>
      <c r="C785" s="10">
        <f>YEAR(Table1[[#This Row],[Order Date]])</f>
        <v>2019</v>
      </c>
      <c r="D785" s="10" t="s">
        <v>408</v>
      </c>
      <c r="E785" s="10" t="s">
        <v>165</v>
      </c>
      <c r="F785" s="10" t="s">
        <v>71</v>
      </c>
      <c r="G785" s="10" t="s">
        <v>55</v>
      </c>
      <c r="H785" s="10" t="s">
        <v>88</v>
      </c>
      <c r="I785" s="10" t="str">
        <f>VLOOKUP(Table1[[#This Row],[Account Manager ID]],Table2[[Employee ID]:[Full Name]],4,FALSE)</f>
        <v>Bagiya Sihombing</v>
      </c>
      <c r="J785" s="10" t="str">
        <f>INDEX(Employee!$D$4:$D$47,MATCH($H$4:$H$1003,Employee!$A$4:$A$47,0))</f>
        <v>Bagiya Sihombing</v>
      </c>
      <c r="K785" s="10" t="s">
        <v>117</v>
      </c>
      <c r="L785" s="10" t="s">
        <v>598</v>
      </c>
      <c r="M785" s="10" t="s">
        <v>59</v>
      </c>
      <c r="N785" s="10" t="s">
        <v>136</v>
      </c>
      <c r="O785" s="10" t="s">
        <v>61</v>
      </c>
      <c r="P785" s="10">
        <v>43637</v>
      </c>
      <c r="Q785" s="15">
        <v>252000</v>
      </c>
      <c r="R785" s="15">
        <v>614550</v>
      </c>
      <c r="S785" s="15">
        <f>Table1[[#This Row],[Retail Price]]-Table1[[#This Row],[Cost Price]]</f>
        <v>362550</v>
      </c>
      <c r="T785" s="10">
        <v>14</v>
      </c>
      <c r="U785" s="15">
        <f>Table1[[#This Row],[Profit Margin]]*Table1[[#This Row],[Order Quantity]]</f>
        <v>5075700</v>
      </c>
      <c r="V785" s="11">
        <v>0</v>
      </c>
      <c r="W785" s="15">
        <f t="shared" si="12"/>
        <v>0</v>
      </c>
      <c r="X785" s="15">
        <f>Table1[[#This Row],[Sub Total]]-Table1[[#This Row],[Discount Rp]]</f>
        <v>5075700</v>
      </c>
      <c r="Y785" s="15">
        <f ca="1">OFFSET(Helper!$C$3,MATCH(Data!$N$4:$N$1003,Helper!$C$4:$C$9,0),MATCH(Data!$O$4:$O$1003,Helper!$D$3:$F$3,0))</f>
        <v>10000</v>
      </c>
      <c r="Z785" s="16">
        <f ca="1">Table1[[#This Row],[Order Total]]+Table1[[#This Row],[Shipping Cost]]</f>
        <v>5085700</v>
      </c>
    </row>
    <row r="786" spans="1:26" ht="15.75" customHeight="1" x14ac:dyDescent="0.3">
      <c r="A786" s="9" t="s">
        <v>1637</v>
      </c>
      <c r="B786" s="18">
        <v>43638</v>
      </c>
      <c r="C786" s="10">
        <f>YEAR(Table1[[#This Row],[Order Date]])</f>
        <v>2019</v>
      </c>
      <c r="D786" s="10" t="s">
        <v>1638</v>
      </c>
      <c r="E786" s="10" t="s">
        <v>424</v>
      </c>
      <c r="F786" s="10" t="s">
        <v>54</v>
      </c>
      <c r="G786" s="10" t="s">
        <v>72</v>
      </c>
      <c r="H786" s="10" t="s">
        <v>56</v>
      </c>
      <c r="I786" s="10" t="str">
        <f>VLOOKUP(Table1[[#This Row],[Account Manager ID]],Table2[[Employee ID]:[Full Name]],4,FALSE)</f>
        <v>Gaduh Pratama</v>
      </c>
      <c r="J786" s="10" t="str">
        <f>INDEX(Employee!$D$4:$D$47,MATCH($H$4:$H$1003,Employee!$A$4:$A$47,0))</f>
        <v>Gaduh Pratama</v>
      </c>
      <c r="K786" s="10" t="s">
        <v>117</v>
      </c>
      <c r="L786" s="10" t="s">
        <v>186</v>
      </c>
      <c r="M786" s="10" t="s">
        <v>81</v>
      </c>
      <c r="N786" s="10" t="s">
        <v>60</v>
      </c>
      <c r="O786" s="10" t="s">
        <v>61</v>
      </c>
      <c r="P786" s="10">
        <v>43639</v>
      </c>
      <c r="Q786" s="15">
        <v>95850</v>
      </c>
      <c r="R786" s="15">
        <v>299700</v>
      </c>
      <c r="S786" s="15">
        <f>Table1[[#This Row],[Retail Price]]-Table1[[#This Row],[Cost Price]]</f>
        <v>203850</v>
      </c>
      <c r="T786" s="10">
        <v>39</v>
      </c>
      <c r="U786" s="15">
        <f>Table1[[#This Row],[Profit Margin]]*Table1[[#This Row],[Order Quantity]]</f>
        <v>7950150</v>
      </c>
      <c r="V786" s="11">
        <v>0.05</v>
      </c>
      <c r="W786" s="15">
        <f t="shared" si="12"/>
        <v>397507.5</v>
      </c>
      <c r="X786" s="15">
        <f>Table1[[#This Row],[Sub Total]]-Table1[[#This Row],[Discount Rp]]</f>
        <v>7552642.5</v>
      </c>
      <c r="Y786" s="15">
        <f ca="1">OFFSET(Helper!$C$3,MATCH(Data!$N$4:$N$1003,Helper!$C$4:$C$9,0),MATCH(Data!$O$4:$O$1003,Helper!$D$3:$F$3,0))</f>
        <v>15000</v>
      </c>
      <c r="Z786" s="16">
        <f ca="1">Table1[[#This Row],[Order Total]]+Table1[[#This Row],[Shipping Cost]]</f>
        <v>7567642.5</v>
      </c>
    </row>
    <row r="787" spans="1:26" ht="15.75" customHeight="1" x14ac:dyDescent="0.3">
      <c r="A787" s="9" t="s">
        <v>1639</v>
      </c>
      <c r="B787" s="18">
        <v>43640</v>
      </c>
      <c r="C787" s="10">
        <f>YEAR(Table1[[#This Row],[Order Date]])</f>
        <v>2019</v>
      </c>
      <c r="D787" s="10" t="s">
        <v>742</v>
      </c>
      <c r="E787" s="10" t="s">
        <v>455</v>
      </c>
      <c r="F787" s="10" t="s">
        <v>71</v>
      </c>
      <c r="G787" s="10" t="s">
        <v>106</v>
      </c>
      <c r="H787" s="10" t="s">
        <v>155</v>
      </c>
      <c r="I787" s="10" t="str">
        <f>VLOOKUP(Table1[[#This Row],[Account Manager ID]],Table2[[Employee ID]:[Full Name]],4,FALSE)</f>
        <v>Puti Nadine Prakasa</v>
      </c>
      <c r="J787" s="10" t="str">
        <f>INDEX(Employee!$D$4:$D$47,MATCH($H$4:$H$1003,Employee!$A$4:$A$47,0))</f>
        <v>Puti Nadine Prakasa</v>
      </c>
      <c r="K787" s="10" t="s">
        <v>117</v>
      </c>
      <c r="L787" s="10" t="s">
        <v>546</v>
      </c>
      <c r="M787" s="10" t="s">
        <v>59</v>
      </c>
      <c r="N787" s="10" t="s">
        <v>60</v>
      </c>
      <c r="O787" s="10" t="s">
        <v>61</v>
      </c>
      <c r="P787" s="10">
        <v>43642</v>
      </c>
      <c r="Q787" s="15">
        <v>224250</v>
      </c>
      <c r="R787" s="15">
        <v>521399.99999999994</v>
      </c>
      <c r="S787" s="15">
        <f>Table1[[#This Row],[Retail Price]]-Table1[[#This Row],[Cost Price]]</f>
        <v>297149.99999999994</v>
      </c>
      <c r="T787" s="10">
        <v>27</v>
      </c>
      <c r="U787" s="15">
        <f>Table1[[#This Row],[Profit Margin]]*Table1[[#This Row],[Order Quantity]]</f>
        <v>8023049.9999999981</v>
      </c>
      <c r="V787" s="11">
        <v>0.1</v>
      </c>
      <c r="W787" s="15">
        <f t="shared" si="12"/>
        <v>802304.99999999988</v>
      </c>
      <c r="X787" s="15">
        <f>Table1[[#This Row],[Sub Total]]-Table1[[#This Row],[Discount Rp]]</f>
        <v>7220744.9999999981</v>
      </c>
      <c r="Y787" s="15">
        <f ca="1">OFFSET(Helper!$C$3,MATCH(Data!$N$4:$N$1003,Helper!$C$4:$C$9,0),MATCH(Data!$O$4:$O$1003,Helper!$D$3:$F$3,0))</f>
        <v>15000</v>
      </c>
      <c r="Z787" s="16">
        <f ca="1">Table1[[#This Row],[Order Total]]+Table1[[#This Row],[Shipping Cost]]</f>
        <v>7235744.9999999981</v>
      </c>
    </row>
    <row r="788" spans="1:26" ht="15.75" customHeight="1" x14ac:dyDescent="0.3">
      <c r="A788" s="9" t="s">
        <v>1640</v>
      </c>
      <c r="B788" s="18">
        <v>43641</v>
      </c>
      <c r="C788" s="10">
        <f>YEAR(Table1[[#This Row],[Order Date]])</f>
        <v>2019</v>
      </c>
      <c r="D788" s="10" t="s">
        <v>1414</v>
      </c>
      <c r="E788" s="10" t="s">
        <v>756</v>
      </c>
      <c r="F788" s="10" t="s">
        <v>71</v>
      </c>
      <c r="G788" s="10" t="s">
        <v>55</v>
      </c>
      <c r="H788" s="10" t="s">
        <v>146</v>
      </c>
      <c r="I788" s="10" t="str">
        <f>VLOOKUP(Table1[[#This Row],[Account Manager ID]],Table2[[Employee ID]:[Full Name]],4,FALSE)</f>
        <v>Kenari Rajasa</v>
      </c>
      <c r="J788" s="10" t="str">
        <f>INDEX(Employee!$D$4:$D$47,MATCH($H$4:$H$1003,Employee!$A$4:$A$47,0))</f>
        <v>Kenari Rajasa</v>
      </c>
      <c r="K788" s="10" t="s">
        <v>117</v>
      </c>
      <c r="L788" s="10" t="s">
        <v>1105</v>
      </c>
      <c r="M788" s="10" t="s">
        <v>59</v>
      </c>
      <c r="N788" s="10" t="s">
        <v>67</v>
      </c>
      <c r="O788" s="10" t="s">
        <v>61</v>
      </c>
      <c r="P788" s="10">
        <v>43641</v>
      </c>
      <c r="Q788" s="15">
        <v>14100</v>
      </c>
      <c r="R788" s="15">
        <v>28200</v>
      </c>
      <c r="S788" s="15">
        <f>Table1[[#This Row],[Retail Price]]-Table1[[#This Row],[Cost Price]]</f>
        <v>14100</v>
      </c>
      <c r="T788" s="10">
        <v>36</v>
      </c>
      <c r="U788" s="15">
        <f>Table1[[#This Row],[Profit Margin]]*Table1[[#This Row],[Order Quantity]]</f>
        <v>507600</v>
      </c>
      <c r="V788" s="11">
        <v>0.04</v>
      </c>
      <c r="W788" s="15">
        <f t="shared" si="12"/>
        <v>20304</v>
      </c>
      <c r="X788" s="15">
        <f>Table1[[#This Row],[Sub Total]]-Table1[[#This Row],[Discount Rp]]</f>
        <v>487296</v>
      </c>
      <c r="Y788" s="15">
        <f ca="1">OFFSET(Helper!$C$3,MATCH(Data!$N$4:$N$1003,Helper!$C$4:$C$9,0),MATCH(Data!$O$4:$O$1003,Helper!$D$3:$F$3,0))</f>
        <v>5000</v>
      </c>
      <c r="Z788" s="16">
        <f ca="1">Table1[[#This Row],[Order Total]]+Table1[[#This Row],[Shipping Cost]]</f>
        <v>492296</v>
      </c>
    </row>
    <row r="789" spans="1:26" ht="15.75" customHeight="1" x14ac:dyDescent="0.3">
      <c r="A789" s="9" t="s">
        <v>1641</v>
      </c>
      <c r="B789" s="18">
        <v>43641</v>
      </c>
      <c r="C789" s="10">
        <f>YEAR(Table1[[#This Row],[Order Date]])</f>
        <v>2019</v>
      </c>
      <c r="D789" s="10" t="s">
        <v>505</v>
      </c>
      <c r="E789" s="10" t="s">
        <v>506</v>
      </c>
      <c r="F789" s="10" t="s">
        <v>71</v>
      </c>
      <c r="G789" s="10" t="s">
        <v>72</v>
      </c>
      <c r="H789" s="10" t="s">
        <v>97</v>
      </c>
      <c r="I789" s="10" t="str">
        <f>VLOOKUP(Table1[[#This Row],[Account Manager ID]],Table2[[Employee ID]:[Full Name]],4,FALSE)</f>
        <v>Violet Mentari</v>
      </c>
      <c r="J789" s="10" t="str">
        <f>INDEX(Employee!$D$4:$D$47,MATCH($H$4:$H$1003,Employee!$A$4:$A$47,0))</f>
        <v>Violet Mentari</v>
      </c>
      <c r="K789" s="10" t="s">
        <v>92</v>
      </c>
      <c r="L789" s="10" t="s">
        <v>661</v>
      </c>
      <c r="M789" s="10" t="s">
        <v>59</v>
      </c>
      <c r="N789" s="10" t="s">
        <v>67</v>
      </c>
      <c r="O789" s="10" t="s">
        <v>61</v>
      </c>
      <c r="P789" s="10">
        <v>43646</v>
      </c>
      <c r="Q789" s="15">
        <v>13950</v>
      </c>
      <c r="R789" s="15">
        <v>24000</v>
      </c>
      <c r="S789" s="15">
        <f>Table1[[#This Row],[Retail Price]]-Table1[[#This Row],[Cost Price]]</f>
        <v>10050</v>
      </c>
      <c r="T789" s="10">
        <v>40</v>
      </c>
      <c r="U789" s="15">
        <f>Table1[[#This Row],[Profit Margin]]*Table1[[#This Row],[Order Quantity]]</f>
        <v>402000</v>
      </c>
      <c r="V789" s="11">
        <v>0.01</v>
      </c>
      <c r="W789" s="15">
        <f t="shared" si="12"/>
        <v>4020</v>
      </c>
      <c r="X789" s="15">
        <f>Table1[[#This Row],[Sub Total]]-Table1[[#This Row],[Discount Rp]]</f>
        <v>397980</v>
      </c>
      <c r="Y789" s="15">
        <f ca="1">OFFSET(Helper!$C$3,MATCH(Data!$N$4:$N$1003,Helper!$C$4:$C$9,0),MATCH(Data!$O$4:$O$1003,Helper!$D$3:$F$3,0))</f>
        <v>5000</v>
      </c>
      <c r="Z789" s="16">
        <f ca="1">Table1[[#This Row],[Order Total]]+Table1[[#This Row],[Shipping Cost]]</f>
        <v>402980</v>
      </c>
    </row>
    <row r="790" spans="1:26" ht="15.75" customHeight="1" x14ac:dyDescent="0.3">
      <c r="A790" s="9" t="s">
        <v>1642</v>
      </c>
      <c r="B790" s="18">
        <v>43643</v>
      </c>
      <c r="C790" s="10">
        <f>YEAR(Table1[[#This Row],[Order Date]])</f>
        <v>2019</v>
      </c>
      <c r="D790" s="10" t="s">
        <v>1643</v>
      </c>
      <c r="E790" s="10" t="s">
        <v>364</v>
      </c>
      <c r="F790" s="10" t="s">
        <v>71</v>
      </c>
      <c r="G790" s="10" t="s">
        <v>55</v>
      </c>
      <c r="H790" s="10" t="s">
        <v>97</v>
      </c>
      <c r="I790" s="10" t="str">
        <f>VLOOKUP(Table1[[#This Row],[Account Manager ID]],Table2[[Employee ID]:[Full Name]],4,FALSE)</f>
        <v>Violet Mentari</v>
      </c>
      <c r="J790" s="10" t="str">
        <f>INDEX(Employee!$D$4:$D$47,MATCH($H$4:$H$1003,Employee!$A$4:$A$47,0))</f>
        <v>Violet Mentari</v>
      </c>
      <c r="K790" s="10" t="s">
        <v>92</v>
      </c>
      <c r="L790" s="10" t="s">
        <v>287</v>
      </c>
      <c r="M790" s="10" t="s">
        <v>59</v>
      </c>
      <c r="N790" s="10" t="s">
        <v>60</v>
      </c>
      <c r="O790" s="10" t="s">
        <v>61</v>
      </c>
      <c r="P790" s="10">
        <v>43647</v>
      </c>
      <c r="Q790" s="15">
        <v>185850</v>
      </c>
      <c r="R790" s="15">
        <v>299700</v>
      </c>
      <c r="S790" s="15">
        <f>Table1[[#This Row],[Retail Price]]-Table1[[#This Row],[Cost Price]]</f>
        <v>113850</v>
      </c>
      <c r="T790" s="10">
        <v>47</v>
      </c>
      <c r="U790" s="15">
        <f>Table1[[#This Row],[Profit Margin]]*Table1[[#This Row],[Order Quantity]]</f>
        <v>5350950</v>
      </c>
      <c r="V790" s="11">
        <v>0</v>
      </c>
      <c r="W790" s="15">
        <f t="shared" si="12"/>
        <v>0</v>
      </c>
      <c r="X790" s="15">
        <f>Table1[[#This Row],[Sub Total]]-Table1[[#This Row],[Discount Rp]]</f>
        <v>5350950</v>
      </c>
      <c r="Y790" s="15">
        <f ca="1">OFFSET(Helper!$C$3,MATCH(Data!$N$4:$N$1003,Helper!$C$4:$C$9,0),MATCH(Data!$O$4:$O$1003,Helper!$D$3:$F$3,0))</f>
        <v>15000</v>
      </c>
      <c r="Z790" s="16">
        <f ca="1">Table1[[#This Row],[Order Total]]+Table1[[#This Row],[Shipping Cost]]</f>
        <v>5365950</v>
      </c>
    </row>
    <row r="791" spans="1:26" ht="15.75" customHeight="1" x14ac:dyDescent="0.3">
      <c r="A791" s="9" t="s">
        <v>1644</v>
      </c>
      <c r="B791" s="18">
        <v>43646</v>
      </c>
      <c r="C791" s="10">
        <f>YEAR(Table1[[#This Row],[Order Date]])</f>
        <v>2019</v>
      </c>
      <c r="D791" s="10" t="s">
        <v>944</v>
      </c>
      <c r="E791" s="10" t="s">
        <v>945</v>
      </c>
      <c r="F791" s="10" t="s">
        <v>71</v>
      </c>
      <c r="G791" s="10" t="s">
        <v>72</v>
      </c>
      <c r="H791" s="10" t="s">
        <v>185</v>
      </c>
      <c r="I791" s="10" t="str">
        <f>VLOOKUP(Table1[[#This Row],[Account Manager ID]],Table2[[Employee ID]:[Full Name]],4,FALSE)</f>
        <v>Clara Prasetyo</v>
      </c>
      <c r="J791" s="10" t="str">
        <f>INDEX(Employee!$D$4:$D$47,MATCH($H$4:$H$1003,Employee!$A$4:$A$47,0))</f>
        <v>Clara Prasetyo</v>
      </c>
      <c r="K791" s="10" t="s">
        <v>74</v>
      </c>
      <c r="L791" s="10" t="s">
        <v>394</v>
      </c>
      <c r="M791" s="10" t="s">
        <v>59</v>
      </c>
      <c r="N791" s="10" t="s">
        <v>67</v>
      </c>
      <c r="O791" s="10" t="s">
        <v>61</v>
      </c>
      <c r="P791" s="10">
        <v>43649</v>
      </c>
      <c r="Q791" s="15">
        <v>3600</v>
      </c>
      <c r="R791" s="15">
        <v>18900</v>
      </c>
      <c r="S791" s="15">
        <f>Table1[[#This Row],[Retail Price]]-Table1[[#This Row],[Cost Price]]</f>
        <v>15300</v>
      </c>
      <c r="T791" s="10">
        <v>47</v>
      </c>
      <c r="U791" s="15">
        <f>Table1[[#This Row],[Profit Margin]]*Table1[[#This Row],[Order Quantity]]</f>
        <v>719100</v>
      </c>
      <c r="V791" s="11">
        <v>7.0000000000000007E-2</v>
      </c>
      <c r="W791" s="15">
        <f t="shared" si="12"/>
        <v>50337.000000000007</v>
      </c>
      <c r="X791" s="15">
        <f>Table1[[#This Row],[Sub Total]]-Table1[[#This Row],[Discount Rp]]</f>
        <v>668763</v>
      </c>
      <c r="Y791" s="15">
        <f ca="1">OFFSET(Helper!$C$3,MATCH(Data!$N$4:$N$1003,Helper!$C$4:$C$9,0),MATCH(Data!$O$4:$O$1003,Helper!$D$3:$F$3,0))</f>
        <v>5000</v>
      </c>
      <c r="Z791" s="16">
        <f ca="1">Table1[[#This Row],[Order Total]]+Table1[[#This Row],[Shipping Cost]]</f>
        <v>673763</v>
      </c>
    </row>
    <row r="792" spans="1:26" ht="15.75" customHeight="1" x14ac:dyDescent="0.3">
      <c r="A792" s="12" t="s">
        <v>1644</v>
      </c>
      <c r="B792" s="18">
        <v>43646</v>
      </c>
      <c r="C792" s="10">
        <f>YEAR(Table1[[#This Row],[Order Date]])</f>
        <v>2019</v>
      </c>
      <c r="D792" s="10" t="s">
        <v>124</v>
      </c>
      <c r="E792" s="10" t="s">
        <v>125</v>
      </c>
      <c r="F792" s="10" t="s">
        <v>71</v>
      </c>
      <c r="G792" s="10" t="s">
        <v>87</v>
      </c>
      <c r="H792" s="10" t="s">
        <v>97</v>
      </c>
      <c r="I792" s="10" t="str">
        <f>VLOOKUP(Table1[[#This Row],[Account Manager ID]],Table2[[Employee ID]:[Full Name]],4,FALSE)</f>
        <v>Violet Mentari</v>
      </c>
      <c r="J792" s="10" t="str">
        <f>INDEX(Employee!$D$4:$D$47,MATCH($H$4:$H$1003,Employee!$A$4:$A$47,0))</f>
        <v>Violet Mentari</v>
      </c>
      <c r="K792" s="10" t="s">
        <v>74</v>
      </c>
      <c r="L792" s="10" t="s">
        <v>238</v>
      </c>
      <c r="M792" s="10" t="s">
        <v>59</v>
      </c>
      <c r="N792" s="10" t="s">
        <v>67</v>
      </c>
      <c r="O792" s="10" t="s">
        <v>61</v>
      </c>
      <c r="P792" s="10">
        <v>43648</v>
      </c>
      <c r="Q792" s="15">
        <v>323400</v>
      </c>
      <c r="R792" s="15">
        <v>548250</v>
      </c>
      <c r="S792" s="15">
        <f>Table1[[#This Row],[Retail Price]]-Table1[[#This Row],[Cost Price]]</f>
        <v>224850</v>
      </c>
      <c r="T792" s="10">
        <v>2</v>
      </c>
      <c r="U792" s="15">
        <f>Table1[[#This Row],[Profit Margin]]*Table1[[#This Row],[Order Quantity]]</f>
        <v>449700</v>
      </c>
      <c r="V792" s="11">
        <v>0.03</v>
      </c>
      <c r="W792" s="15">
        <f t="shared" si="12"/>
        <v>13491</v>
      </c>
      <c r="X792" s="15">
        <f>Table1[[#This Row],[Sub Total]]-Table1[[#This Row],[Discount Rp]]</f>
        <v>436209</v>
      </c>
      <c r="Y792" s="15">
        <f ca="1">OFFSET(Helper!$C$3,MATCH(Data!$N$4:$N$1003,Helper!$C$4:$C$9,0),MATCH(Data!$O$4:$O$1003,Helper!$D$3:$F$3,0))</f>
        <v>5000</v>
      </c>
      <c r="Z792" s="16">
        <f ca="1">Table1[[#This Row],[Order Total]]+Table1[[#This Row],[Shipping Cost]]</f>
        <v>441209</v>
      </c>
    </row>
    <row r="793" spans="1:26" ht="15.75" customHeight="1" x14ac:dyDescent="0.3">
      <c r="A793" s="9" t="s">
        <v>1645</v>
      </c>
      <c r="B793" s="18">
        <v>43646</v>
      </c>
      <c r="C793" s="10">
        <f>YEAR(Table1[[#This Row],[Order Date]])</f>
        <v>2019</v>
      </c>
      <c r="D793" s="10" t="s">
        <v>1646</v>
      </c>
      <c r="E793" s="10" t="s">
        <v>449</v>
      </c>
      <c r="F793" s="10" t="s">
        <v>54</v>
      </c>
      <c r="G793" s="10" t="s">
        <v>106</v>
      </c>
      <c r="H793" s="10" t="s">
        <v>56</v>
      </c>
      <c r="I793" s="10" t="str">
        <f>VLOOKUP(Table1[[#This Row],[Account Manager ID]],Table2[[Employee ID]:[Full Name]],4,FALSE)</f>
        <v>Gaduh Pratama</v>
      </c>
      <c r="J793" s="10" t="str">
        <f>INDEX(Employee!$D$4:$D$47,MATCH($H$4:$H$1003,Employee!$A$4:$A$47,0))</f>
        <v>Gaduh Pratama</v>
      </c>
      <c r="K793" s="10" t="s">
        <v>117</v>
      </c>
      <c r="L793" s="10" t="s">
        <v>216</v>
      </c>
      <c r="M793" s="10" t="s">
        <v>81</v>
      </c>
      <c r="N793" s="10" t="s">
        <v>136</v>
      </c>
      <c r="O793" s="10" t="s">
        <v>76</v>
      </c>
      <c r="P793" s="10">
        <v>43647</v>
      </c>
      <c r="Q793" s="15">
        <v>28050</v>
      </c>
      <c r="R793" s="15">
        <v>121799.99999999999</v>
      </c>
      <c r="S793" s="15">
        <f>Table1[[#This Row],[Retail Price]]-Table1[[#This Row],[Cost Price]]</f>
        <v>93749.999999999985</v>
      </c>
      <c r="T793" s="10">
        <v>37</v>
      </c>
      <c r="U793" s="15">
        <f>Table1[[#This Row],[Profit Margin]]*Table1[[#This Row],[Order Quantity]]</f>
        <v>3468749.9999999995</v>
      </c>
      <c r="V793" s="11">
        <v>0.01</v>
      </c>
      <c r="W793" s="15">
        <f t="shared" si="12"/>
        <v>34687.499999999993</v>
      </c>
      <c r="X793" s="15">
        <f>Table1[[#This Row],[Sub Total]]-Table1[[#This Row],[Discount Rp]]</f>
        <v>3434062.4999999995</v>
      </c>
      <c r="Y793" s="15">
        <f ca="1">OFFSET(Helper!$C$3,MATCH(Data!$N$4:$N$1003,Helper!$C$4:$C$9,0),MATCH(Data!$O$4:$O$1003,Helper!$D$3:$F$3,0))</f>
        <v>20000</v>
      </c>
      <c r="Z793" s="16">
        <f ca="1">Table1[[#This Row],[Order Total]]+Table1[[#This Row],[Shipping Cost]]</f>
        <v>3454062.4999999995</v>
      </c>
    </row>
    <row r="794" spans="1:26" ht="15.75" customHeight="1" x14ac:dyDescent="0.3">
      <c r="A794" s="9" t="s">
        <v>1647</v>
      </c>
      <c r="B794" s="18">
        <v>43647</v>
      </c>
      <c r="C794" s="10">
        <f>YEAR(Table1[[#This Row],[Order Date]])</f>
        <v>2019</v>
      </c>
      <c r="D794" s="10" t="s">
        <v>1635</v>
      </c>
      <c r="E794" s="10" t="s">
        <v>303</v>
      </c>
      <c r="F794" s="10" t="s">
        <v>71</v>
      </c>
      <c r="G794" s="10" t="s">
        <v>72</v>
      </c>
      <c r="H794" s="10" t="s">
        <v>304</v>
      </c>
      <c r="I794" s="10" t="str">
        <f>VLOOKUP(Table1[[#This Row],[Account Manager ID]],Table2[[Employee ID]:[Full Name]],4,FALSE)</f>
        <v>Sutan Tirtayasa Wasita</v>
      </c>
      <c r="J794" s="10" t="str">
        <f>INDEX(Employee!$D$4:$D$47,MATCH($H$4:$H$1003,Employee!$A$4:$A$47,0))</f>
        <v>Sutan Tirtayasa Wasita</v>
      </c>
      <c r="K794" s="10" t="s">
        <v>92</v>
      </c>
      <c r="L794" s="10" t="s">
        <v>950</v>
      </c>
      <c r="M794" s="10" t="s">
        <v>59</v>
      </c>
      <c r="N794" s="10" t="s">
        <v>60</v>
      </c>
      <c r="O794" s="10" t="s">
        <v>61</v>
      </c>
      <c r="P794" s="10">
        <v>43652</v>
      </c>
      <c r="Q794" s="15">
        <v>27600</v>
      </c>
      <c r="R794" s="15">
        <v>43200</v>
      </c>
      <c r="S794" s="15">
        <f>Table1[[#This Row],[Retail Price]]-Table1[[#This Row],[Cost Price]]</f>
        <v>15600</v>
      </c>
      <c r="T794" s="10">
        <v>18</v>
      </c>
      <c r="U794" s="15">
        <f>Table1[[#This Row],[Profit Margin]]*Table1[[#This Row],[Order Quantity]]</f>
        <v>280800</v>
      </c>
      <c r="V794" s="11">
        <v>0.02</v>
      </c>
      <c r="W794" s="15">
        <f t="shared" si="12"/>
        <v>5616</v>
      </c>
      <c r="X794" s="15">
        <f>Table1[[#This Row],[Sub Total]]-Table1[[#This Row],[Discount Rp]]</f>
        <v>275184</v>
      </c>
      <c r="Y794" s="15">
        <f ca="1">OFFSET(Helper!$C$3,MATCH(Data!$N$4:$N$1003,Helper!$C$4:$C$9,0),MATCH(Data!$O$4:$O$1003,Helper!$D$3:$F$3,0))</f>
        <v>15000</v>
      </c>
      <c r="Z794" s="16">
        <f ca="1">Table1[[#This Row],[Order Total]]+Table1[[#This Row],[Shipping Cost]]</f>
        <v>290184</v>
      </c>
    </row>
    <row r="795" spans="1:26" ht="15.75" customHeight="1" x14ac:dyDescent="0.3">
      <c r="A795" s="9" t="s">
        <v>1648</v>
      </c>
      <c r="B795" s="18">
        <v>43647</v>
      </c>
      <c r="C795" s="10">
        <f>YEAR(Table1[[#This Row],[Order Date]])</f>
        <v>2019</v>
      </c>
      <c r="D795" s="10" t="s">
        <v>1649</v>
      </c>
      <c r="E795" s="10" t="s">
        <v>189</v>
      </c>
      <c r="F795" s="10" t="s">
        <v>54</v>
      </c>
      <c r="G795" s="10" t="s">
        <v>55</v>
      </c>
      <c r="H795" s="10" t="s">
        <v>56</v>
      </c>
      <c r="I795" s="10" t="str">
        <f>VLOOKUP(Table1[[#This Row],[Account Manager ID]],Table2[[Employee ID]:[Full Name]],4,FALSE)</f>
        <v>Gaduh Pratama</v>
      </c>
      <c r="J795" s="10" t="str">
        <f>INDEX(Employee!$D$4:$D$47,MATCH($H$4:$H$1003,Employee!$A$4:$A$47,0))</f>
        <v>Gaduh Pratama</v>
      </c>
      <c r="K795" s="10" t="s">
        <v>57</v>
      </c>
      <c r="L795" s="10" t="s">
        <v>248</v>
      </c>
      <c r="M795" s="10" t="s">
        <v>59</v>
      </c>
      <c r="N795" s="10" t="s">
        <v>67</v>
      </c>
      <c r="O795" s="10" t="s">
        <v>61</v>
      </c>
      <c r="P795" s="10">
        <v>43647</v>
      </c>
      <c r="Q795" s="15">
        <v>56250</v>
      </c>
      <c r="R795" s="15">
        <v>106200</v>
      </c>
      <c r="S795" s="15">
        <f>Table1[[#This Row],[Retail Price]]-Table1[[#This Row],[Cost Price]]</f>
        <v>49950</v>
      </c>
      <c r="T795" s="10">
        <v>16</v>
      </c>
      <c r="U795" s="15">
        <f>Table1[[#This Row],[Profit Margin]]*Table1[[#This Row],[Order Quantity]]</f>
        <v>799200</v>
      </c>
      <c r="V795" s="11">
        <v>0.02</v>
      </c>
      <c r="W795" s="15">
        <f t="shared" si="12"/>
        <v>15984</v>
      </c>
      <c r="X795" s="15">
        <f>Table1[[#This Row],[Sub Total]]-Table1[[#This Row],[Discount Rp]]</f>
        <v>783216</v>
      </c>
      <c r="Y795" s="15">
        <f ca="1">OFFSET(Helper!$C$3,MATCH(Data!$N$4:$N$1003,Helper!$C$4:$C$9,0),MATCH(Data!$O$4:$O$1003,Helper!$D$3:$F$3,0))</f>
        <v>5000</v>
      </c>
      <c r="Z795" s="16">
        <f ca="1">Table1[[#This Row],[Order Total]]+Table1[[#This Row],[Shipping Cost]]</f>
        <v>788216</v>
      </c>
    </row>
    <row r="796" spans="1:26" ht="15.75" customHeight="1" x14ac:dyDescent="0.3">
      <c r="A796" s="9" t="s">
        <v>1650</v>
      </c>
      <c r="B796" s="18">
        <v>43649</v>
      </c>
      <c r="C796" s="10">
        <f>YEAR(Table1[[#This Row],[Order Date]])</f>
        <v>2019</v>
      </c>
      <c r="D796" s="10" t="s">
        <v>1651</v>
      </c>
      <c r="E796" s="10" t="s">
        <v>1470</v>
      </c>
      <c r="F796" s="10" t="s">
        <v>71</v>
      </c>
      <c r="G796" s="10" t="s">
        <v>72</v>
      </c>
      <c r="H796" s="10" t="s">
        <v>73</v>
      </c>
      <c r="I796" s="10" t="str">
        <f>VLOOKUP(Table1[[#This Row],[Account Manager ID]],Table2[[Employee ID]:[Full Name]],4,FALSE)</f>
        <v>Cinthia Gunawan</v>
      </c>
      <c r="J796" s="10" t="str">
        <f>INDEX(Employee!$D$4:$D$47,MATCH($H$4:$H$1003,Employee!$A$4:$A$47,0))</f>
        <v>Cinthia Gunawan</v>
      </c>
      <c r="K796" s="10" t="s">
        <v>107</v>
      </c>
      <c r="L796" s="10" t="s">
        <v>331</v>
      </c>
      <c r="M796" s="10" t="s">
        <v>59</v>
      </c>
      <c r="N796" s="10" t="s">
        <v>67</v>
      </c>
      <c r="O796" s="10" t="s">
        <v>61</v>
      </c>
      <c r="P796" s="10">
        <v>43651</v>
      </c>
      <c r="Q796" s="15">
        <v>43500</v>
      </c>
      <c r="R796" s="15">
        <v>71400</v>
      </c>
      <c r="S796" s="15">
        <f>Table1[[#This Row],[Retail Price]]-Table1[[#This Row],[Cost Price]]</f>
        <v>27900</v>
      </c>
      <c r="T796" s="10">
        <v>23</v>
      </c>
      <c r="U796" s="15">
        <f>Table1[[#This Row],[Profit Margin]]*Table1[[#This Row],[Order Quantity]]</f>
        <v>641700</v>
      </c>
      <c r="V796" s="11">
        <v>0.05</v>
      </c>
      <c r="W796" s="15">
        <f t="shared" si="12"/>
        <v>32085</v>
      </c>
      <c r="X796" s="15">
        <f>Table1[[#This Row],[Sub Total]]-Table1[[#This Row],[Discount Rp]]</f>
        <v>609615</v>
      </c>
      <c r="Y796" s="15">
        <f ca="1">OFFSET(Helper!$C$3,MATCH(Data!$N$4:$N$1003,Helper!$C$4:$C$9,0),MATCH(Data!$O$4:$O$1003,Helper!$D$3:$F$3,0))</f>
        <v>5000</v>
      </c>
      <c r="Z796" s="16">
        <f ca="1">Table1[[#This Row],[Order Total]]+Table1[[#This Row],[Shipping Cost]]</f>
        <v>614615</v>
      </c>
    </row>
    <row r="797" spans="1:26" ht="15.75" customHeight="1" x14ac:dyDescent="0.3">
      <c r="A797" s="9" t="s">
        <v>1652</v>
      </c>
      <c r="B797" s="18">
        <v>43650</v>
      </c>
      <c r="C797" s="10">
        <f>YEAR(Table1[[#This Row],[Order Date]])</f>
        <v>2019</v>
      </c>
      <c r="D797" s="10" t="s">
        <v>1653</v>
      </c>
      <c r="E797" s="10" t="s">
        <v>233</v>
      </c>
      <c r="F797" s="10" t="s">
        <v>54</v>
      </c>
      <c r="G797" s="10" t="s">
        <v>72</v>
      </c>
      <c r="H797" s="10" t="s">
        <v>65</v>
      </c>
      <c r="I797" s="10" t="str">
        <f>VLOOKUP(Table1[[#This Row],[Account Manager ID]],Table2[[Employee ID]:[Full Name]],4,FALSE)</f>
        <v>Laras Nuraini</v>
      </c>
      <c r="J797" s="10" t="str">
        <f>INDEX(Employee!$D$4:$D$47,MATCH($H$4:$H$1003,Employee!$A$4:$A$47,0))</f>
        <v>Laras Nuraini</v>
      </c>
      <c r="K797" s="10" t="s">
        <v>117</v>
      </c>
      <c r="L797" s="10" t="s">
        <v>226</v>
      </c>
      <c r="M797" s="10" t="s">
        <v>81</v>
      </c>
      <c r="N797" s="10" t="s">
        <v>227</v>
      </c>
      <c r="O797" s="10" t="s">
        <v>61</v>
      </c>
      <c r="P797" s="10">
        <v>43651</v>
      </c>
      <c r="Q797" s="15">
        <v>132300</v>
      </c>
      <c r="R797" s="15">
        <v>314850</v>
      </c>
      <c r="S797" s="15">
        <f>Table1[[#This Row],[Retail Price]]-Table1[[#This Row],[Cost Price]]</f>
        <v>182550</v>
      </c>
      <c r="T797" s="10">
        <v>2</v>
      </c>
      <c r="U797" s="15">
        <f>Table1[[#This Row],[Profit Margin]]*Table1[[#This Row],[Order Quantity]]</f>
        <v>365100</v>
      </c>
      <c r="V797" s="11">
        <v>7.0000000000000007E-2</v>
      </c>
      <c r="W797" s="15">
        <f t="shared" si="12"/>
        <v>25557.000000000004</v>
      </c>
      <c r="X797" s="15">
        <f>Table1[[#This Row],[Sub Total]]-Table1[[#This Row],[Discount Rp]]</f>
        <v>339543</v>
      </c>
      <c r="Y797" s="15">
        <f ca="1">OFFSET(Helper!$C$3,MATCH(Data!$N$4:$N$1003,Helper!$C$4:$C$9,0),MATCH(Data!$O$4:$O$1003,Helper!$D$3:$F$3,0))</f>
        <v>20000</v>
      </c>
      <c r="Z797" s="16">
        <f ca="1">Table1[[#This Row],[Order Total]]+Table1[[#This Row],[Shipping Cost]]</f>
        <v>359543</v>
      </c>
    </row>
    <row r="798" spans="1:26" ht="15.75" customHeight="1" x14ac:dyDescent="0.3">
      <c r="A798" s="9" t="s">
        <v>1654</v>
      </c>
      <c r="B798" s="18">
        <v>43654</v>
      </c>
      <c r="C798" s="10">
        <f>YEAR(Table1[[#This Row],[Order Date]])</f>
        <v>2019</v>
      </c>
      <c r="D798" s="10" t="s">
        <v>596</v>
      </c>
      <c r="E798" s="10" t="s">
        <v>449</v>
      </c>
      <c r="F798" s="10" t="s">
        <v>54</v>
      </c>
      <c r="G798" s="10" t="s">
        <v>72</v>
      </c>
      <c r="H798" s="10" t="s">
        <v>65</v>
      </c>
      <c r="I798" s="10" t="str">
        <f>VLOOKUP(Table1[[#This Row],[Account Manager ID]],Table2[[Employee ID]:[Full Name]],4,FALSE)</f>
        <v>Laras Nuraini</v>
      </c>
      <c r="J798" s="10" t="str">
        <f>INDEX(Employee!$D$4:$D$47,MATCH($H$4:$H$1003,Employee!$A$4:$A$47,0))</f>
        <v>Laras Nuraini</v>
      </c>
      <c r="K798" s="10" t="s">
        <v>107</v>
      </c>
      <c r="L798" s="10" t="s">
        <v>700</v>
      </c>
      <c r="M798" s="10" t="s">
        <v>59</v>
      </c>
      <c r="N798" s="10" t="s">
        <v>67</v>
      </c>
      <c r="O798" s="10" t="s">
        <v>61</v>
      </c>
      <c r="P798" s="10">
        <v>43654</v>
      </c>
      <c r="Q798" s="15">
        <v>34650</v>
      </c>
      <c r="R798" s="15">
        <v>56700</v>
      </c>
      <c r="S798" s="15">
        <f>Table1[[#This Row],[Retail Price]]-Table1[[#This Row],[Cost Price]]</f>
        <v>22050</v>
      </c>
      <c r="T798" s="10">
        <v>28</v>
      </c>
      <c r="U798" s="15">
        <f>Table1[[#This Row],[Profit Margin]]*Table1[[#This Row],[Order Quantity]]</f>
        <v>617400</v>
      </c>
      <c r="V798" s="11">
        <v>0</v>
      </c>
      <c r="W798" s="15">
        <f t="shared" si="12"/>
        <v>0</v>
      </c>
      <c r="X798" s="15">
        <f>Table1[[#This Row],[Sub Total]]-Table1[[#This Row],[Discount Rp]]</f>
        <v>617400</v>
      </c>
      <c r="Y798" s="15">
        <f ca="1">OFFSET(Helper!$C$3,MATCH(Data!$N$4:$N$1003,Helper!$C$4:$C$9,0),MATCH(Data!$O$4:$O$1003,Helper!$D$3:$F$3,0))</f>
        <v>5000</v>
      </c>
      <c r="Z798" s="16">
        <f ca="1">Table1[[#This Row],[Order Total]]+Table1[[#This Row],[Shipping Cost]]</f>
        <v>622400</v>
      </c>
    </row>
    <row r="799" spans="1:26" ht="15.75" customHeight="1" x14ac:dyDescent="0.3">
      <c r="A799" s="9" t="s">
        <v>1655</v>
      </c>
      <c r="B799" s="18">
        <v>43655</v>
      </c>
      <c r="C799" s="10">
        <f>YEAR(Table1[[#This Row],[Order Date]])</f>
        <v>2019</v>
      </c>
      <c r="D799" s="10" t="s">
        <v>1656</v>
      </c>
      <c r="E799" s="10" t="s">
        <v>740</v>
      </c>
      <c r="F799" s="10" t="s">
        <v>71</v>
      </c>
      <c r="G799" s="10" t="s">
        <v>72</v>
      </c>
      <c r="H799" s="10" t="s">
        <v>97</v>
      </c>
      <c r="I799" s="10" t="str">
        <f>VLOOKUP(Table1[[#This Row],[Account Manager ID]],Table2[[Employee ID]:[Full Name]],4,FALSE)</f>
        <v>Violet Mentari</v>
      </c>
      <c r="J799" s="10" t="str">
        <f>INDEX(Employee!$D$4:$D$47,MATCH($H$4:$H$1003,Employee!$A$4:$A$47,0))</f>
        <v>Violet Mentari</v>
      </c>
      <c r="K799" s="10" t="s">
        <v>92</v>
      </c>
      <c r="L799" s="10" t="s">
        <v>530</v>
      </c>
      <c r="M799" s="10" t="s">
        <v>59</v>
      </c>
      <c r="N799" s="10" t="s">
        <v>136</v>
      </c>
      <c r="O799" s="10" t="s">
        <v>61</v>
      </c>
      <c r="P799" s="10">
        <v>43657</v>
      </c>
      <c r="Q799" s="15">
        <v>37500</v>
      </c>
      <c r="R799" s="15">
        <v>85200</v>
      </c>
      <c r="S799" s="15">
        <f>Table1[[#This Row],[Retail Price]]-Table1[[#This Row],[Cost Price]]</f>
        <v>47700</v>
      </c>
      <c r="T799" s="10">
        <v>45</v>
      </c>
      <c r="U799" s="15">
        <f>Table1[[#This Row],[Profit Margin]]*Table1[[#This Row],[Order Quantity]]</f>
        <v>2146500</v>
      </c>
      <c r="V799" s="11">
        <v>0.01</v>
      </c>
      <c r="W799" s="15">
        <f t="shared" si="12"/>
        <v>21465</v>
      </c>
      <c r="X799" s="15">
        <f>Table1[[#This Row],[Sub Total]]-Table1[[#This Row],[Discount Rp]]</f>
        <v>2125035</v>
      </c>
      <c r="Y799" s="15">
        <f ca="1">OFFSET(Helper!$C$3,MATCH(Data!$N$4:$N$1003,Helper!$C$4:$C$9,0),MATCH(Data!$O$4:$O$1003,Helper!$D$3:$F$3,0))</f>
        <v>10000</v>
      </c>
      <c r="Z799" s="16">
        <f ca="1">Table1[[#This Row],[Order Total]]+Table1[[#This Row],[Shipping Cost]]</f>
        <v>2135035</v>
      </c>
    </row>
    <row r="800" spans="1:26" ht="15.75" customHeight="1" x14ac:dyDescent="0.3">
      <c r="A800" s="9" t="s">
        <v>1657</v>
      </c>
      <c r="B800" s="18">
        <v>43655</v>
      </c>
      <c r="C800" s="10">
        <f>YEAR(Table1[[#This Row],[Order Date]])</f>
        <v>2019</v>
      </c>
      <c r="D800" s="10" t="s">
        <v>1605</v>
      </c>
      <c r="E800" s="10" t="s">
        <v>1606</v>
      </c>
      <c r="F800" s="10" t="s">
        <v>261</v>
      </c>
      <c r="G800" s="10" t="s">
        <v>106</v>
      </c>
      <c r="H800" s="10" t="s">
        <v>97</v>
      </c>
      <c r="I800" s="10" t="str">
        <f>VLOOKUP(Table1[[#This Row],[Account Manager ID]],Table2[[Employee ID]:[Full Name]],4,FALSE)</f>
        <v>Violet Mentari</v>
      </c>
      <c r="J800" s="10" t="str">
        <f>INDEX(Employee!$D$4:$D$47,MATCH($H$4:$H$1003,Employee!$A$4:$A$47,0))</f>
        <v>Violet Mentari</v>
      </c>
      <c r="K800" s="10" t="s">
        <v>74</v>
      </c>
      <c r="L800" s="10" t="s">
        <v>181</v>
      </c>
      <c r="M800" s="10" t="s">
        <v>59</v>
      </c>
      <c r="N800" s="10" t="s">
        <v>60</v>
      </c>
      <c r="O800" s="10" t="s">
        <v>61</v>
      </c>
      <c r="P800" s="10">
        <v>43657</v>
      </c>
      <c r="Q800" s="15">
        <v>23850</v>
      </c>
      <c r="R800" s="15">
        <v>39150</v>
      </c>
      <c r="S800" s="15">
        <f>Table1[[#This Row],[Retail Price]]-Table1[[#This Row],[Cost Price]]</f>
        <v>15300</v>
      </c>
      <c r="T800" s="10">
        <v>8</v>
      </c>
      <c r="U800" s="15">
        <f>Table1[[#This Row],[Profit Margin]]*Table1[[#This Row],[Order Quantity]]</f>
        <v>122400</v>
      </c>
      <c r="V800" s="11">
        <v>0.02</v>
      </c>
      <c r="W800" s="15">
        <f t="shared" si="12"/>
        <v>2448</v>
      </c>
      <c r="X800" s="15">
        <f>Table1[[#This Row],[Sub Total]]-Table1[[#This Row],[Discount Rp]]</f>
        <v>119952</v>
      </c>
      <c r="Y800" s="15">
        <f ca="1">OFFSET(Helper!$C$3,MATCH(Data!$N$4:$N$1003,Helper!$C$4:$C$9,0),MATCH(Data!$O$4:$O$1003,Helper!$D$3:$F$3,0))</f>
        <v>15000</v>
      </c>
      <c r="Z800" s="16">
        <f ca="1">Table1[[#This Row],[Order Total]]+Table1[[#This Row],[Shipping Cost]]</f>
        <v>134952</v>
      </c>
    </row>
    <row r="801" spans="1:26" ht="15.75" customHeight="1" x14ac:dyDescent="0.3">
      <c r="A801" s="9" t="s">
        <v>1658</v>
      </c>
      <c r="B801" s="18">
        <v>43656</v>
      </c>
      <c r="C801" s="10">
        <f>YEAR(Table1[[#This Row],[Order Date]])</f>
        <v>2019</v>
      </c>
      <c r="D801" s="10" t="s">
        <v>926</v>
      </c>
      <c r="E801" s="10" t="s">
        <v>927</v>
      </c>
      <c r="F801" s="10" t="s">
        <v>54</v>
      </c>
      <c r="G801" s="10" t="s">
        <v>87</v>
      </c>
      <c r="H801" s="10" t="s">
        <v>65</v>
      </c>
      <c r="I801" s="10" t="str">
        <f>VLOOKUP(Table1[[#This Row],[Account Manager ID]],Table2[[Employee ID]:[Full Name]],4,FALSE)</f>
        <v>Laras Nuraini</v>
      </c>
      <c r="J801" s="10" t="str">
        <f>INDEX(Employee!$D$4:$D$47,MATCH($H$4:$H$1003,Employee!$A$4:$A$47,0))</f>
        <v>Laras Nuraini</v>
      </c>
      <c r="K801" s="10" t="s">
        <v>57</v>
      </c>
      <c r="L801" s="10" t="s">
        <v>406</v>
      </c>
      <c r="M801" s="10" t="s">
        <v>81</v>
      </c>
      <c r="N801" s="10" t="s">
        <v>459</v>
      </c>
      <c r="O801" s="10" t="s">
        <v>61</v>
      </c>
      <c r="P801" s="10">
        <v>43657</v>
      </c>
      <c r="Q801" s="15">
        <v>3240000</v>
      </c>
      <c r="R801" s="15">
        <v>6749850</v>
      </c>
      <c r="S801" s="15">
        <f>Table1[[#This Row],[Retail Price]]-Table1[[#This Row],[Cost Price]]</f>
        <v>3509850</v>
      </c>
      <c r="T801" s="10">
        <v>49</v>
      </c>
      <c r="U801" s="15">
        <f>Table1[[#This Row],[Profit Margin]]*Table1[[#This Row],[Order Quantity]]</f>
        <v>171982650</v>
      </c>
      <c r="V801" s="11">
        <v>0.06</v>
      </c>
      <c r="W801" s="15">
        <f t="shared" si="12"/>
        <v>10318959</v>
      </c>
      <c r="X801" s="15">
        <f>Table1[[#This Row],[Sub Total]]-Table1[[#This Row],[Discount Rp]]</f>
        <v>161663691</v>
      </c>
      <c r="Y801" s="15">
        <f ca="1">OFFSET(Helper!$C$3,MATCH(Data!$N$4:$N$1003,Helper!$C$4:$C$9,0),MATCH(Data!$O$4:$O$1003,Helper!$D$3:$F$3,0))</f>
        <v>50000</v>
      </c>
      <c r="Z801" s="16">
        <f ca="1">Table1[[#This Row],[Order Total]]+Table1[[#This Row],[Shipping Cost]]</f>
        <v>161713691</v>
      </c>
    </row>
    <row r="802" spans="1:26" ht="15.75" customHeight="1" x14ac:dyDescent="0.3">
      <c r="A802" s="9" t="s">
        <v>1659</v>
      </c>
      <c r="B802" s="18">
        <v>43656</v>
      </c>
      <c r="C802" s="10">
        <f>YEAR(Table1[[#This Row],[Order Date]])</f>
        <v>2019</v>
      </c>
      <c r="D802" s="10" t="s">
        <v>1660</v>
      </c>
      <c r="E802" s="10" t="s">
        <v>618</v>
      </c>
      <c r="F802" s="10" t="s">
        <v>71</v>
      </c>
      <c r="G802" s="10" t="s">
        <v>55</v>
      </c>
      <c r="H802" s="10" t="s">
        <v>112</v>
      </c>
      <c r="I802" s="10" t="str">
        <f>VLOOKUP(Table1[[#This Row],[Account Manager ID]],Table2[[Employee ID]:[Full Name]],4,FALSE)</f>
        <v>Paiman Firgantoro</v>
      </c>
      <c r="J802" s="10" t="str">
        <f>INDEX(Employee!$D$4:$D$47,MATCH($H$4:$H$1003,Employee!$A$4:$A$47,0))</f>
        <v>Paiman Firgantoro</v>
      </c>
      <c r="K802" s="10" t="s">
        <v>92</v>
      </c>
      <c r="L802" s="10" t="s">
        <v>80</v>
      </c>
      <c r="M802" s="10" t="s">
        <v>81</v>
      </c>
      <c r="N802" s="10" t="s">
        <v>82</v>
      </c>
      <c r="O802" s="10" t="s">
        <v>83</v>
      </c>
      <c r="P802" s="10">
        <v>43663</v>
      </c>
      <c r="Q802" s="15">
        <v>1125000</v>
      </c>
      <c r="R802" s="15">
        <v>1814550</v>
      </c>
      <c r="S802" s="15">
        <f>Table1[[#This Row],[Retail Price]]-Table1[[#This Row],[Cost Price]]</f>
        <v>689550</v>
      </c>
      <c r="T802" s="10">
        <v>42</v>
      </c>
      <c r="U802" s="15">
        <f>Table1[[#This Row],[Profit Margin]]*Table1[[#This Row],[Order Quantity]]</f>
        <v>28961100</v>
      </c>
      <c r="V802" s="11">
        <v>0</v>
      </c>
      <c r="W802" s="15">
        <f t="shared" si="12"/>
        <v>0</v>
      </c>
      <c r="X802" s="15">
        <f>Table1[[#This Row],[Sub Total]]-Table1[[#This Row],[Discount Rp]]</f>
        <v>28961100</v>
      </c>
      <c r="Y802" s="15">
        <f ca="1">OFFSET(Helper!$C$3,MATCH(Data!$N$4:$N$1003,Helper!$C$4:$C$9,0),MATCH(Data!$O$4:$O$1003,Helper!$D$3:$F$3,0))</f>
        <v>500000</v>
      </c>
      <c r="Z802" s="16">
        <f ca="1">Table1[[#This Row],[Order Total]]+Table1[[#This Row],[Shipping Cost]]</f>
        <v>29461100</v>
      </c>
    </row>
    <row r="803" spans="1:26" ht="15.75" customHeight="1" x14ac:dyDescent="0.3">
      <c r="A803" s="9" t="s">
        <v>1661</v>
      </c>
      <c r="B803" s="18">
        <v>43658</v>
      </c>
      <c r="C803" s="10">
        <f>YEAR(Table1[[#This Row],[Order Date]])</f>
        <v>2019</v>
      </c>
      <c r="D803" s="10" t="s">
        <v>1518</v>
      </c>
      <c r="E803" s="10" t="s">
        <v>1102</v>
      </c>
      <c r="F803" s="10" t="s">
        <v>71</v>
      </c>
      <c r="G803" s="10" t="s">
        <v>72</v>
      </c>
      <c r="H803" s="10" t="s">
        <v>73</v>
      </c>
      <c r="I803" s="10" t="str">
        <f>VLOOKUP(Table1[[#This Row],[Account Manager ID]],Table2[[Employee ID]:[Full Name]],4,FALSE)</f>
        <v>Cinthia Gunawan</v>
      </c>
      <c r="J803" s="10" t="str">
        <f>INDEX(Employee!$D$4:$D$47,MATCH($H$4:$H$1003,Employee!$A$4:$A$47,0))</f>
        <v>Cinthia Gunawan</v>
      </c>
      <c r="K803" s="10" t="s">
        <v>74</v>
      </c>
      <c r="L803" s="10" t="s">
        <v>488</v>
      </c>
      <c r="M803" s="10" t="s">
        <v>59</v>
      </c>
      <c r="N803" s="10" t="s">
        <v>136</v>
      </c>
      <c r="O803" s="10" t="s">
        <v>61</v>
      </c>
      <c r="P803" s="10">
        <v>43659</v>
      </c>
      <c r="Q803" s="15">
        <v>77850</v>
      </c>
      <c r="R803" s="15">
        <v>194700</v>
      </c>
      <c r="S803" s="15">
        <f>Table1[[#This Row],[Retail Price]]-Table1[[#This Row],[Cost Price]]</f>
        <v>116850</v>
      </c>
      <c r="T803" s="10">
        <v>45</v>
      </c>
      <c r="U803" s="15">
        <f>Table1[[#This Row],[Profit Margin]]*Table1[[#This Row],[Order Quantity]]</f>
        <v>5258250</v>
      </c>
      <c r="V803" s="11">
        <v>0.05</v>
      </c>
      <c r="W803" s="15">
        <f t="shared" si="12"/>
        <v>262912.5</v>
      </c>
      <c r="X803" s="15">
        <f>Table1[[#This Row],[Sub Total]]-Table1[[#This Row],[Discount Rp]]</f>
        <v>4995337.5</v>
      </c>
      <c r="Y803" s="15">
        <f ca="1">OFFSET(Helper!$C$3,MATCH(Data!$N$4:$N$1003,Helper!$C$4:$C$9,0),MATCH(Data!$O$4:$O$1003,Helper!$D$3:$F$3,0))</f>
        <v>10000</v>
      </c>
      <c r="Z803" s="16">
        <f ca="1">Table1[[#This Row],[Order Total]]+Table1[[#This Row],[Shipping Cost]]</f>
        <v>5005337.5</v>
      </c>
    </row>
    <row r="804" spans="1:26" ht="15.75" customHeight="1" x14ac:dyDescent="0.3">
      <c r="A804" s="9" t="s">
        <v>1662</v>
      </c>
      <c r="B804" s="18">
        <v>43658</v>
      </c>
      <c r="C804" s="10">
        <f>YEAR(Table1[[#This Row],[Order Date]])</f>
        <v>2019</v>
      </c>
      <c r="D804" s="10" t="s">
        <v>1663</v>
      </c>
      <c r="E804" s="10" t="s">
        <v>424</v>
      </c>
      <c r="F804" s="10" t="s">
        <v>54</v>
      </c>
      <c r="G804" s="10" t="s">
        <v>72</v>
      </c>
      <c r="H804" s="10" t="s">
        <v>56</v>
      </c>
      <c r="I804" s="10" t="str">
        <f>VLOOKUP(Table1[[#This Row],[Account Manager ID]],Table2[[Employee ID]:[Full Name]],4,FALSE)</f>
        <v>Gaduh Pratama</v>
      </c>
      <c r="J804" s="10" t="str">
        <f>INDEX(Employee!$D$4:$D$47,MATCH($H$4:$H$1003,Employee!$A$4:$A$47,0))</f>
        <v>Gaduh Pratama</v>
      </c>
      <c r="K804" s="10" t="s">
        <v>92</v>
      </c>
      <c r="L804" s="10" t="s">
        <v>429</v>
      </c>
      <c r="M804" s="10" t="s">
        <v>59</v>
      </c>
      <c r="N804" s="10" t="s">
        <v>60</v>
      </c>
      <c r="O804" s="10" t="s">
        <v>61</v>
      </c>
      <c r="P804" s="10">
        <v>43660</v>
      </c>
      <c r="Q804" s="15">
        <v>29100</v>
      </c>
      <c r="R804" s="15">
        <v>46200</v>
      </c>
      <c r="S804" s="15">
        <f>Table1[[#This Row],[Retail Price]]-Table1[[#This Row],[Cost Price]]</f>
        <v>17100</v>
      </c>
      <c r="T804" s="10">
        <v>42</v>
      </c>
      <c r="U804" s="15">
        <f>Table1[[#This Row],[Profit Margin]]*Table1[[#This Row],[Order Quantity]]</f>
        <v>718200</v>
      </c>
      <c r="V804" s="11">
        <v>0.09</v>
      </c>
      <c r="W804" s="15">
        <f t="shared" si="12"/>
        <v>64638</v>
      </c>
      <c r="X804" s="15">
        <f>Table1[[#This Row],[Sub Total]]-Table1[[#This Row],[Discount Rp]]</f>
        <v>653562</v>
      </c>
      <c r="Y804" s="15">
        <f ca="1">OFFSET(Helper!$C$3,MATCH(Data!$N$4:$N$1003,Helper!$C$4:$C$9,0),MATCH(Data!$O$4:$O$1003,Helper!$D$3:$F$3,0))</f>
        <v>15000</v>
      </c>
      <c r="Z804" s="16">
        <f ca="1">Table1[[#This Row],[Order Total]]+Table1[[#This Row],[Shipping Cost]]</f>
        <v>668562</v>
      </c>
    </row>
    <row r="805" spans="1:26" ht="15.75" customHeight="1" x14ac:dyDescent="0.3">
      <c r="A805" s="9" t="s">
        <v>1664</v>
      </c>
      <c r="B805" s="18">
        <v>43659</v>
      </c>
      <c r="C805" s="10">
        <f>YEAR(Table1[[#This Row],[Order Date]])</f>
        <v>2019</v>
      </c>
      <c r="D805" s="10" t="s">
        <v>1665</v>
      </c>
      <c r="E805" s="10" t="s">
        <v>145</v>
      </c>
      <c r="F805" s="10" t="s">
        <v>71</v>
      </c>
      <c r="G805" s="10" t="s">
        <v>72</v>
      </c>
      <c r="H805" s="10" t="s">
        <v>146</v>
      </c>
      <c r="I805" s="10" t="str">
        <f>VLOOKUP(Table1[[#This Row],[Account Manager ID]],Table2[[Employee ID]:[Full Name]],4,FALSE)</f>
        <v>Kenari Rajasa</v>
      </c>
      <c r="J805" s="10" t="str">
        <f>INDEX(Employee!$D$4:$D$47,MATCH($H$4:$H$1003,Employee!$A$4:$A$47,0))</f>
        <v>Kenari Rajasa</v>
      </c>
      <c r="K805" s="10" t="s">
        <v>107</v>
      </c>
      <c r="L805" s="10" t="s">
        <v>166</v>
      </c>
      <c r="M805" s="10" t="s">
        <v>59</v>
      </c>
      <c r="N805" s="10" t="s">
        <v>136</v>
      </c>
      <c r="O805" s="10" t="s">
        <v>61</v>
      </c>
      <c r="P805" s="10">
        <v>43660</v>
      </c>
      <c r="Q805" s="15">
        <v>14100</v>
      </c>
      <c r="R805" s="15">
        <v>31200</v>
      </c>
      <c r="S805" s="15">
        <f>Table1[[#This Row],[Retail Price]]-Table1[[#This Row],[Cost Price]]</f>
        <v>17100</v>
      </c>
      <c r="T805" s="10">
        <v>2</v>
      </c>
      <c r="U805" s="15">
        <f>Table1[[#This Row],[Profit Margin]]*Table1[[#This Row],[Order Quantity]]</f>
        <v>34200</v>
      </c>
      <c r="V805" s="11">
        <v>0.01</v>
      </c>
      <c r="W805" s="15">
        <f t="shared" si="12"/>
        <v>342</v>
      </c>
      <c r="X805" s="15">
        <f>Table1[[#This Row],[Sub Total]]-Table1[[#This Row],[Discount Rp]]</f>
        <v>33858</v>
      </c>
      <c r="Y805" s="15">
        <f ca="1">OFFSET(Helper!$C$3,MATCH(Data!$N$4:$N$1003,Helper!$C$4:$C$9,0),MATCH(Data!$O$4:$O$1003,Helper!$D$3:$F$3,0))</f>
        <v>10000</v>
      </c>
      <c r="Z805" s="16">
        <f ca="1">Table1[[#This Row],[Order Total]]+Table1[[#This Row],[Shipping Cost]]</f>
        <v>43858</v>
      </c>
    </row>
    <row r="806" spans="1:26" ht="15.75" customHeight="1" x14ac:dyDescent="0.3">
      <c r="A806" s="9" t="s">
        <v>1666</v>
      </c>
      <c r="B806" s="18">
        <v>43662</v>
      </c>
      <c r="C806" s="10">
        <f>YEAR(Table1[[#This Row],[Order Date]])</f>
        <v>2019</v>
      </c>
      <c r="D806" s="10" t="s">
        <v>1667</v>
      </c>
      <c r="E806" s="10" t="s">
        <v>245</v>
      </c>
      <c r="F806" s="10" t="s">
        <v>71</v>
      </c>
      <c r="G806" s="10" t="s">
        <v>72</v>
      </c>
      <c r="H806" s="10" t="s">
        <v>146</v>
      </c>
      <c r="I806" s="10" t="str">
        <f>VLOOKUP(Table1[[#This Row],[Account Manager ID]],Table2[[Employee ID]:[Full Name]],4,FALSE)</f>
        <v>Kenari Rajasa</v>
      </c>
      <c r="J806" s="10" t="str">
        <f>INDEX(Employee!$D$4:$D$47,MATCH($H$4:$H$1003,Employee!$A$4:$A$47,0))</f>
        <v>Kenari Rajasa</v>
      </c>
      <c r="K806" s="10" t="s">
        <v>92</v>
      </c>
      <c r="L806" s="10" t="s">
        <v>234</v>
      </c>
      <c r="M806" s="10" t="s">
        <v>59</v>
      </c>
      <c r="N806" s="10" t="s">
        <v>60</v>
      </c>
      <c r="O806" s="10" t="s">
        <v>61</v>
      </c>
      <c r="P806" s="10">
        <v>43670</v>
      </c>
      <c r="Q806" s="15">
        <v>208200</v>
      </c>
      <c r="R806" s="15">
        <v>335700</v>
      </c>
      <c r="S806" s="15">
        <f>Table1[[#This Row],[Retail Price]]-Table1[[#This Row],[Cost Price]]</f>
        <v>127500</v>
      </c>
      <c r="T806" s="10">
        <v>16</v>
      </c>
      <c r="U806" s="15">
        <f>Table1[[#This Row],[Profit Margin]]*Table1[[#This Row],[Order Quantity]]</f>
        <v>2040000</v>
      </c>
      <c r="V806" s="11">
        <v>0.09</v>
      </c>
      <c r="W806" s="15">
        <f t="shared" si="12"/>
        <v>183600</v>
      </c>
      <c r="X806" s="15">
        <f>Table1[[#This Row],[Sub Total]]-Table1[[#This Row],[Discount Rp]]</f>
        <v>1856400</v>
      </c>
      <c r="Y806" s="15">
        <f ca="1">OFFSET(Helper!$C$3,MATCH(Data!$N$4:$N$1003,Helper!$C$4:$C$9,0),MATCH(Data!$O$4:$O$1003,Helper!$D$3:$F$3,0))</f>
        <v>15000</v>
      </c>
      <c r="Z806" s="16">
        <f ca="1">Table1[[#This Row],[Order Total]]+Table1[[#This Row],[Shipping Cost]]</f>
        <v>1871400</v>
      </c>
    </row>
    <row r="807" spans="1:26" ht="15.75" customHeight="1" x14ac:dyDescent="0.3">
      <c r="A807" s="9" t="s">
        <v>1668</v>
      </c>
      <c r="B807" s="18">
        <v>43663</v>
      </c>
      <c r="C807" s="10">
        <f>YEAR(Table1[[#This Row],[Order Date]])</f>
        <v>2019</v>
      </c>
      <c r="D807" s="10" t="s">
        <v>144</v>
      </c>
      <c r="E807" s="10" t="s">
        <v>145</v>
      </c>
      <c r="F807" s="10" t="s">
        <v>71</v>
      </c>
      <c r="G807" s="10" t="s">
        <v>106</v>
      </c>
      <c r="H807" s="10" t="s">
        <v>146</v>
      </c>
      <c r="I807" s="10" t="str">
        <f>VLOOKUP(Table1[[#This Row],[Account Manager ID]],Table2[[Employee ID]:[Full Name]],4,FALSE)</f>
        <v>Kenari Rajasa</v>
      </c>
      <c r="J807" s="10" t="str">
        <f>INDEX(Employee!$D$4:$D$47,MATCH($H$4:$H$1003,Employee!$A$4:$A$47,0))</f>
        <v>Kenari Rajasa</v>
      </c>
      <c r="K807" s="10" t="s">
        <v>92</v>
      </c>
      <c r="L807" s="10" t="s">
        <v>394</v>
      </c>
      <c r="M807" s="10" t="s">
        <v>59</v>
      </c>
      <c r="N807" s="10" t="s">
        <v>67</v>
      </c>
      <c r="O807" s="10" t="s">
        <v>76</v>
      </c>
      <c r="P807" s="10">
        <v>43663</v>
      </c>
      <c r="Q807" s="15">
        <v>3600</v>
      </c>
      <c r="R807" s="15">
        <v>18900</v>
      </c>
      <c r="S807" s="15">
        <f>Table1[[#This Row],[Retail Price]]-Table1[[#This Row],[Cost Price]]</f>
        <v>15300</v>
      </c>
      <c r="T807" s="10">
        <v>40</v>
      </c>
      <c r="U807" s="15">
        <f>Table1[[#This Row],[Profit Margin]]*Table1[[#This Row],[Order Quantity]]</f>
        <v>612000</v>
      </c>
      <c r="V807" s="11">
        <v>0.04</v>
      </c>
      <c r="W807" s="15">
        <f t="shared" si="12"/>
        <v>24480</v>
      </c>
      <c r="X807" s="15">
        <f>Table1[[#This Row],[Sub Total]]-Table1[[#This Row],[Discount Rp]]</f>
        <v>587520</v>
      </c>
      <c r="Y807" s="15">
        <f ca="1">OFFSET(Helper!$C$3,MATCH(Data!$N$4:$N$1003,Helper!$C$4:$C$9,0),MATCH(Data!$O$4:$O$1003,Helper!$D$3:$F$3,0))</f>
        <v>10000</v>
      </c>
      <c r="Z807" s="16">
        <f ca="1">Table1[[#This Row],[Order Total]]+Table1[[#This Row],[Shipping Cost]]</f>
        <v>597520</v>
      </c>
    </row>
    <row r="808" spans="1:26" ht="15.75" customHeight="1" x14ac:dyDescent="0.3">
      <c r="A808" s="9" t="s">
        <v>1669</v>
      </c>
      <c r="B808" s="18">
        <v>43665</v>
      </c>
      <c r="C808" s="10">
        <f>YEAR(Table1[[#This Row],[Order Date]])</f>
        <v>2019</v>
      </c>
      <c r="D808" s="10" t="s">
        <v>1670</v>
      </c>
      <c r="E808" s="10" t="s">
        <v>101</v>
      </c>
      <c r="F808" s="10" t="s">
        <v>71</v>
      </c>
      <c r="G808" s="10" t="s">
        <v>87</v>
      </c>
      <c r="H808" s="10" t="s">
        <v>97</v>
      </c>
      <c r="I808" s="10" t="str">
        <f>VLOOKUP(Table1[[#This Row],[Account Manager ID]],Table2[[Employee ID]:[Full Name]],4,FALSE)</f>
        <v>Violet Mentari</v>
      </c>
      <c r="J808" s="10" t="str">
        <f>INDEX(Employee!$D$4:$D$47,MATCH($H$4:$H$1003,Employee!$A$4:$A$47,0))</f>
        <v>Violet Mentari</v>
      </c>
      <c r="K808" s="10" t="s">
        <v>92</v>
      </c>
      <c r="L808" s="10" t="s">
        <v>691</v>
      </c>
      <c r="M808" s="10" t="s">
        <v>59</v>
      </c>
      <c r="N808" s="10" t="s">
        <v>136</v>
      </c>
      <c r="O808" s="10" t="s">
        <v>61</v>
      </c>
      <c r="P808" s="10">
        <v>43671</v>
      </c>
      <c r="Q808" s="15">
        <v>61499.999999999993</v>
      </c>
      <c r="R808" s="15">
        <v>139650</v>
      </c>
      <c r="S808" s="15">
        <f>Table1[[#This Row],[Retail Price]]-Table1[[#This Row],[Cost Price]]</f>
        <v>78150</v>
      </c>
      <c r="T808" s="10">
        <v>35</v>
      </c>
      <c r="U808" s="15">
        <f>Table1[[#This Row],[Profit Margin]]*Table1[[#This Row],[Order Quantity]]</f>
        <v>2735250</v>
      </c>
      <c r="V808" s="11">
        <v>0.05</v>
      </c>
      <c r="W808" s="15">
        <f t="shared" si="12"/>
        <v>136762.5</v>
      </c>
      <c r="X808" s="15">
        <f>Table1[[#This Row],[Sub Total]]-Table1[[#This Row],[Discount Rp]]</f>
        <v>2598487.5</v>
      </c>
      <c r="Y808" s="15">
        <f ca="1">OFFSET(Helper!$C$3,MATCH(Data!$N$4:$N$1003,Helper!$C$4:$C$9,0),MATCH(Data!$O$4:$O$1003,Helper!$D$3:$F$3,0))</f>
        <v>10000</v>
      </c>
      <c r="Z808" s="16">
        <f ca="1">Table1[[#This Row],[Order Total]]+Table1[[#This Row],[Shipping Cost]]</f>
        <v>2608487.5</v>
      </c>
    </row>
    <row r="809" spans="1:26" ht="15.75" customHeight="1" x14ac:dyDescent="0.3">
      <c r="A809" s="9" t="s">
        <v>1671</v>
      </c>
      <c r="B809" s="18">
        <v>43666</v>
      </c>
      <c r="C809" s="10">
        <f>YEAR(Table1[[#This Row],[Order Date]])</f>
        <v>2019</v>
      </c>
      <c r="D809" s="10" t="s">
        <v>1672</v>
      </c>
      <c r="E809" s="10" t="s">
        <v>418</v>
      </c>
      <c r="F809" s="10" t="s">
        <v>261</v>
      </c>
      <c r="G809" s="10" t="s">
        <v>55</v>
      </c>
      <c r="H809" s="10" t="s">
        <v>97</v>
      </c>
      <c r="I809" s="10" t="str">
        <f>VLOOKUP(Table1[[#This Row],[Account Manager ID]],Table2[[Employee ID]:[Full Name]],4,FALSE)</f>
        <v>Violet Mentari</v>
      </c>
      <c r="J809" s="10" t="str">
        <f>INDEX(Employee!$D$4:$D$47,MATCH($H$4:$H$1003,Employee!$A$4:$A$47,0))</f>
        <v>Violet Mentari</v>
      </c>
      <c r="K809" s="10" t="s">
        <v>107</v>
      </c>
      <c r="L809" s="10" t="s">
        <v>442</v>
      </c>
      <c r="M809" s="10" t="s">
        <v>59</v>
      </c>
      <c r="N809" s="10" t="s">
        <v>67</v>
      </c>
      <c r="O809" s="10" t="s">
        <v>61</v>
      </c>
      <c r="P809" s="10">
        <v>43668</v>
      </c>
      <c r="Q809" s="15">
        <v>22950</v>
      </c>
      <c r="R809" s="15">
        <v>41700</v>
      </c>
      <c r="S809" s="15">
        <f>Table1[[#This Row],[Retail Price]]-Table1[[#This Row],[Cost Price]]</f>
        <v>18750</v>
      </c>
      <c r="T809" s="10">
        <v>10</v>
      </c>
      <c r="U809" s="15">
        <f>Table1[[#This Row],[Profit Margin]]*Table1[[#This Row],[Order Quantity]]</f>
        <v>187500</v>
      </c>
      <c r="V809" s="11">
        <v>0.01</v>
      </c>
      <c r="W809" s="15">
        <f t="shared" si="12"/>
        <v>1875</v>
      </c>
      <c r="X809" s="15">
        <f>Table1[[#This Row],[Sub Total]]-Table1[[#This Row],[Discount Rp]]</f>
        <v>185625</v>
      </c>
      <c r="Y809" s="15">
        <f ca="1">OFFSET(Helper!$C$3,MATCH(Data!$N$4:$N$1003,Helper!$C$4:$C$9,0),MATCH(Data!$O$4:$O$1003,Helper!$D$3:$F$3,0))</f>
        <v>5000</v>
      </c>
      <c r="Z809" s="16">
        <f ca="1">Table1[[#This Row],[Order Total]]+Table1[[#This Row],[Shipping Cost]]</f>
        <v>190625</v>
      </c>
    </row>
    <row r="810" spans="1:26" ht="15.75" customHeight="1" x14ac:dyDescent="0.3">
      <c r="A810" s="12" t="s">
        <v>1673</v>
      </c>
      <c r="B810" s="18">
        <v>43670</v>
      </c>
      <c r="C810" s="10">
        <f>YEAR(Table1[[#This Row],[Order Date]])</f>
        <v>2019</v>
      </c>
      <c r="D810" s="10" t="s">
        <v>1209</v>
      </c>
      <c r="E810" s="10" t="s">
        <v>455</v>
      </c>
      <c r="F810" s="10" t="s">
        <v>71</v>
      </c>
      <c r="G810" s="10" t="s">
        <v>106</v>
      </c>
      <c r="H810" s="10" t="s">
        <v>155</v>
      </c>
      <c r="I810" s="10" t="str">
        <f>VLOOKUP(Table1[[#This Row],[Account Manager ID]],Table2[[Employee ID]:[Full Name]],4,FALSE)</f>
        <v>Puti Nadine Prakasa</v>
      </c>
      <c r="J810" s="10" t="str">
        <f>INDEX(Employee!$D$4:$D$47,MATCH($H$4:$H$1003,Employee!$A$4:$A$47,0))</f>
        <v>Puti Nadine Prakasa</v>
      </c>
      <c r="K810" s="10" t="s">
        <v>74</v>
      </c>
      <c r="L810" s="10" t="s">
        <v>186</v>
      </c>
      <c r="M810" s="10" t="s">
        <v>81</v>
      </c>
      <c r="N810" s="10" t="s">
        <v>60</v>
      </c>
      <c r="O810" s="10" t="s">
        <v>61</v>
      </c>
      <c r="P810" s="10">
        <v>43672</v>
      </c>
      <c r="Q810" s="15">
        <v>95850</v>
      </c>
      <c r="R810" s="15">
        <v>299700</v>
      </c>
      <c r="S810" s="15">
        <f>Table1[[#This Row],[Retail Price]]-Table1[[#This Row],[Cost Price]]</f>
        <v>203850</v>
      </c>
      <c r="T810" s="10">
        <v>35</v>
      </c>
      <c r="U810" s="15">
        <f>Table1[[#This Row],[Profit Margin]]*Table1[[#This Row],[Order Quantity]]</f>
        <v>7134750</v>
      </c>
      <c r="V810" s="11">
        <v>0.1</v>
      </c>
      <c r="W810" s="15">
        <f t="shared" si="12"/>
        <v>713475</v>
      </c>
      <c r="X810" s="15">
        <f>Table1[[#This Row],[Sub Total]]-Table1[[#This Row],[Discount Rp]]</f>
        <v>6421275</v>
      </c>
      <c r="Y810" s="15">
        <f ca="1">OFFSET(Helper!$C$3,MATCH(Data!$N$4:$N$1003,Helper!$C$4:$C$9,0),MATCH(Data!$O$4:$O$1003,Helper!$D$3:$F$3,0))</f>
        <v>15000</v>
      </c>
      <c r="Z810" s="16">
        <f ca="1">Table1[[#This Row],[Order Total]]+Table1[[#This Row],[Shipping Cost]]</f>
        <v>6436275</v>
      </c>
    </row>
    <row r="811" spans="1:26" ht="15.75" customHeight="1" x14ac:dyDescent="0.3">
      <c r="A811" s="9" t="s">
        <v>1674</v>
      </c>
      <c r="B811" s="18">
        <v>43671</v>
      </c>
      <c r="C811" s="10">
        <f>YEAR(Table1[[#This Row],[Order Date]])</f>
        <v>2019</v>
      </c>
      <c r="D811" s="10" t="s">
        <v>183</v>
      </c>
      <c r="E811" s="10" t="s">
        <v>184</v>
      </c>
      <c r="F811" s="10" t="s">
        <v>71</v>
      </c>
      <c r="G811" s="10" t="s">
        <v>72</v>
      </c>
      <c r="H811" s="10" t="s">
        <v>185</v>
      </c>
      <c r="I811" s="10" t="str">
        <f>VLOOKUP(Table1[[#This Row],[Account Manager ID]],Table2[[Employee ID]:[Full Name]],4,FALSE)</f>
        <v>Clara Prasetyo</v>
      </c>
      <c r="J811" s="10" t="str">
        <f>INDEX(Employee!$D$4:$D$47,MATCH($H$4:$H$1003,Employee!$A$4:$A$47,0))</f>
        <v>Clara Prasetyo</v>
      </c>
      <c r="K811" s="10" t="s">
        <v>107</v>
      </c>
      <c r="L811" s="10" t="s">
        <v>1241</v>
      </c>
      <c r="M811" s="10" t="s">
        <v>59</v>
      </c>
      <c r="N811" s="10" t="s">
        <v>60</v>
      </c>
      <c r="O811" s="10" t="s">
        <v>61</v>
      </c>
      <c r="P811" s="10">
        <v>43673</v>
      </c>
      <c r="Q811" s="15">
        <v>59850</v>
      </c>
      <c r="R811" s="15">
        <v>93450</v>
      </c>
      <c r="S811" s="15">
        <f>Table1[[#This Row],[Retail Price]]-Table1[[#This Row],[Cost Price]]</f>
        <v>33600</v>
      </c>
      <c r="T811" s="10">
        <v>21</v>
      </c>
      <c r="U811" s="15">
        <f>Table1[[#This Row],[Profit Margin]]*Table1[[#This Row],[Order Quantity]]</f>
        <v>705600</v>
      </c>
      <c r="V811" s="11">
        <v>0.05</v>
      </c>
      <c r="W811" s="15">
        <f t="shared" si="12"/>
        <v>35280</v>
      </c>
      <c r="X811" s="15">
        <f>Table1[[#This Row],[Sub Total]]-Table1[[#This Row],[Discount Rp]]</f>
        <v>670320</v>
      </c>
      <c r="Y811" s="15">
        <f ca="1">OFFSET(Helper!$C$3,MATCH(Data!$N$4:$N$1003,Helper!$C$4:$C$9,0),MATCH(Data!$O$4:$O$1003,Helper!$D$3:$F$3,0))</f>
        <v>15000</v>
      </c>
      <c r="Z811" s="16">
        <f ca="1">Table1[[#This Row],[Order Total]]+Table1[[#This Row],[Shipping Cost]]</f>
        <v>685320</v>
      </c>
    </row>
    <row r="812" spans="1:26" ht="15.75" customHeight="1" x14ac:dyDescent="0.3">
      <c r="A812" s="9" t="s">
        <v>1675</v>
      </c>
      <c r="B812" s="18">
        <v>43671</v>
      </c>
      <c r="C812" s="10">
        <f>YEAR(Table1[[#This Row],[Order Date]])</f>
        <v>2019</v>
      </c>
      <c r="D812" s="10" t="s">
        <v>375</v>
      </c>
      <c r="E812" s="10" t="s">
        <v>401</v>
      </c>
      <c r="F812" s="10" t="s">
        <v>54</v>
      </c>
      <c r="G812" s="10" t="s">
        <v>72</v>
      </c>
      <c r="H812" s="10" t="s">
        <v>65</v>
      </c>
      <c r="I812" s="10" t="str">
        <f>VLOOKUP(Table1[[#This Row],[Account Manager ID]],Table2[[Employee ID]:[Full Name]],4,FALSE)</f>
        <v>Laras Nuraini</v>
      </c>
      <c r="J812" s="10" t="str">
        <f>INDEX(Employee!$D$4:$D$47,MATCH($H$4:$H$1003,Employee!$A$4:$A$47,0))</f>
        <v>Laras Nuraini</v>
      </c>
      <c r="K812" s="10" t="s">
        <v>74</v>
      </c>
      <c r="L812" s="10" t="s">
        <v>963</v>
      </c>
      <c r="M812" s="10" t="s">
        <v>59</v>
      </c>
      <c r="N812" s="10" t="s">
        <v>67</v>
      </c>
      <c r="O812" s="10" t="s">
        <v>61</v>
      </c>
      <c r="P812" s="10">
        <v>43671</v>
      </c>
      <c r="Q812" s="15">
        <v>13800</v>
      </c>
      <c r="R812" s="15">
        <v>27150</v>
      </c>
      <c r="S812" s="15">
        <f>Table1[[#This Row],[Retail Price]]-Table1[[#This Row],[Cost Price]]</f>
        <v>13350</v>
      </c>
      <c r="T812" s="10">
        <v>22</v>
      </c>
      <c r="U812" s="15">
        <f>Table1[[#This Row],[Profit Margin]]*Table1[[#This Row],[Order Quantity]]</f>
        <v>293700</v>
      </c>
      <c r="V812" s="11">
        <v>0.09</v>
      </c>
      <c r="W812" s="15">
        <f t="shared" si="12"/>
        <v>26433</v>
      </c>
      <c r="X812" s="15">
        <f>Table1[[#This Row],[Sub Total]]-Table1[[#This Row],[Discount Rp]]</f>
        <v>267267</v>
      </c>
      <c r="Y812" s="15">
        <f ca="1">OFFSET(Helper!$C$3,MATCH(Data!$N$4:$N$1003,Helper!$C$4:$C$9,0),MATCH(Data!$O$4:$O$1003,Helper!$D$3:$F$3,0))</f>
        <v>5000</v>
      </c>
      <c r="Z812" s="16">
        <f ca="1">Table1[[#This Row],[Order Total]]+Table1[[#This Row],[Shipping Cost]]</f>
        <v>272267</v>
      </c>
    </row>
    <row r="813" spans="1:26" ht="15.75" customHeight="1" x14ac:dyDescent="0.3">
      <c r="A813" s="9" t="s">
        <v>1676</v>
      </c>
      <c r="B813" s="18">
        <v>43671</v>
      </c>
      <c r="C813" s="10">
        <f>YEAR(Table1[[#This Row],[Order Date]])</f>
        <v>2019</v>
      </c>
      <c r="D813" s="10" t="s">
        <v>1677</v>
      </c>
      <c r="E813" s="10" t="s">
        <v>521</v>
      </c>
      <c r="F813" s="10" t="s">
        <v>71</v>
      </c>
      <c r="G813" s="10" t="s">
        <v>55</v>
      </c>
      <c r="H813" s="10" t="s">
        <v>88</v>
      </c>
      <c r="I813" s="10" t="str">
        <f>VLOOKUP(Table1[[#This Row],[Account Manager ID]],Table2[[Employee ID]:[Full Name]],4,FALSE)</f>
        <v>Bagiya Sihombing</v>
      </c>
      <c r="J813" s="10" t="str">
        <f>INDEX(Employee!$D$4:$D$47,MATCH($H$4:$H$1003,Employee!$A$4:$A$47,0))</f>
        <v>Bagiya Sihombing</v>
      </c>
      <c r="K813" s="10" t="s">
        <v>57</v>
      </c>
      <c r="L813" s="10" t="s">
        <v>66</v>
      </c>
      <c r="M813" s="10" t="s">
        <v>59</v>
      </c>
      <c r="N813" s="10" t="s">
        <v>67</v>
      </c>
      <c r="O813" s="10" t="s">
        <v>76</v>
      </c>
      <c r="P813" s="10">
        <v>43672</v>
      </c>
      <c r="Q813" s="15">
        <v>35850</v>
      </c>
      <c r="R813" s="15">
        <v>63900</v>
      </c>
      <c r="S813" s="15">
        <f>Table1[[#This Row],[Retail Price]]-Table1[[#This Row],[Cost Price]]</f>
        <v>28050</v>
      </c>
      <c r="T813" s="10">
        <v>34</v>
      </c>
      <c r="U813" s="15">
        <f>Table1[[#This Row],[Profit Margin]]*Table1[[#This Row],[Order Quantity]]</f>
        <v>953700</v>
      </c>
      <c r="V813" s="11">
        <v>0.03</v>
      </c>
      <c r="W813" s="15">
        <f t="shared" si="12"/>
        <v>28611</v>
      </c>
      <c r="X813" s="15">
        <f>Table1[[#This Row],[Sub Total]]-Table1[[#This Row],[Discount Rp]]</f>
        <v>925089</v>
      </c>
      <c r="Y813" s="15">
        <f ca="1">OFFSET(Helper!$C$3,MATCH(Data!$N$4:$N$1003,Helper!$C$4:$C$9,0),MATCH(Data!$O$4:$O$1003,Helper!$D$3:$F$3,0))</f>
        <v>10000</v>
      </c>
      <c r="Z813" s="16">
        <f ca="1">Table1[[#This Row],[Order Total]]+Table1[[#This Row],[Shipping Cost]]</f>
        <v>935089</v>
      </c>
    </row>
    <row r="814" spans="1:26" ht="15.75" customHeight="1" x14ac:dyDescent="0.3">
      <c r="A814" s="9" t="s">
        <v>1678</v>
      </c>
      <c r="B814" s="18">
        <v>43673</v>
      </c>
      <c r="C814" s="10">
        <f>YEAR(Table1[[#This Row],[Order Date]])</f>
        <v>2019</v>
      </c>
      <c r="D814" s="10" t="s">
        <v>983</v>
      </c>
      <c r="E814" s="10" t="s">
        <v>169</v>
      </c>
      <c r="F814" s="10" t="s">
        <v>54</v>
      </c>
      <c r="G814" s="10" t="s">
        <v>72</v>
      </c>
      <c r="H814" s="10" t="s">
        <v>65</v>
      </c>
      <c r="I814" s="10" t="str">
        <f>VLOOKUP(Table1[[#This Row],[Account Manager ID]],Table2[[Employee ID]:[Full Name]],4,FALSE)</f>
        <v>Laras Nuraini</v>
      </c>
      <c r="J814" s="10" t="str">
        <f>INDEX(Employee!$D$4:$D$47,MATCH($H$4:$H$1003,Employee!$A$4:$A$47,0))</f>
        <v>Laras Nuraini</v>
      </c>
      <c r="K814" s="10" t="s">
        <v>74</v>
      </c>
      <c r="L814" s="10" t="s">
        <v>406</v>
      </c>
      <c r="M814" s="10" t="s">
        <v>81</v>
      </c>
      <c r="N814" s="10" t="s">
        <v>82</v>
      </c>
      <c r="O814" s="10" t="s">
        <v>83</v>
      </c>
      <c r="P814" s="10">
        <v>43675</v>
      </c>
      <c r="Q814" s="15">
        <v>4184850</v>
      </c>
      <c r="R814" s="15">
        <v>6749850</v>
      </c>
      <c r="S814" s="15">
        <f>Table1[[#This Row],[Retail Price]]-Table1[[#This Row],[Cost Price]]</f>
        <v>2565000</v>
      </c>
      <c r="T814" s="10">
        <v>43</v>
      </c>
      <c r="U814" s="15">
        <f>Table1[[#This Row],[Profit Margin]]*Table1[[#This Row],[Order Quantity]]</f>
        <v>110295000</v>
      </c>
      <c r="V814" s="11">
        <v>0.06</v>
      </c>
      <c r="W814" s="15">
        <f t="shared" si="12"/>
        <v>6617700</v>
      </c>
      <c r="X814" s="15">
        <f>Table1[[#This Row],[Sub Total]]-Table1[[#This Row],[Discount Rp]]</f>
        <v>103677300</v>
      </c>
      <c r="Y814" s="15">
        <f ca="1">OFFSET(Helper!$C$3,MATCH(Data!$N$4:$N$1003,Helper!$C$4:$C$9,0),MATCH(Data!$O$4:$O$1003,Helper!$D$3:$F$3,0))</f>
        <v>500000</v>
      </c>
      <c r="Z814" s="16">
        <f ca="1">Table1[[#This Row],[Order Total]]+Table1[[#This Row],[Shipping Cost]]</f>
        <v>104177300</v>
      </c>
    </row>
    <row r="815" spans="1:26" ht="15.75" customHeight="1" x14ac:dyDescent="0.3">
      <c r="A815" s="9" t="s">
        <v>1679</v>
      </c>
      <c r="B815" s="18">
        <v>43677</v>
      </c>
      <c r="C815" s="10">
        <f>YEAR(Table1[[#This Row],[Order Date]])</f>
        <v>2019</v>
      </c>
      <c r="D815" s="10" t="s">
        <v>583</v>
      </c>
      <c r="E815" s="10" t="s">
        <v>101</v>
      </c>
      <c r="F815" s="10" t="s">
        <v>71</v>
      </c>
      <c r="G815" s="10" t="s">
        <v>87</v>
      </c>
      <c r="H815" s="10" t="s">
        <v>97</v>
      </c>
      <c r="I815" s="10" t="str">
        <f>VLOOKUP(Table1[[#This Row],[Account Manager ID]],Table2[[Employee ID]:[Full Name]],4,FALSE)</f>
        <v>Violet Mentari</v>
      </c>
      <c r="J815" s="10" t="str">
        <f>INDEX(Employee!$D$4:$D$47,MATCH($H$4:$H$1003,Employee!$A$4:$A$47,0))</f>
        <v>Violet Mentari</v>
      </c>
      <c r="K815" s="10" t="s">
        <v>92</v>
      </c>
      <c r="L815" s="10" t="s">
        <v>833</v>
      </c>
      <c r="M815" s="10" t="s">
        <v>59</v>
      </c>
      <c r="N815" s="10" t="s">
        <v>67</v>
      </c>
      <c r="O815" s="10" t="s">
        <v>61</v>
      </c>
      <c r="P815" s="10">
        <v>43679</v>
      </c>
      <c r="Q815" s="15">
        <v>15750</v>
      </c>
      <c r="R815" s="15">
        <v>29250</v>
      </c>
      <c r="S815" s="15">
        <f>Table1[[#This Row],[Retail Price]]-Table1[[#This Row],[Cost Price]]</f>
        <v>13500</v>
      </c>
      <c r="T815" s="10">
        <v>23</v>
      </c>
      <c r="U815" s="15">
        <f>Table1[[#This Row],[Profit Margin]]*Table1[[#This Row],[Order Quantity]]</f>
        <v>310500</v>
      </c>
      <c r="V815" s="11">
        <v>0.09</v>
      </c>
      <c r="W815" s="15">
        <f t="shared" si="12"/>
        <v>27945</v>
      </c>
      <c r="X815" s="15">
        <f>Table1[[#This Row],[Sub Total]]-Table1[[#This Row],[Discount Rp]]</f>
        <v>282555</v>
      </c>
      <c r="Y815" s="15">
        <f ca="1">OFFSET(Helper!$C$3,MATCH(Data!$N$4:$N$1003,Helper!$C$4:$C$9,0),MATCH(Data!$O$4:$O$1003,Helper!$D$3:$F$3,0))</f>
        <v>5000</v>
      </c>
      <c r="Z815" s="16">
        <f ca="1">Table1[[#This Row],[Order Total]]+Table1[[#This Row],[Shipping Cost]]</f>
        <v>287555</v>
      </c>
    </row>
    <row r="816" spans="1:26" ht="15.75" customHeight="1" x14ac:dyDescent="0.3">
      <c r="A816" s="9" t="s">
        <v>1680</v>
      </c>
      <c r="B816" s="18">
        <v>43678</v>
      </c>
      <c r="C816" s="10">
        <f>YEAR(Table1[[#This Row],[Order Date]])</f>
        <v>2019</v>
      </c>
      <c r="D816" s="10" t="s">
        <v>1681</v>
      </c>
      <c r="E816" s="10" t="s">
        <v>225</v>
      </c>
      <c r="F816" s="10" t="s">
        <v>71</v>
      </c>
      <c r="G816" s="10" t="s">
        <v>72</v>
      </c>
      <c r="H816" s="10" t="s">
        <v>155</v>
      </c>
      <c r="I816" s="10" t="str">
        <f>VLOOKUP(Table1[[#This Row],[Account Manager ID]],Table2[[Employee ID]:[Full Name]],4,FALSE)</f>
        <v>Puti Nadine Prakasa</v>
      </c>
      <c r="J816" s="10" t="str">
        <f>INDEX(Employee!$D$4:$D$47,MATCH($H$4:$H$1003,Employee!$A$4:$A$47,0))</f>
        <v>Puti Nadine Prakasa</v>
      </c>
      <c r="K816" s="10" t="s">
        <v>117</v>
      </c>
      <c r="L816" s="10" t="s">
        <v>480</v>
      </c>
      <c r="M816" s="10" t="s">
        <v>253</v>
      </c>
      <c r="N816" s="10" t="s">
        <v>459</v>
      </c>
      <c r="O816" s="10" t="s">
        <v>61</v>
      </c>
      <c r="P816" s="10">
        <v>43679</v>
      </c>
      <c r="Q816" s="15">
        <v>842400</v>
      </c>
      <c r="R816" s="15">
        <v>2054699.9999999998</v>
      </c>
      <c r="S816" s="15">
        <f>Table1[[#This Row],[Retail Price]]-Table1[[#This Row],[Cost Price]]</f>
        <v>1212299.9999999998</v>
      </c>
      <c r="T816" s="10">
        <v>14</v>
      </c>
      <c r="U816" s="15">
        <f>Table1[[#This Row],[Profit Margin]]*Table1[[#This Row],[Order Quantity]]</f>
        <v>16972199.999999996</v>
      </c>
      <c r="V816" s="11">
        <v>0</v>
      </c>
      <c r="W816" s="15">
        <f t="shared" si="12"/>
        <v>0</v>
      </c>
      <c r="X816" s="15">
        <f>Table1[[#This Row],[Sub Total]]-Table1[[#This Row],[Discount Rp]]</f>
        <v>16972199.999999996</v>
      </c>
      <c r="Y816" s="15">
        <f ca="1">OFFSET(Helper!$C$3,MATCH(Data!$N$4:$N$1003,Helper!$C$4:$C$9,0),MATCH(Data!$O$4:$O$1003,Helper!$D$3:$F$3,0))</f>
        <v>50000</v>
      </c>
      <c r="Z816" s="16">
        <f ca="1">Table1[[#This Row],[Order Total]]+Table1[[#This Row],[Shipping Cost]]</f>
        <v>17022199.999999996</v>
      </c>
    </row>
    <row r="817" spans="1:26" ht="15.75" customHeight="1" x14ac:dyDescent="0.3">
      <c r="A817" s="9" t="s">
        <v>1682</v>
      </c>
      <c r="B817" s="18">
        <v>43678</v>
      </c>
      <c r="C817" s="10">
        <f>YEAR(Table1[[#This Row],[Order Date]])</f>
        <v>2019</v>
      </c>
      <c r="D817" s="10" t="s">
        <v>1681</v>
      </c>
      <c r="E817" s="10" t="s">
        <v>225</v>
      </c>
      <c r="F817" s="10" t="s">
        <v>71</v>
      </c>
      <c r="G817" s="10" t="s">
        <v>72</v>
      </c>
      <c r="H817" s="10" t="s">
        <v>155</v>
      </c>
      <c r="I817" s="10" t="str">
        <f>VLOOKUP(Table1[[#This Row],[Account Manager ID]],Table2[[Employee ID]:[Full Name]],4,FALSE)</f>
        <v>Puti Nadine Prakasa</v>
      </c>
      <c r="J817" s="10" t="str">
        <f>INDEX(Employee!$D$4:$D$47,MATCH($H$4:$H$1003,Employee!$A$4:$A$47,0))</f>
        <v>Puti Nadine Prakasa</v>
      </c>
      <c r="K817" s="10" t="s">
        <v>117</v>
      </c>
      <c r="L817" s="10" t="s">
        <v>468</v>
      </c>
      <c r="M817" s="10" t="s">
        <v>59</v>
      </c>
      <c r="N817" s="10" t="s">
        <v>67</v>
      </c>
      <c r="O817" s="10" t="s">
        <v>61</v>
      </c>
      <c r="P817" s="10">
        <v>43680</v>
      </c>
      <c r="Q817" s="15">
        <v>13950</v>
      </c>
      <c r="R817" s="15">
        <v>22200</v>
      </c>
      <c r="S817" s="15">
        <f>Table1[[#This Row],[Retail Price]]-Table1[[#This Row],[Cost Price]]</f>
        <v>8250</v>
      </c>
      <c r="T817" s="10">
        <v>3</v>
      </c>
      <c r="U817" s="15">
        <f>Table1[[#This Row],[Profit Margin]]*Table1[[#This Row],[Order Quantity]]</f>
        <v>24750</v>
      </c>
      <c r="V817" s="11">
        <v>0.1</v>
      </c>
      <c r="W817" s="15">
        <f t="shared" si="12"/>
        <v>2475</v>
      </c>
      <c r="X817" s="15">
        <f>Table1[[#This Row],[Sub Total]]-Table1[[#This Row],[Discount Rp]]</f>
        <v>22275</v>
      </c>
      <c r="Y817" s="15">
        <f ca="1">OFFSET(Helper!$C$3,MATCH(Data!$N$4:$N$1003,Helper!$C$4:$C$9,0),MATCH(Data!$O$4:$O$1003,Helper!$D$3:$F$3,0))</f>
        <v>5000</v>
      </c>
      <c r="Z817" s="16">
        <f ca="1">Table1[[#This Row],[Order Total]]+Table1[[#This Row],[Shipping Cost]]</f>
        <v>27275</v>
      </c>
    </row>
    <row r="818" spans="1:26" ht="15.75" customHeight="1" x14ac:dyDescent="0.3">
      <c r="A818" s="9" t="s">
        <v>1683</v>
      </c>
      <c r="B818" s="18">
        <v>43683</v>
      </c>
      <c r="C818" s="10">
        <f>YEAR(Table1[[#This Row],[Order Date]])</f>
        <v>2019</v>
      </c>
      <c r="D818" s="10" t="s">
        <v>1039</v>
      </c>
      <c r="E818" s="10" t="s">
        <v>572</v>
      </c>
      <c r="F818" s="10" t="s">
        <v>261</v>
      </c>
      <c r="G818" s="10" t="s">
        <v>72</v>
      </c>
      <c r="H818" s="10" t="s">
        <v>146</v>
      </c>
      <c r="I818" s="10" t="str">
        <f>VLOOKUP(Table1[[#This Row],[Account Manager ID]],Table2[[Employee ID]:[Full Name]],4,FALSE)</f>
        <v>Kenari Rajasa</v>
      </c>
      <c r="J818" s="10" t="str">
        <f>INDEX(Employee!$D$4:$D$47,MATCH($H$4:$H$1003,Employee!$A$4:$A$47,0))</f>
        <v>Kenari Rajasa</v>
      </c>
      <c r="K818" s="10" t="s">
        <v>107</v>
      </c>
      <c r="L818" s="10" t="s">
        <v>394</v>
      </c>
      <c r="M818" s="10" t="s">
        <v>59</v>
      </c>
      <c r="N818" s="10" t="s">
        <v>67</v>
      </c>
      <c r="O818" s="10" t="s">
        <v>61</v>
      </c>
      <c r="P818" s="10">
        <v>43684</v>
      </c>
      <c r="Q818" s="15">
        <v>3600</v>
      </c>
      <c r="R818" s="15">
        <v>18900</v>
      </c>
      <c r="S818" s="15">
        <f>Table1[[#This Row],[Retail Price]]-Table1[[#This Row],[Cost Price]]</f>
        <v>15300</v>
      </c>
      <c r="T818" s="10">
        <v>11</v>
      </c>
      <c r="U818" s="15">
        <f>Table1[[#This Row],[Profit Margin]]*Table1[[#This Row],[Order Quantity]]</f>
        <v>168300</v>
      </c>
      <c r="V818" s="11">
        <v>0</v>
      </c>
      <c r="W818" s="15">
        <f t="shared" si="12"/>
        <v>0</v>
      </c>
      <c r="X818" s="15">
        <f>Table1[[#This Row],[Sub Total]]-Table1[[#This Row],[Discount Rp]]</f>
        <v>168300</v>
      </c>
      <c r="Y818" s="15">
        <f ca="1">OFFSET(Helper!$C$3,MATCH(Data!$N$4:$N$1003,Helper!$C$4:$C$9,0),MATCH(Data!$O$4:$O$1003,Helper!$D$3:$F$3,0))</f>
        <v>5000</v>
      </c>
      <c r="Z818" s="16">
        <f ca="1">Table1[[#This Row],[Order Total]]+Table1[[#This Row],[Shipping Cost]]</f>
        <v>173300</v>
      </c>
    </row>
    <row r="819" spans="1:26" ht="15.75" customHeight="1" x14ac:dyDescent="0.3">
      <c r="A819" s="9" t="s">
        <v>1684</v>
      </c>
      <c r="B819" s="18">
        <v>43683</v>
      </c>
      <c r="C819" s="10">
        <f>YEAR(Table1[[#This Row],[Order Date]])</f>
        <v>2019</v>
      </c>
      <c r="D819" s="10" t="s">
        <v>1685</v>
      </c>
      <c r="E819" s="10" t="s">
        <v>445</v>
      </c>
      <c r="F819" s="10" t="s">
        <v>54</v>
      </c>
      <c r="G819" s="10" t="s">
        <v>55</v>
      </c>
      <c r="H819" s="10" t="s">
        <v>56</v>
      </c>
      <c r="I819" s="10" t="str">
        <f>VLOOKUP(Table1[[#This Row],[Account Manager ID]],Table2[[Employee ID]:[Full Name]],4,FALSE)</f>
        <v>Gaduh Pratama</v>
      </c>
      <c r="J819" s="10" t="str">
        <f>INDEX(Employee!$D$4:$D$47,MATCH($H$4:$H$1003,Employee!$A$4:$A$47,0))</f>
        <v>Gaduh Pratama</v>
      </c>
      <c r="K819" s="10" t="s">
        <v>107</v>
      </c>
      <c r="L819" s="10" t="s">
        <v>238</v>
      </c>
      <c r="M819" s="10" t="s">
        <v>59</v>
      </c>
      <c r="N819" s="10" t="s">
        <v>67</v>
      </c>
      <c r="O819" s="10" t="s">
        <v>61</v>
      </c>
      <c r="P819" s="10">
        <v>43685</v>
      </c>
      <c r="Q819" s="15">
        <v>323400</v>
      </c>
      <c r="R819" s="15">
        <v>548250</v>
      </c>
      <c r="S819" s="15">
        <f>Table1[[#This Row],[Retail Price]]-Table1[[#This Row],[Cost Price]]</f>
        <v>224850</v>
      </c>
      <c r="T819" s="10">
        <v>17</v>
      </c>
      <c r="U819" s="15">
        <f>Table1[[#This Row],[Profit Margin]]*Table1[[#This Row],[Order Quantity]]</f>
        <v>3822450</v>
      </c>
      <c r="V819" s="11">
        <v>0.09</v>
      </c>
      <c r="W819" s="15">
        <f t="shared" si="12"/>
        <v>344020.5</v>
      </c>
      <c r="X819" s="15">
        <f>Table1[[#This Row],[Sub Total]]-Table1[[#This Row],[Discount Rp]]</f>
        <v>3478429.5</v>
      </c>
      <c r="Y819" s="15">
        <f ca="1">OFFSET(Helper!$C$3,MATCH(Data!$N$4:$N$1003,Helper!$C$4:$C$9,0),MATCH(Data!$O$4:$O$1003,Helper!$D$3:$F$3,0))</f>
        <v>5000</v>
      </c>
      <c r="Z819" s="16">
        <f ca="1">Table1[[#This Row],[Order Total]]+Table1[[#This Row],[Shipping Cost]]</f>
        <v>3483429.5</v>
      </c>
    </row>
    <row r="820" spans="1:26" ht="15.75" customHeight="1" x14ac:dyDescent="0.3">
      <c r="A820" s="9" t="s">
        <v>1686</v>
      </c>
      <c r="B820" s="18">
        <v>43683</v>
      </c>
      <c r="C820" s="10">
        <f>YEAR(Table1[[#This Row],[Order Date]])</f>
        <v>2019</v>
      </c>
      <c r="D820" s="10" t="s">
        <v>1243</v>
      </c>
      <c r="E820" s="10" t="s">
        <v>750</v>
      </c>
      <c r="F820" s="10" t="s">
        <v>54</v>
      </c>
      <c r="G820" s="10" t="s">
        <v>87</v>
      </c>
      <c r="H820" s="10" t="s">
        <v>56</v>
      </c>
      <c r="I820" s="10" t="str">
        <f>VLOOKUP(Table1[[#This Row],[Account Manager ID]],Table2[[Employee ID]:[Full Name]],4,FALSE)</f>
        <v>Gaduh Pratama</v>
      </c>
      <c r="J820" s="10" t="str">
        <f>INDEX(Employee!$D$4:$D$47,MATCH($H$4:$H$1003,Employee!$A$4:$A$47,0))</f>
        <v>Gaduh Pratama</v>
      </c>
      <c r="K820" s="10" t="s">
        <v>107</v>
      </c>
      <c r="L820" s="10" t="s">
        <v>151</v>
      </c>
      <c r="M820" s="10" t="s">
        <v>59</v>
      </c>
      <c r="N820" s="10" t="s">
        <v>67</v>
      </c>
      <c r="O820" s="10" t="s">
        <v>61</v>
      </c>
      <c r="P820" s="10">
        <v>43684</v>
      </c>
      <c r="Q820" s="15">
        <v>27300</v>
      </c>
      <c r="R820" s="15">
        <v>44700</v>
      </c>
      <c r="S820" s="15">
        <f>Table1[[#This Row],[Retail Price]]-Table1[[#This Row],[Cost Price]]</f>
        <v>17400</v>
      </c>
      <c r="T820" s="10">
        <v>32</v>
      </c>
      <c r="U820" s="15">
        <f>Table1[[#This Row],[Profit Margin]]*Table1[[#This Row],[Order Quantity]]</f>
        <v>556800</v>
      </c>
      <c r="V820" s="11">
        <v>0.01</v>
      </c>
      <c r="W820" s="15">
        <f t="shared" si="12"/>
        <v>5568</v>
      </c>
      <c r="X820" s="15">
        <f>Table1[[#This Row],[Sub Total]]-Table1[[#This Row],[Discount Rp]]</f>
        <v>551232</v>
      </c>
      <c r="Y820" s="15">
        <f ca="1">OFFSET(Helper!$C$3,MATCH(Data!$N$4:$N$1003,Helper!$C$4:$C$9,0),MATCH(Data!$O$4:$O$1003,Helper!$D$3:$F$3,0))</f>
        <v>5000</v>
      </c>
      <c r="Z820" s="16">
        <f ca="1">Table1[[#This Row],[Order Total]]+Table1[[#This Row],[Shipping Cost]]</f>
        <v>556232</v>
      </c>
    </row>
    <row r="821" spans="1:26" ht="15.75" customHeight="1" x14ac:dyDescent="0.3">
      <c r="A821" s="9" t="s">
        <v>1687</v>
      </c>
      <c r="B821" s="18">
        <v>43684</v>
      </c>
      <c r="C821" s="10">
        <f>YEAR(Table1[[#This Row],[Order Date]])</f>
        <v>2019</v>
      </c>
      <c r="D821" s="10" t="s">
        <v>1688</v>
      </c>
      <c r="E821" s="10" t="s">
        <v>101</v>
      </c>
      <c r="F821" s="10" t="s">
        <v>71</v>
      </c>
      <c r="G821" s="10" t="s">
        <v>55</v>
      </c>
      <c r="H821" s="10" t="s">
        <v>97</v>
      </c>
      <c r="I821" s="10" t="str">
        <f>VLOOKUP(Table1[[#This Row],[Account Manager ID]],Table2[[Employee ID]:[Full Name]],4,FALSE)</f>
        <v>Violet Mentari</v>
      </c>
      <c r="J821" s="10" t="str">
        <f>INDEX(Employee!$D$4:$D$47,MATCH($H$4:$H$1003,Employee!$A$4:$A$47,0))</f>
        <v>Violet Mentari</v>
      </c>
      <c r="K821" s="10" t="s">
        <v>57</v>
      </c>
      <c r="L821" s="10" t="s">
        <v>473</v>
      </c>
      <c r="M821" s="10" t="s">
        <v>59</v>
      </c>
      <c r="N821" s="10" t="s">
        <v>60</v>
      </c>
      <c r="O821" s="10" t="s">
        <v>61</v>
      </c>
      <c r="P821" s="10">
        <v>43686</v>
      </c>
      <c r="Q821" s="15">
        <v>32700.000000000004</v>
      </c>
      <c r="R821" s="15">
        <v>52800</v>
      </c>
      <c r="S821" s="15">
        <f>Table1[[#This Row],[Retail Price]]-Table1[[#This Row],[Cost Price]]</f>
        <v>20099.999999999996</v>
      </c>
      <c r="T821" s="10">
        <v>32</v>
      </c>
      <c r="U821" s="15">
        <f>Table1[[#This Row],[Profit Margin]]*Table1[[#This Row],[Order Quantity]]</f>
        <v>643199.99999999988</v>
      </c>
      <c r="V821" s="11">
        <v>7.0000000000000007E-2</v>
      </c>
      <c r="W821" s="15">
        <f t="shared" si="12"/>
        <v>45023.999999999993</v>
      </c>
      <c r="X821" s="15">
        <f>Table1[[#This Row],[Sub Total]]-Table1[[#This Row],[Discount Rp]]</f>
        <v>598175.99999999988</v>
      </c>
      <c r="Y821" s="15">
        <f ca="1">OFFSET(Helper!$C$3,MATCH(Data!$N$4:$N$1003,Helper!$C$4:$C$9,0),MATCH(Data!$O$4:$O$1003,Helper!$D$3:$F$3,0))</f>
        <v>15000</v>
      </c>
      <c r="Z821" s="16">
        <f ca="1">Table1[[#This Row],[Order Total]]+Table1[[#This Row],[Shipping Cost]]</f>
        <v>613175.99999999988</v>
      </c>
    </row>
    <row r="822" spans="1:26" ht="15.75" customHeight="1" x14ac:dyDescent="0.3">
      <c r="A822" s="9" t="s">
        <v>1689</v>
      </c>
      <c r="B822" s="18">
        <v>43685</v>
      </c>
      <c r="C822" s="10">
        <f>YEAR(Table1[[#This Row],[Order Date]])</f>
        <v>2019</v>
      </c>
      <c r="D822" s="10" t="s">
        <v>1101</v>
      </c>
      <c r="E822" s="10" t="s">
        <v>1102</v>
      </c>
      <c r="F822" s="10" t="s">
        <v>71</v>
      </c>
      <c r="G822" s="10" t="s">
        <v>55</v>
      </c>
      <c r="H822" s="10" t="s">
        <v>73</v>
      </c>
      <c r="I822" s="10" t="str">
        <f>VLOOKUP(Table1[[#This Row],[Account Manager ID]],Table2[[Employee ID]:[Full Name]],4,FALSE)</f>
        <v>Cinthia Gunawan</v>
      </c>
      <c r="J822" s="10" t="str">
        <f>INDEX(Employee!$D$4:$D$47,MATCH($H$4:$H$1003,Employee!$A$4:$A$47,0))</f>
        <v>Cinthia Gunawan</v>
      </c>
      <c r="K822" s="10" t="s">
        <v>107</v>
      </c>
      <c r="L822" s="10" t="s">
        <v>197</v>
      </c>
      <c r="M822" s="10" t="s">
        <v>81</v>
      </c>
      <c r="N822" s="10" t="s">
        <v>60</v>
      </c>
      <c r="O822" s="10" t="s">
        <v>61</v>
      </c>
      <c r="P822" s="10">
        <v>43686</v>
      </c>
      <c r="Q822" s="15">
        <v>124650.00000000001</v>
      </c>
      <c r="R822" s="15">
        <v>239700</v>
      </c>
      <c r="S822" s="15">
        <f>Table1[[#This Row],[Retail Price]]-Table1[[#This Row],[Cost Price]]</f>
        <v>115049.99999999999</v>
      </c>
      <c r="T822" s="10">
        <v>18</v>
      </c>
      <c r="U822" s="15">
        <f>Table1[[#This Row],[Profit Margin]]*Table1[[#This Row],[Order Quantity]]</f>
        <v>2070899.9999999998</v>
      </c>
      <c r="V822" s="11">
        <v>0.1</v>
      </c>
      <c r="W822" s="15">
        <f t="shared" si="12"/>
        <v>207090</v>
      </c>
      <c r="X822" s="15">
        <f>Table1[[#This Row],[Sub Total]]-Table1[[#This Row],[Discount Rp]]</f>
        <v>1863809.9999999998</v>
      </c>
      <c r="Y822" s="15">
        <f ca="1">OFFSET(Helper!$C$3,MATCH(Data!$N$4:$N$1003,Helper!$C$4:$C$9,0),MATCH(Data!$O$4:$O$1003,Helper!$D$3:$F$3,0))</f>
        <v>15000</v>
      </c>
      <c r="Z822" s="16">
        <f ca="1">Table1[[#This Row],[Order Total]]+Table1[[#This Row],[Shipping Cost]]</f>
        <v>1878809.9999999998</v>
      </c>
    </row>
    <row r="823" spans="1:26" ht="15.75" customHeight="1" x14ac:dyDescent="0.3">
      <c r="A823" s="9" t="s">
        <v>1690</v>
      </c>
      <c r="B823" s="18">
        <v>43685</v>
      </c>
      <c r="C823" s="10">
        <f>YEAR(Table1[[#This Row],[Order Date]])</f>
        <v>2019</v>
      </c>
      <c r="D823" s="10" t="s">
        <v>1691</v>
      </c>
      <c r="E823" s="10" t="s">
        <v>462</v>
      </c>
      <c r="F823" s="10" t="s">
        <v>71</v>
      </c>
      <c r="G823" s="10" t="s">
        <v>87</v>
      </c>
      <c r="H823" s="10" t="s">
        <v>112</v>
      </c>
      <c r="I823" s="10" t="str">
        <f>VLOOKUP(Table1[[#This Row],[Account Manager ID]],Table2[[Employee ID]:[Full Name]],4,FALSE)</f>
        <v>Paiman Firgantoro</v>
      </c>
      <c r="J823" s="10" t="str">
        <f>INDEX(Employee!$D$4:$D$47,MATCH($H$4:$H$1003,Employee!$A$4:$A$47,0))</f>
        <v>Paiman Firgantoro</v>
      </c>
      <c r="K823" s="10" t="s">
        <v>117</v>
      </c>
      <c r="L823" s="10" t="s">
        <v>297</v>
      </c>
      <c r="M823" s="10" t="s">
        <v>59</v>
      </c>
      <c r="N823" s="10" t="s">
        <v>67</v>
      </c>
      <c r="O823" s="10" t="s">
        <v>61</v>
      </c>
      <c r="P823" s="10">
        <v>43687</v>
      </c>
      <c r="Q823" s="15">
        <v>52200</v>
      </c>
      <c r="R823" s="15">
        <v>81450</v>
      </c>
      <c r="S823" s="15">
        <f>Table1[[#This Row],[Retail Price]]-Table1[[#This Row],[Cost Price]]</f>
        <v>29250</v>
      </c>
      <c r="T823" s="10">
        <v>37</v>
      </c>
      <c r="U823" s="15">
        <f>Table1[[#This Row],[Profit Margin]]*Table1[[#This Row],[Order Quantity]]</f>
        <v>1082250</v>
      </c>
      <c r="V823" s="11">
        <v>0.09</v>
      </c>
      <c r="W823" s="15">
        <f t="shared" si="12"/>
        <v>97402.5</v>
      </c>
      <c r="X823" s="15">
        <f>Table1[[#This Row],[Sub Total]]-Table1[[#This Row],[Discount Rp]]</f>
        <v>984847.5</v>
      </c>
      <c r="Y823" s="15">
        <f ca="1">OFFSET(Helper!$C$3,MATCH(Data!$N$4:$N$1003,Helper!$C$4:$C$9,0),MATCH(Data!$O$4:$O$1003,Helper!$D$3:$F$3,0))</f>
        <v>5000</v>
      </c>
      <c r="Z823" s="16">
        <f ca="1">Table1[[#This Row],[Order Total]]+Table1[[#This Row],[Shipping Cost]]</f>
        <v>989847.5</v>
      </c>
    </row>
    <row r="824" spans="1:26" ht="15.75" customHeight="1" x14ac:dyDescent="0.3">
      <c r="A824" s="9" t="s">
        <v>1692</v>
      </c>
      <c r="B824" s="18">
        <v>43687</v>
      </c>
      <c r="C824" s="10">
        <f>YEAR(Table1[[#This Row],[Order Date]])</f>
        <v>2019</v>
      </c>
      <c r="D824" s="10" t="s">
        <v>1693</v>
      </c>
      <c r="E824" s="10" t="s">
        <v>449</v>
      </c>
      <c r="F824" s="10" t="s">
        <v>54</v>
      </c>
      <c r="G824" s="10" t="s">
        <v>87</v>
      </c>
      <c r="H824" s="10" t="s">
        <v>56</v>
      </c>
      <c r="I824" s="10" t="str">
        <f>VLOOKUP(Table1[[#This Row],[Account Manager ID]],Table2[[Employee ID]:[Full Name]],4,FALSE)</f>
        <v>Gaduh Pratama</v>
      </c>
      <c r="J824" s="10" t="str">
        <f>INDEX(Employee!$D$4:$D$47,MATCH($H$4:$H$1003,Employee!$A$4:$A$47,0))</f>
        <v>Gaduh Pratama</v>
      </c>
      <c r="K824" s="10" t="s">
        <v>57</v>
      </c>
      <c r="L824" s="10" t="s">
        <v>284</v>
      </c>
      <c r="M824" s="10" t="s">
        <v>59</v>
      </c>
      <c r="N824" s="10" t="s">
        <v>60</v>
      </c>
      <c r="O824" s="10" t="s">
        <v>61</v>
      </c>
      <c r="P824" s="10">
        <v>43688</v>
      </c>
      <c r="Q824" s="15">
        <v>33750</v>
      </c>
      <c r="R824" s="15">
        <v>55350</v>
      </c>
      <c r="S824" s="15">
        <f>Table1[[#This Row],[Retail Price]]-Table1[[#This Row],[Cost Price]]</f>
        <v>21600</v>
      </c>
      <c r="T824" s="10">
        <v>46</v>
      </c>
      <c r="U824" s="15">
        <f>Table1[[#This Row],[Profit Margin]]*Table1[[#This Row],[Order Quantity]]</f>
        <v>993600</v>
      </c>
      <c r="V824" s="11">
        <v>0.04</v>
      </c>
      <c r="W824" s="15">
        <f t="shared" si="12"/>
        <v>39744</v>
      </c>
      <c r="X824" s="15">
        <f>Table1[[#This Row],[Sub Total]]-Table1[[#This Row],[Discount Rp]]</f>
        <v>953856</v>
      </c>
      <c r="Y824" s="15">
        <f ca="1">OFFSET(Helper!$C$3,MATCH(Data!$N$4:$N$1003,Helper!$C$4:$C$9,0),MATCH(Data!$O$4:$O$1003,Helper!$D$3:$F$3,0))</f>
        <v>15000</v>
      </c>
      <c r="Z824" s="16">
        <f ca="1">Table1[[#This Row],[Order Total]]+Table1[[#This Row],[Shipping Cost]]</f>
        <v>968856</v>
      </c>
    </row>
    <row r="825" spans="1:26" ht="15.75" customHeight="1" x14ac:dyDescent="0.3">
      <c r="A825" s="9" t="s">
        <v>1694</v>
      </c>
      <c r="B825" s="18">
        <v>43691</v>
      </c>
      <c r="C825" s="10">
        <f>YEAR(Table1[[#This Row],[Order Date]])</f>
        <v>2019</v>
      </c>
      <c r="D825" s="10" t="s">
        <v>1472</v>
      </c>
      <c r="E825" s="10" t="s">
        <v>1473</v>
      </c>
      <c r="F825" s="10" t="s">
        <v>261</v>
      </c>
      <c r="G825" s="10" t="s">
        <v>87</v>
      </c>
      <c r="H825" s="10" t="s">
        <v>194</v>
      </c>
      <c r="I825" s="10" t="str">
        <f>VLOOKUP(Table1[[#This Row],[Account Manager ID]],Table2[[Employee ID]:[Full Name]],4,FALSE)</f>
        <v>Nabila Prakasa</v>
      </c>
      <c r="J825" s="10" t="str">
        <f>INDEX(Employee!$D$4:$D$47,MATCH($H$4:$H$1003,Employee!$A$4:$A$47,0))</f>
        <v>Nabila Prakasa</v>
      </c>
      <c r="K825" s="10" t="s">
        <v>107</v>
      </c>
      <c r="L825" s="10" t="s">
        <v>437</v>
      </c>
      <c r="M825" s="10" t="s">
        <v>59</v>
      </c>
      <c r="N825" s="10" t="s">
        <v>60</v>
      </c>
      <c r="O825" s="10" t="s">
        <v>61</v>
      </c>
      <c r="P825" s="10">
        <v>43693</v>
      </c>
      <c r="Q825" s="15">
        <v>27600</v>
      </c>
      <c r="R825" s="15">
        <v>43200</v>
      </c>
      <c r="S825" s="15">
        <f>Table1[[#This Row],[Retail Price]]-Table1[[#This Row],[Cost Price]]</f>
        <v>15600</v>
      </c>
      <c r="T825" s="10">
        <v>45</v>
      </c>
      <c r="U825" s="15">
        <f>Table1[[#This Row],[Profit Margin]]*Table1[[#This Row],[Order Quantity]]</f>
        <v>702000</v>
      </c>
      <c r="V825" s="11">
        <v>0.02</v>
      </c>
      <c r="W825" s="15">
        <f t="shared" si="12"/>
        <v>14040</v>
      </c>
      <c r="X825" s="15">
        <f>Table1[[#This Row],[Sub Total]]-Table1[[#This Row],[Discount Rp]]</f>
        <v>687960</v>
      </c>
      <c r="Y825" s="15">
        <f ca="1">OFFSET(Helper!$C$3,MATCH(Data!$N$4:$N$1003,Helper!$C$4:$C$9,0),MATCH(Data!$O$4:$O$1003,Helper!$D$3:$F$3,0))</f>
        <v>15000</v>
      </c>
      <c r="Z825" s="16">
        <f ca="1">Table1[[#This Row],[Order Total]]+Table1[[#This Row],[Shipping Cost]]</f>
        <v>702960</v>
      </c>
    </row>
    <row r="826" spans="1:26" ht="15.75" customHeight="1" x14ac:dyDescent="0.3">
      <c r="A826" s="9" t="s">
        <v>1695</v>
      </c>
      <c r="B826" s="18">
        <v>43691</v>
      </c>
      <c r="C826" s="10">
        <f>YEAR(Table1[[#This Row],[Order Date]])</f>
        <v>2019</v>
      </c>
      <c r="D826" s="10" t="s">
        <v>1472</v>
      </c>
      <c r="E826" s="10" t="s">
        <v>1473</v>
      </c>
      <c r="F826" s="10" t="s">
        <v>261</v>
      </c>
      <c r="G826" s="10" t="s">
        <v>87</v>
      </c>
      <c r="H826" s="10" t="s">
        <v>194</v>
      </c>
      <c r="I826" s="10" t="str">
        <f>VLOOKUP(Table1[[#This Row],[Account Manager ID]],Table2[[Employee ID]:[Full Name]],4,FALSE)</f>
        <v>Nabila Prakasa</v>
      </c>
      <c r="J826" s="10" t="str">
        <f>INDEX(Employee!$D$4:$D$47,MATCH($H$4:$H$1003,Employee!$A$4:$A$47,0))</f>
        <v>Nabila Prakasa</v>
      </c>
      <c r="K826" s="10" t="s">
        <v>107</v>
      </c>
      <c r="L826" s="10" t="s">
        <v>419</v>
      </c>
      <c r="M826" s="10" t="s">
        <v>59</v>
      </c>
      <c r="N826" s="10" t="s">
        <v>60</v>
      </c>
      <c r="O826" s="10" t="s">
        <v>61</v>
      </c>
      <c r="P826" s="10">
        <v>43692</v>
      </c>
      <c r="Q826" s="15">
        <v>66900</v>
      </c>
      <c r="R826" s="15">
        <v>163350</v>
      </c>
      <c r="S826" s="15">
        <f>Table1[[#This Row],[Retail Price]]-Table1[[#This Row],[Cost Price]]</f>
        <v>96450</v>
      </c>
      <c r="T826" s="10">
        <v>39</v>
      </c>
      <c r="U826" s="15">
        <f>Table1[[#This Row],[Profit Margin]]*Table1[[#This Row],[Order Quantity]]</f>
        <v>3761550</v>
      </c>
      <c r="V826" s="11">
        <v>0.06</v>
      </c>
      <c r="W826" s="15">
        <f t="shared" si="12"/>
        <v>225693</v>
      </c>
      <c r="X826" s="15">
        <f>Table1[[#This Row],[Sub Total]]-Table1[[#This Row],[Discount Rp]]</f>
        <v>3535857</v>
      </c>
      <c r="Y826" s="15">
        <f ca="1">OFFSET(Helper!$C$3,MATCH(Data!$N$4:$N$1003,Helper!$C$4:$C$9,0),MATCH(Data!$O$4:$O$1003,Helper!$D$3:$F$3,0))</f>
        <v>15000</v>
      </c>
      <c r="Z826" s="16">
        <f ca="1">Table1[[#This Row],[Order Total]]+Table1[[#This Row],[Shipping Cost]]</f>
        <v>3550857</v>
      </c>
    </row>
    <row r="827" spans="1:26" ht="15.75" customHeight="1" x14ac:dyDescent="0.3">
      <c r="A827" s="9" t="s">
        <v>1696</v>
      </c>
      <c r="B827" s="18">
        <v>43692</v>
      </c>
      <c r="C827" s="10">
        <f>YEAR(Table1[[#This Row],[Order Date]])</f>
        <v>2019</v>
      </c>
      <c r="D827" s="10" t="s">
        <v>1104</v>
      </c>
      <c r="E827" s="10" t="s">
        <v>53</v>
      </c>
      <c r="F827" s="10" t="s">
        <v>54</v>
      </c>
      <c r="G827" s="10" t="s">
        <v>55</v>
      </c>
      <c r="H827" s="10" t="s">
        <v>56</v>
      </c>
      <c r="I827" s="10" t="str">
        <f>VLOOKUP(Table1[[#This Row],[Account Manager ID]],Table2[[Employee ID]:[Full Name]],4,FALSE)</f>
        <v>Gaduh Pratama</v>
      </c>
      <c r="J827" s="10" t="str">
        <f>INDEX(Employee!$D$4:$D$47,MATCH($H$4:$H$1003,Employee!$A$4:$A$47,0))</f>
        <v>Gaduh Pratama</v>
      </c>
      <c r="K827" s="10" t="s">
        <v>57</v>
      </c>
      <c r="L827" s="10" t="s">
        <v>252</v>
      </c>
      <c r="M827" s="10" t="s">
        <v>253</v>
      </c>
      <c r="N827" s="10" t="s">
        <v>136</v>
      </c>
      <c r="O827" s="10" t="s">
        <v>61</v>
      </c>
      <c r="P827" s="10">
        <v>43694</v>
      </c>
      <c r="Q827" s="15">
        <v>82500</v>
      </c>
      <c r="R827" s="15">
        <v>183300</v>
      </c>
      <c r="S827" s="15">
        <f>Table1[[#This Row],[Retail Price]]-Table1[[#This Row],[Cost Price]]</f>
        <v>100800</v>
      </c>
      <c r="T827" s="10">
        <v>46</v>
      </c>
      <c r="U827" s="15">
        <f>Table1[[#This Row],[Profit Margin]]*Table1[[#This Row],[Order Quantity]]</f>
        <v>4636800</v>
      </c>
      <c r="V827" s="11">
        <v>0.06</v>
      </c>
      <c r="W827" s="15">
        <f t="shared" si="12"/>
        <v>278208</v>
      </c>
      <c r="X827" s="15">
        <f>Table1[[#This Row],[Sub Total]]-Table1[[#This Row],[Discount Rp]]</f>
        <v>4358592</v>
      </c>
      <c r="Y827" s="15">
        <f ca="1">OFFSET(Helper!$C$3,MATCH(Data!$N$4:$N$1003,Helper!$C$4:$C$9,0),MATCH(Data!$O$4:$O$1003,Helper!$D$3:$F$3,0))</f>
        <v>10000</v>
      </c>
      <c r="Z827" s="16">
        <f ca="1">Table1[[#This Row],[Order Total]]+Table1[[#This Row],[Shipping Cost]]</f>
        <v>4368592</v>
      </c>
    </row>
    <row r="828" spans="1:26" ht="15.75" customHeight="1" x14ac:dyDescent="0.3">
      <c r="A828" s="9" t="s">
        <v>1697</v>
      </c>
      <c r="B828" s="18">
        <v>43692</v>
      </c>
      <c r="C828" s="10">
        <f>YEAR(Table1[[#This Row],[Order Date]])</f>
        <v>2019</v>
      </c>
      <c r="D828" s="10" t="s">
        <v>1104</v>
      </c>
      <c r="E828" s="10" t="s">
        <v>53</v>
      </c>
      <c r="F828" s="10" t="s">
        <v>54</v>
      </c>
      <c r="G828" s="10" t="s">
        <v>55</v>
      </c>
      <c r="H828" s="10" t="s">
        <v>56</v>
      </c>
      <c r="I828" s="10" t="str">
        <f>VLOOKUP(Table1[[#This Row],[Account Manager ID]],Table2[[Employee ID]:[Full Name]],4,FALSE)</f>
        <v>Gaduh Pratama</v>
      </c>
      <c r="J828" s="10" t="str">
        <f>INDEX(Employee!$D$4:$D$47,MATCH($H$4:$H$1003,Employee!$A$4:$A$47,0))</f>
        <v>Gaduh Pratama</v>
      </c>
      <c r="K828" s="10" t="s">
        <v>57</v>
      </c>
      <c r="L828" s="10" t="s">
        <v>446</v>
      </c>
      <c r="M828" s="10" t="s">
        <v>59</v>
      </c>
      <c r="N828" s="10" t="s">
        <v>60</v>
      </c>
      <c r="O828" s="10" t="s">
        <v>61</v>
      </c>
      <c r="P828" s="10">
        <v>43693</v>
      </c>
      <c r="Q828" s="15">
        <v>33900</v>
      </c>
      <c r="R828" s="15">
        <v>53700</v>
      </c>
      <c r="S828" s="15">
        <f>Table1[[#This Row],[Retail Price]]-Table1[[#This Row],[Cost Price]]</f>
        <v>19800</v>
      </c>
      <c r="T828" s="10">
        <v>8</v>
      </c>
      <c r="U828" s="15">
        <f>Table1[[#This Row],[Profit Margin]]*Table1[[#This Row],[Order Quantity]]</f>
        <v>158400</v>
      </c>
      <c r="V828" s="11">
        <v>0.09</v>
      </c>
      <c r="W828" s="15">
        <f t="shared" si="12"/>
        <v>14256</v>
      </c>
      <c r="X828" s="15">
        <f>Table1[[#This Row],[Sub Total]]-Table1[[#This Row],[Discount Rp]]</f>
        <v>144144</v>
      </c>
      <c r="Y828" s="15">
        <f ca="1">OFFSET(Helper!$C$3,MATCH(Data!$N$4:$N$1003,Helper!$C$4:$C$9,0),MATCH(Data!$O$4:$O$1003,Helper!$D$3:$F$3,0))</f>
        <v>15000</v>
      </c>
      <c r="Z828" s="16">
        <f ca="1">Table1[[#This Row],[Order Total]]+Table1[[#This Row],[Shipping Cost]]</f>
        <v>159144</v>
      </c>
    </row>
    <row r="829" spans="1:26" ht="15.75" customHeight="1" x14ac:dyDescent="0.3">
      <c r="A829" s="9" t="s">
        <v>1698</v>
      </c>
      <c r="B829" s="18">
        <v>43692</v>
      </c>
      <c r="C829" s="10">
        <f>YEAR(Table1[[#This Row],[Order Date]])</f>
        <v>2019</v>
      </c>
      <c r="D829" s="10" t="s">
        <v>330</v>
      </c>
      <c r="E829" s="10" t="s">
        <v>172</v>
      </c>
      <c r="F829" s="10" t="s">
        <v>54</v>
      </c>
      <c r="G829" s="10" t="s">
        <v>87</v>
      </c>
      <c r="H829" s="10" t="s">
        <v>65</v>
      </c>
      <c r="I829" s="10" t="str">
        <f>VLOOKUP(Table1[[#This Row],[Account Manager ID]],Table2[[Employee ID]:[Full Name]],4,FALSE)</f>
        <v>Laras Nuraini</v>
      </c>
      <c r="J829" s="10" t="str">
        <f>INDEX(Employee!$D$4:$D$47,MATCH($H$4:$H$1003,Employee!$A$4:$A$47,0))</f>
        <v>Laras Nuraini</v>
      </c>
      <c r="K829" s="10" t="s">
        <v>107</v>
      </c>
      <c r="L829" s="10" t="s">
        <v>530</v>
      </c>
      <c r="M829" s="10" t="s">
        <v>59</v>
      </c>
      <c r="N829" s="10" t="s">
        <v>136</v>
      </c>
      <c r="O829" s="10" t="s">
        <v>61</v>
      </c>
      <c r="P829" s="10">
        <v>43693</v>
      </c>
      <c r="Q829" s="15">
        <v>37500</v>
      </c>
      <c r="R829" s="15">
        <v>85200</v>
      </c>
      <c r="S829" s="15">
        <f>Table1[[#This Row],[Retail Price]]-Table1[[#This Row],[Cost Price]]</f>
        <v>47700</v>
      </c>
      <c r="T829" s="10">
        <v>25</v>
      </c>
      <c r="U829" s="15">
        <f>Table1[[#This Row],[Profit Margin]]*Table1[[#This Row],[Order Quantity]]</f>
        <v>1192500</v>
      </c>
      <c r="V829" s="11">
        <v>0.1</v>
      </c>
      <c r="W829" s="15">
        <f t="shared" si="12"/>
        <v>119250</v>
      </c>
      <c r="X829" s="15">
        <f>Table1[[#This Row],[Sub Total]]-Table1[[#This Row],[Discount Rp]]</f>
        <v>1073250</v>
      </c>
      <c r="Y829" s="15">
        <f ca="1">OFFSET(Helper!$C$3,MATCH(Data!$N$4:$N$1003,Helper!$C$4:$C$9,0),MATCH(Data!$O$4:$O$1003,Helper!$D$3:$F$3,0))</f>
        <v>10000</v>
      </c>
      <c r="Z829" s="16">
        <f ca="1">Table1[[#This Row],[Order Total]]+Table1[[#This Row],[Shipping Cost]]</f>
        <v>1083250</v>
      </c>
    </row>
    <row r="830" spans="1:26" ht="15.75" customHeight="1" x14ac:dyDescent="0.3">
      <c r="A830" s="9" t="s">
        <v>1699</v>
      </c>
      <c r="B830" s="18">
        <v>43695</v>
      </c>
      <c r="C830" s="10">
        <f>YEAR(Table1[[#This Row],[Order Date]])</f>
        <v>2019</v>
      </c>
      <c r="D830" s="10" t="s">
        <v>1700</v>
      </c>
      <c r="E830" s="10" t="s">
        <v>279</v>
      </c>
      <c r="F830" s="10" t="s">
        <v>71</v>
      </c>
      <c r="G830" s="10" t="s">
        <v>55</v>
      </c>
      <c r="H830" s="10" t="s">
        <v>155</v>
      </c>
      <c r="I830" s="10" t="str">
        <f>VLOOKUP(Table1[[#This Row],[Account Manager ID]],Table2[[Employee ID]:[Full Name]],4,FALSE)</f>
        <v>Puti Nadine Prakasa</v>
      </c>
      <c r="J830" s="10" t="str">
        <f>INDEX(Employee!$D$4:$D$47,MATCH($H$4:$H$1003,Employee!$A$4:$A$47,0))</f>
        <v>Puti Nadine Prakasa</v>
      </c>
      <c r="K830" s="10" t="s">
        <v>117</v>
      </c>
      <c r="L830" s="10" t="s">
        <v>58</v>
      </c>
      <c r="M830" s="10" t="s">
        <v>59</v>
      </c>
      <c r="N830" s="10" t="s">
        <v>60</v>
      </c>
      <c r="O830" s="10" t="s">
        <v>61</v>
      </c>
      <c r="P830" s="10">
        <v>43697</v>
      </c>
      <c r="Q830" s="15">
        <v>52800</v>
      </c>
      <c r="R830" s="15">
        <v>83700</v>
      </c>
      <c r="S830" s="15">
        <f>Table1[[#This Row],[Retail Price]]-Table1[[#This Row],[Cost Price]]</f>
        <v>30900</v>
      </c>
      <c r="T830" s="10">
        <v>13</v>
      </c>
      <c r="U830" s="15">
        <f>Table1[[#This Row],[Profit Margin]]*Table1[[#This Row],[Order Quantity]]</f>
        <v>401700</v>
      </c>
      <c r="V830" s="11">
        <v>0.06</v>
      </c>
      <c r="W830" s="15">
        <f t="shared" si="12"/>
        <v>24102</v>
      </c>
      <c r="X830" s="15">
        <f>Table1[[#This Row],[Sub Total]]-Table1[[#This Row],[Discount Rp]]</f>
        <v>377598</v>
      </c>
      <c r="Y830" s="15">
        <f ca="1">OFFSET(Helper!$C$3,MATCH(Data!$N$4:$N$1003,Helper!$C$4:$C$9,0),MATCH(Data!$O$4:$O$1003,Helper!$D$3:$F$3,0))</f>
        <v>15000</v>
      </c>
      <c r="Z830" s="16">
        <f ca="1">Table1[[#This Row],[Order Total]]+Table1[[#This Row],[Shipping Cost]]</f>
        <v>392598</v>
      </c>
    </row>
    <row r="831" spans="1:26" ht="15.75" customHeight="1" x14ac:dyDescent="0.3">
      <c r="A831" s="9" t="s">
        <v>1701</v>
      </c>
      <c r="B831" s="18">
        <v>43698</v>
      </c>
      <c r="C831" s="10">
        <f>YEAR(Table1[[#This Row],[Order Date]])</f>
        <v>2019</v>
      </c>
      <c r="D831" s="10" t="s">
        <v>868</v>
      </c>
      <c r="E831" s="10" t="s">
        <v>279</v>
      </c>
      <c r="F831" s="10" t="s">
        <v>71</v>
      </c>
      <c r="G831" s="10" t="s">
        <v>72</v>
      </c>
      <c r="H831" s="10" t="s">
        <v>155</v>
      </c>
      <c r="I831" s="10" t="str">
        <f>VLOOKUP(Table1[[#This Row],[Account Manager ID]],Table2[[Employee ID]:[Full Name]],4,FALSE)</f>
        <v>Puti Nadine Prakasa</v>
      </c>
      <c r="J831" s="10" t="str">
        <f>INDEX(Employee!$D$4:$D$47,MATCH($H$4:$H$1003,Employee!$A$4:$A$47,0))</f>
        <v>Puti Nadine Prakasa</v>
      </c>
      <c r="K831" s="10" t="s">
        <v>92</v>
      </c>
      <c r="L831" s="10" t="s">
        <v>426</v>
      </c>
      <c r="M831" s="10" t="s">
        <v>59</v>
      </c>
      <c r="N831" s="10" t="s">
        <v>67</v>
      </c>
      <c r="O831" s="10" t="s">
        <v>61</v>
      </c>
      <c r="P831" s="10">
        <v>43702</v>
      </c>
      <c r="Q831" s="15">
        <v>29250</v>
      </c>
      <c r="R831" s="15">
        <v>59700</v>
      </c>
      <c r="S831" s="15">
        <f>Table1[[#This Row],[Retail Price]]-Table1[[#This Row],[Cost Price]]</f>
        <v>30450</v>
      </c>
      <c r="T831" s="10">
        <v>27</v>
      </c>
      <c r="U831" s="15">
        <f>Table1[[#This Row],[Profit Margin]]*Table1[[#This Row],[Order Quantity]]</f>
        <v>822150</v>
      </c>
      <c r="V831" s="11">
        <v>0.06</v>
      </c>
      <c r="W831" s="15">
        <f t="shared" si="12"/>
        <v>49329</v>
      </c>
      <c r="X831" s="15">
        <f>Table1[[#This Row],[Sub Total]]-Table1[[#This Row],[Discount Rp]]</f>
        <v>772821</v>
      </c>
      <c r="Y831" s="15">
        <f ca="1">OFFSET(Helper!$C$3,MATCH(Data!$N$4:$N$1003,Helper!$C$4:$C$9,0),MATCH(Data!$O$4:$O$1003,Helper!$D$3:$F$3,0))</f>
        <v>5000</v>
      </c>
      <c r="Z831" s="16">
        <f ca="1">Table1[[#This Row],[Order Total]]+Table1[[#This Row],[Shipping Cost]]</f>
        <v>777821</v>
      </c>
    </row>
    <row r="832" spans="1:26" ht="15.75" customHeight="1" x14ac:dyDescent="0.3">
      <c r="A832" s="9" t="s">
        <v>1702</v>
      </c>
      <c r="B832" s="18">
        <v>43698</v>
      </c>
      <c r="C832" s="10">
        <f>YEAR(Table1[[#This Row],[Order Date]])</f>
        <v>2019</v>
      </c>
      <c r="D832" s="10" t="s">
        <v>1628</v>
      </c>
      <c r="E832" s="10" t="s">
        <v>1363</v>
      </c>
      <c r="F832" s="10" t="s">
        <v>71</v>
      </c>
      <c r="G832" s="10" t="s">
        <v>72</v>
      </c>
      <c r="H832" s="10" t="s">
        <v>122</v>
      </c>
      <c r="I832" s="10" t="str">
        <f>VLOOKUP(Table1[[#This Row],[Account Manager ID]],Table2[[Employee ID]:[Full Name]],4,FALSE)</f>
        <v>Ophelia Mustofa</v>
      </c>
      <c r="J832" s="10" t="str">
        <f>INDEX(Employee!$D$4:$D$47,MATCH($H$4:$H$1003,Employee!$A$4:$A$47,0))</f>
        <v>Ophelia Mustofa</v>
      </c>
      <c r="K832" s="10" t="s">
        <v>92</v>
      </c>
      <c r="L832" s="10" t="s">
        <v>130</v>
      </c>
      <c r="M832" s="10" t="s">
        <v>59</v>
      </c>
      <c r="N832" s="10" t="s">
        <v>67</v>
      </c>
      <c r="O832" s="10" t="s">
        <v>61</v>
      </c>
      <c r="P832" s="10">
        <v>43698</v>
      </c>
      <c r="Q832" s="15">
        <v>10650</v>
      </c>
      <c r="R832" s="15">
        <v>17100</v>
      </c>
      <c r="S832" s="15">
        <f>Table1[[#This Row],[Retail Price]]-Table1[[#This Row],[Cost Price]]</f>
        <v>6450</v>
      </c>
      <c r="T832" s="10">
        <v>20</v>
      </c>
      <c r="U832" s="15">
        <f>Table1[[#This Row],[Profit Margin]]*Table1[[#This Row],[Order Quantity]]</f>
        <v>129000</v>
      </c>
      <c r="V832" s="11">
        <v>0.09</v>
      </c>
      <c r="W832" s="15">
        <f t="shared" si="12"/>
        <v>11610</v>
      </c>
      <c r="X832" s="15">
        <f>Table1[[#This Row],[Sub Total]]-Table1[[#This Row],[Discount Rp]]</f>
        <v>117390</v>
      </c>
      <c r="Y832" s="15">
        <f ca="1">OFFSET(Helper!$C$3,MATCH(Data!$N$4:$N$1003,Helper!$C$4:$C$9,0),MATCH(Data!$O$4:$O$1003,Helper!$D$3:$F$3,0))</f>
        <v>5000</v>
      </c>
      <c r="Z832" s="16">
        <f ca="1">Table1[[#This Row],[Order Total]]+Table1[[#This Row],[Shipping Cost]]</f>
        <v>122390</v>
      </c>
    </row>
    <row r="833" spans="1:26" ht="15.75" customHeight="1" x14ac:dyDescent="0.3">
      <c r="A833" s="9" t="s">
        <v>1703</v>
      </c>
      <c r="B833" s="18">
        <v>43699</v>
      </c>
      <c r="C833" s="10">
        <f>YEAR(Table1[[#This Row],[Order Date]])</f>
        <v>2019</v>
      </c>
      <c r="D833" s="10" t="s">
        <v>578</v>
      </c>
      <c r="E833" s="10" t="s">
        <v>579</v>
      </c>
      <c r="F833" s="10" t="s">
        <v>71</v>
      </c>
      <c r="G833" s="10" t="s">
        <v>72</v>
      </c>
      <c r="H833" s="10" t="s">
        <v>73</v>
      </c>
      <c r="I833" s="10" t="str">
        <f>VLOOKUP(Table1[[#This Row],[Account Manager ID]],Table2[[Employee ID]:[Full Name]],4,FALSE)</f>
        <v>Cinthia Gunawan</v>
      </c>
      <c r="J833" s="10" t="str">
        <f>INDEX(Employee!$D$4:$D$47,MATCH($H$4:$H$1003,Employee!$A$4:$A$47,0))</f>
        <v>Cinthia Gunawan</v>
      </c>
      <c r="K833" s="10" t="s">
        <v>57</v>
      </c>
      <c r="L833" s="10" t="s">
        <v>854</v>
      </c>
      <c r="M833" s="10" t="s">
        <v>59</v>
      </c>
      <c r="N833" s="10" t="s">
        <v>60</v>
      </c>
      <c r="O833" s="10" t="s">
        <v>61</v>
      </c>
      <c r="P833" s="10">
        <v>43701</v>
      </c>
      <c r="Q833" s="15">
        <v>1263300</v>
      </c>
      <c r="R833" s="15">
        <v>3158250</v>
      </c>
      <c r="S833" s="15">
        <f>Table1[[#This Row],[Retail Price]]-Table1[[#This Row],[Cost Price]]</f>
        <v>1894950</v>
      </c>
      <c r="T833" s="10">
        <v>4</v>
      </c>
      <c r="U833" s="15">
        <f>Table1[[#This Row],[Profit Margin]]*Table1[[#This Row],[Order Quantity]]</f>
        <v>7579800</v>
      </c>
      <c r="V833" s="11">
        <v>0.05</v>
      </c>
      <c r="W833" s="15">
        <f t="shared" si="12"/>
        <v>378990</v>
      </c>
      <c r="X833" s="15">
        <f>Table1[[#This Row],[Sub Total]]-Table1[[#This Row],[Discount Rp]]</f>
        <v>7200810</v>
      </c>
      <c r="Y833" s="15">
        <f ca="1">OFFSET(Helper!$C$3,MATCH(Data!$N$4:$N$1003,Helper!$C$4:$C$9,0),MATCH(Data!$O$4:$O$1003,Helper!$D$3:$F$3,0))</f>
        <v>15000</v>
      </c>
      <c r="Z833" s="16">
        <f ca="1">Table1[[#This Row],[Order Total]]+Table1[[#This Row],[Shipping Cost]]</f>
        <v>7215810</v>
      </c>
    </row>
    <row r="834" spans="1:26" ht="15.75" customHeight="1" x14ac:dyDescent="0.3">
      <c r="A834" s="9" t="s">
        <v>1704</v>
      </c>
      <c r="B834" s="18">
        <v>43700</v>
      </c>
      <c r="C834" s="10">
        <f>YEAR(Table1[[#This Row],[Order Date]])</f>
        <v>2019</v>
      </c>
      <c r="D834" s="10" t="s">
        <v>351</v>
      </c>
      <c r="E834" s="10" t="s">
        <v>352</v>
      </c>
      <c r="F834" s="10" t="s">
        <v>261</v>
      </c>
      <c r="G834" s="10" t="s">
        <v>72</v>
      </c>
      <c r="H834" s="10" t="s">
        <v>112</v>
      </c>
      <c r="I834" s="10" t="str">
        <f>VLOOKUP(Table1[[#This Row],[Account Manager ID]],Table2[[Employee ID]:[Full Name]],4,FALSE)</f>
        <v>Paiman Firgantoro</v>
      </c>
      <c r="J834" s="10" t="str">
        <f>INDEX(Employee!$D$4:$D$47,MATCH($H$4:$H$1003,Employee!$A$4:$A$47,0))</f>
        <v>Paiman Firgantoro</v>
      </c>
      <c r="K834" s="10" t="s">
        <v>107</v>
      </c>
      <c r="L834" s="10" t="s">
        <v>162</v>
      </c>
      <c r="M834" s="10" t="s">
        <v>59</v>
      </c>
      <c r="N834" s="10" t="s">
        <v>60</v>
      </c>
      <c r="O834" s="10" t="s">
        <v>61</v>
      </c>
      <c r="P834" s="10">
        <v>43702</v>
      </c>
      <c r="Q834" s="15">
        <v>52800</v>
      </c>
      <c r="R834" s="15">
        <v>85200</v>
      </c>
      <c r="S834" s="15">
        <f>Table1[[#This Row],[Retail Price]]-Table1[[#This Row],[Cost Price]]</f>
        <v>32400</v>
      </c>
      <c r="T834" s="10">
        <v>34</v>
      </c>
      <c r="U834" s="15">
        <f>Table1[[#This Row],[Profit Margin]]*Table1[[#This Row],[Order Quantity]]</f>
        <v>1101600</v>
      </c>
      <c r="V834" s="11">
        <v>0.06</v>
      </c>
      <c r="W834" s="15">
        <f t="shared" si="12"/>
        <v>66096</v>
      </c>
      <c r="X834" s="15">
        <f>Table1[[#This Row],[Sub Total]]-Table1[[#This Row],[Discount Rp]]</f>
        <v>1035504</v>
      </c>
      <c r="Y834" s="15">
        <f ca="1">OFFSET(Helper!$C$3,MATCH(Data!$N$4:$N$1003,Helper!$C$4:$C$9,0),MATCH(Data!$O$4:$O$1003,Helper!$D$3:$F$3,0))</f>
        <v>15000</v>
      </c>
      <c r="Z834" s="16">
        <f ca="1">Table1[[#This Row],[Order Total]]+Table1[[#This Row],[Shipping Cost]]</f>
        <v>1050504</v>
      </c>
    </row>
    <row r="835" spans="1:26" ht="15.75" customHeight="1" x14ac:dyDescent="0.3">
      <c r="A835" s="9" t="s">
        <v>1705</v>
      </c>
      <c r="B835" s="18">
        <v>43702</v>
      </c>
      <c r="C835" s="10">
        <f>YEAR(Table1[[#This Row],[Order Date]])</f>
        <v>2019</v>
      </c>
      <c r="D835" s="10" t="s">
        <v>907</v>
      </c>
      <c r="E835" s="10" t="s">
        <v>340</v>
      </c>
      <c r="F835" s="10" t="s">
        <v>54</v>
      </c>
      <c r="G835" s="10" t="s">
        <v>72</v>
      </c>
      <c r="H835" s="10" t="s">
        <v>65</v>
      </c>
      <c r="I835" s="10" t="str">
        <f>VLOOKUP(Table1[[#This Row],[Account Manager ID]],Table2[[Employee ID]:[Full Name]],4,FALSE)</f>
        <v>Laras Nuraini</v>
      </c>
      <c r="J835" s="10" t="str">
        <f>INDEX(Employee!$D$4:$D$47,MATCH($H$4:$H$1003,Employee!$A$4:$A$47,0))</f>
        <v>Laras Nuraini</v>
      </c>
      <c r="K835" s="10" t="s">
        <v>74</v>
      </c>
      <c r="L835" s="10" t="s">
        <v>473</v>
      </c>
      <c r="M835" s="10" t="s">
        <v>59</v>
      </c>
      <c r="N835" s="10" t="s">
        <v>60</v>
      </c>
      <c r="O835" s="10" t="s">
        <v>61</v>
      </c>
      <c r="P835" s="10">
        <v>43704</v>
      </c>
      <c r="Q835" s="15">
        <v>32700.000000000004</v>
      </c>
      <c r="R835" s="15">
        <v>52800</v>
      </c>
      <c r="S835" s="15">
        <f>Table1[[#This Row],[Retail Price]]-Table1[[#This Row],[Cost Price]]</f>
        <v>20099.999999999996</v>
      </c>
      <c r="T835" s="10">
        <v>42</v>
      </c>
      <c r="U835" s="15">
        <f>Table1[[#This Row],[Profit Margin]]*Table1[[#This Row],[Order Quantity]]</f>
        <v>844199.99999999988</v>
      </c>
      <c r="V835" s="11">
        <v>0.04</v>
      </c>
      <c r="W835" s="15">
        <f t="shared" si="12"/>
        <v>33767.999999999993</v>
      </c>
      <c r="X835" s="15">
        <f>Table1[[#This Row],[Sub Total]]-Table1[[#This Row],[Discount Rp]]</f>
        <v>810431.99999999988</v>
      </c>
      <c r="Y835" s="15">
        <f ca="1">OFFSET(Helper!$C$3,MATCH(Data!$N$4:$N$1003,Helper!$C$4:$C$9,0),MATCH(Data!$O$4:$O$1003,Helper!$D$3:$F$3,0))</f>
        <v>15000</v>
      </c>
      <c r="Z835" s="16">
        <f ca="1">Table1[[#This Row],[Order Total]]+Table1[[#This Row],[Shipping Cost]]</f>
        <v>825431.99999999988</v>
      </c>
    </row>
    <row r="836" spans="1:26" ht="15.75" customHeight="1" x14ac:dyDescent="0.3">
      <c r="A836" s="9" t="s">
        <v>1706</v>
      </c>
      <c r="B836" s="18">
        <v>43704</v>
      </c>
      <c r="C836" s="10">
        <f>YEAR(Table1[[#This Row],[Order Date]])</f>
        <v>2019</v>
      </c>
      <c r="D836" s="10" t="s">
        <v>969</v>
      </c>
      <c r="E836" s="10" t="s">
        <v>826</v>
      </c>
      <c r="F836" s="10" t="s">
        <v>71</v>
      </c>
      <c r="G836" s="10" t="s">
        <v>72</v>
      </c>
      <c r="H836" s="10" t="s">
        <v>304</v>
      </c>
      <c r="I836" s="10" t="str">
        <f>VLOOKUP(Table1[[#This Row],[Account Manager ID]],Table2[[Employee ID]:[Full Name]],4,FALSE)</f>
        <v>Sutan Tirtayasa Wasita</v>
      </c>
      <c r="J836" s="10" t="str">
        <f>INDEX(Employee!$D$4:$D$47,MATCH($H$4:$H$1003,Employee!$A$4:$A$47,0))</f>
        <v>Sutan Tirtayasa Wasita</v>
      </c>
      <c r="K836" s="10" t="s">
        <v>107</v>
      </c>
      <c r="L836" s="10" t="s">
        <v>611</v>
      </c>
      <c r="M836" s="10" t="s">
        <v>59</v>
      </c>
      <c r="N836" s="10" t="s">
        <v>60</v>
      </c>
      <c r="O836" s="10" t="s">
        <v>61</v>
      </c>
      <c r="P836" s="10">
        <v>43706</v>
      </c>
      <c r="Q836" s="15">
        <v>34350</v>
      </c>
      <c r="R836" s="15">
        <v>55350</v>
      </c>
      <c r="S836" s="15">
        <f>Table1[[#This Row],[Retail Price]]-Table1[[#This Row],[Cost Price]]</f>
        <v>21000</v>
      </c>
      <c r="T836" s="10">
        <v>47</v>
      </c>
      <c r="U836" s="15">
        <f>Table1[[#This Row],[Profit Margin]]*Table1[[#This Row],[Order Quantity]]</f>
        <v>987000</v>
      </c>
      <c r="V836" s="11">
        <v>0.05</v>
      </c>
      <c r="W836" s="15">
        <f t="shared" ref="W836:W899" si="13">V836*U836</f>
        <v>49350</v>
      </c>
      <c r="X836" s="15">
        <f>Table1[[#This Row],[Sub Total]]-Table1[[#This Row],[Discount Rp]]</f>
        <v>937650</v>
      </c>
      <c r="Y836" s="15">
        <f ca="1">OFFSET(Helper!$C$3,MATCH(Data!$N$4:$N$1003,Helper!$C$4:$C$9,0),MATCH(Data!$O$4:$O$1003,Helper!$D$3:$F$3,0))</f>
        <v>15000</v>
      </c>
      <c r="Z836" s="16">
        <f ca="1">Table1[[#This Row],[Order Total]]+Table1[[#This Row],[Shipping Cost]]</f>
        <v>952650</v>
      </c>
    </row>
    <row r="837" spans="1:26" ht="15.75" customHeight="1" x14ac:dyDescent="0.3">
      <c r="A837" s="9" t="s">
        <v>1707</v>
      </c>
      <c r="B837" s="18">
        <v>43704</v>
      </c>
      <c r="C837" s="10">
        <f>YEAR(Table1[[#This Row],[Order Date]])</f>
        <v>2019</v>
      </c>
      <c r="D837" s="10" t="s">
        <v>1034</v>
      </c>
      <c r="E837" s="10" t="s">
        <v>813</v>
      </c>
      <c r="F837" s="10" t="s">
        <v>54</v>
      </c>
      <c r="G837" s="10" t="s">
        <v>106</v>
      </c>
      <c r="H837" s="10" t="s">
        <v>65</v>
      </c>
      <c r="I837" s="10" t="str">
        <f>VLOOKUP(Table1[[#This Row],[Account Manager ID]],Table2[[Employee ID]:[Full Name]],4,FALSE)</f>
        <v>Laras Nuraini</v>
      </c>
      <c r="J837" s="10" t="str">
        <f>INDEX(Employee!$D$4:$D$47,MATCH($H$4:$H$1003,Employee!$A$4:$A$47,0))</f>
        <v>Laras Nuraini</v>
      </c>
      <c r="K837" s="10" t="s">
        <v>107</v>
      </c>
      <c r="L837" s="10" t="s">
        <v>355</v>
      </c>
      <c r="M837" s="10" t="s">
        <v>59</v>
      </c>
      <c r="N837" s="10" t="s">
        <v>60</v>
      </c>
      <c r="O837" s="10" t="s">
        <v>61</v>
      </c>
      <c r="P837" s="10">
        <v>43706</v>
      </c>
      <c r="Q837" s="15">
        <v>19950</v>
      </c>
      <c r="R837" s="15">
        <v>31200</v>
      </c>
      <c r="S837" s="15">
        <f>Table1[[#This Row],[Retail Price]]-Table1[[#This Row],[Cost Price]]</f>
        <v>11250</v>
      </c>
      <c r="T837" s="10">
        <v>43</v>
      </c>
      <c r="U837" s="15">
        <f>Table1[[#This Row],[Profit Margin]]*Table1[[#This Row],[Order Quantity]]</f>
        <v>483750</v>
      </c>
      <c r="V837" s="11">
        <v>0.05</v>
      </c>
      <c r="W837" s="15">
        <f t="shared" si="13"/>
        <v>24187.5</v>
      </c>
      <c r="X837" s="15">
        <f>Table1[[#This Row],[Sub Total]]-Table1[[#This Row],[Discount Rp]]</f>
        <v>459562.5</v>
      </c>
      <c r="Y837" s="15">
        <f ca="1">OFFSET(Helper!$C$3,MATCH(Data!$N$4:$N$1003,Helper!$C$4:$C$9,0),MATCH(Data!$O$4:$O$1003,Helper!$D$3:$F$3,0))</f>
        <v>15000</v>
      </c>
      <c r="Z837" s="16">
        <f ca="1">Table1[[#This Row],[Order Total]]+Table1[[#This Row],[Shipping Cost]]</f>
        <v>474562.5</v>
      </c>
    </row>
    <row r="838" spans="1:26" ht="15.75" customHeight="1" x14ac:dyDescent="0.3">
      <c r="A838" s="12" t="s">
        <v>1707</v>
      </c>
      <c r="B838" s="18">
        <v>43707</v>
      </c>
      <c r="C838" s="10">
        <f>YEAR(Table1[[#This Row],[Order Date]])</f>
        <v>2019</v>
      </c>
      <c r="D838" s="10" t="s">
        <v>1708</v>
      </c>
      <c r="E838" s="10" t="s">
        <v>358</v>
      </c>
      <c r="F838" s="10" t="s">
        <v>71</v>
      </c>
      <c r="G838" s="10" t="s">
        <v>106</v>
      </c>
      <c r="H838" s="10" t="s">
        <v>73</v>
      </c>
      <c r="I838" s="10" t="str">
        <f>VLOOKUP(Table1[[#This Row],[Account Manager ID]],Table2[[Employee ID]:[Full Name]],4,FALSE)</f>
        <v>Cinthia Gunawan</v>
      </c>
      <c r="J838" s="10" t="str">
        <f>INDEX(Employee!$D$4:$D$47,MATCH($H$4:$H$1003,Employee!$A$4:$A$47,0))</f>
        <v>Cinthia Gunawan</v>
      </c>
      <c r="K838" s="10" t="s">
        <v>57</v>
      </c>
      <c r="L838" s="10" t="s">
        <v>388</v>
      </c>
      <c r="M838" s="10" t="s">
        <v>59</v>
      </c>
      <c r="N838" s="10" t="s">
        <v>67</v>
      </c>
      <c r="O838" s="10" t="s">
        <v>61</v>
      </c>
      <c r="P838" s="10">
        <v>43708</v>
      </c>
      <c r="Q838" s="15">
        <v>58200</v>
      </c>
      <c r="R838" s="15">
        <v>97050</v>
      </c>
      <c r="S838" s="15">
        <f>Table1[[#This Row],[Retail Price]]-Table1[[#This Row],[Cost Price]]</f>
        <v>38850</v>
      </c>
      <c r="T838" s="10">
        <v>7</v>
      </c>
      <c r="U838" s="15">
        <f>Table1[[#This Row],[Profit Margin]]*Table1[[#This Row],[Order Quantity]]</f>
        <v>271950</v>
      </c>
      <c r="V838" s="11">
        <v>0.02</v>
      </c>
      <c r="W838" s="15">
        <f t="shared" si="13"/>
        <v>5439</v>
      </c>
      <c r="X838" s="15">
        <f>Table1[[#This Row],[Sub Total]]-Table1[[#This Row],[Discount Rp]]</f>
        <v>266511</v>
      </c>
      <c r="Y838" s="15">
        <f ca="1">OFFSET(Helper!$C$3,MATCH(Data!$N$4:$N$1003,Helper!$C$4:$C$9,0),MATCH(Data!$O$4:$O$1003,Helper!$D$3:$F$3,0))</f>
        <v>5000</v>
      </c>
      <c r="Z838" s="16">
        <f ca="1">Table1[[#This Row],[Order Total]]+Table1[[#This Row],[Shipping Cost]]</f>
        <v>271511</v>
      </c>
    </row>
    <row r="839" spans="1:26" ht="15.75" customHeight="1" x14ac:dyDescent="0.3">
      <c r="A839" s="9" t="s">
        <v>1709</v>
      </c>
      <c r="B839" s="18">
        <v>43708</v>
      </c>
      <c r="C839" s="10">
        <f>YEAR(Table1[[#This Row],[Order Date]])</f>
        <v>2019</v>
      </c>
      <c r="D839" s="10" t="s">
        <v>1710</v>
      </c>
      <c r="E839" s="10" t="s">
        <v>334</v>
      </c>
      <c r="F839" s="10" t="s">
        <v>54</v>
      </c>
      <c r="G839" s="10" t="s">
        <v>72</v>
      </c>
      <c r="H839" s="10" t="s">
        <v>65</v>
      </c>
      <c r="I839" s="10" t="str">
        <f>VLOOKUP(Table1[[#This Row],[Account Manager ID]],Table2[[Employee ID]:[Full Name]],4,FALSE)</f>
        <v>Laras Nuraini</v>
      </c>
      <c r="J839" s="10" t="str">
        <f>INDEX(Employee!$D$4:$D$47,MATCH($H$4:$H$1003,Employee!$A$4:$A$47,0))</f>
        <v>Laras Nuraini</v>
      </c>
      <c r="K839" s="10" t="s">
        <v>107</v>
      </c>
      <c r="L839" s="10" t="s">
        <v>546</v>
      </c>
      <c r="M839" s="10" t="s">
        <v>59</v>
      </c>
      <c r="N839" s="10" t="s">
        <v>60</v>
      </c>
      <c r="O839" s="10" t="s">
        <v>61</v>
      </c>
      <c r="P839" s="10">
        <v>43710</v>
      </c>
      <c r="Q839" s="15">
        <v>224250</v>
      </c>
      <c r="R839" s="15">
        <v>521399.99999999994</v>
      </c>
      <c r="S839" s="15">
        <f>Table1[[#This Row],[Retail Price]]-Table1[[#This Row],[Cost Price]]</f>
        <v>297149.99999999994</v>
      </c>
      <c r="T839" s="10">
        <v>8</v>
      </c>
      <c r="U839" s="15">
        <f>Table1[[#This Row],[Profit Margin]]*Table1[[#This Row],[Order Quantity]]</f>
        <v>2377199.9999999995</v>
      </c>
      <c r="V839" s="11">
        <v>0</v>
      </c>
      <c r="W839" s="15">
        <f t="shared" si="13"/>
        <v>0</v>
      </c>
      <c r="X839" s="15">
        <f>Table1[[#This Row],[Sub Total]]-Table1[[#This Row],[Discount Rp]]</f>
        <v>2377199.9999999995</v>
      </c>
      <c r="Y839" s="15">
        <f ca="1">OFFSET(Helper!$C$3,MATCH(Data!$N$4:$N$1003,Helper!$C$4:$C$9,0),MATCH(Data!$O$4:$O$1003,Helper!$D$3:$F$3,0))</f>
        <v>15000</v>
      </c>
      <c r="Z839" s="16">
        <f ca="1">Table1[[#This Row],[Order Total]]+Table1[[#This Row],[Shipping Cost]]</f>
        <v>2392199.9999999995</v>
      </c>
    </row>
    <row r="840" spans="1:26" ht="15.75" customHeight="1" x14ac:dyDescent="0.3">
      <c r="A840" s="9" t="s">
        <v>1711</v>
      </c>
      <c r="B840" s="18">
        <v>43709</v>
      </c>
      <c r="C840" s="10">
        <f>YEAR(Table1[[#This Row],[Order Date]])</f>
        <v>2019</v>
      </c>
      <c r="D840" s="10" t="s">
        <v>1712</v>
      </c>
      <c r="E840" s="10" t="s">
        <v>1713</v>
      </c>
      <c r="F840" s="10" t="s">
        <v>71</v>
      </c>
      <c r="G840" s="10" t="s">
        <v>55</v>
      </c>
      <c r="H840" s="10" t="s">
        <v>134</v>
      </c>
      <c r="I840" s="10" t="str">
        <f>VLOOKUP(Table1[[#This Row],[Account Manager ID]],Table2[[Employee ID]:[Full Name]],4,FALSE)</f>
        <v>Darmanto Laksita</v>
      </c>
      <c r="J840" s="10" t="str">
        <f>INDEX(Employee!$D$4:$D$47,MATCH($H$4:$H$1003,Employee!$A$4:$A$47,0))</f>
        <v>Darmanto Laksita</v>
      </c>
      <c r="K840" s="10" t="s">
        <v>117</v>
      </c>
      <c r="L840" s="10" t="s">
        <v>629</v>
      </c>
      <c r="M840" s="10" t="s">
        <v>59</v>
      </c>
      <c r="N840" s="10" t="s">
        <v>67</v>
      </c>
      <c r="O840" s="10" t="s">
        <v>61</v>
      </c>
      <c r="P840" s="10">
        <v>43710</v>
      </c>
      <c r="Q840" s="15">
        <v>26400</v>
      </c>
      <c r="R840" s="15">
        <v>44100</v>
      </c>
      <c r="S840" s="15">
        <f>Table1[[#This Row],[Retail Price]]-Table1[[#This Row],[Cost Price]]</f>
        <v>17700</v>
      </c>
      <c r="T840" s="10">
        <v>31</v>
      </c>
      <c r="U840" s="15">
        <f>Table1[[#This Row],[Profit Margin]]*Table1[[#This Row],[Order Quantity]]</f>
        <v>548700</v>
      </c>
      <c r="V840" s="11">
        <v>0.04</v>
      </c>
      <c r="W840" s="15">
        <f t="shared" si="13"/>
        <v>21948</v>
      </c>
      <c r="X840" s="15">
        <f>Table1[[#This Row],[Sub Total]]-Table1[[#This Row],[Discount Rp]]</f>
        <v>526752</v>
      </c>
      <c r="Y840" s="15">
        <f ca="1">OFFSET(Helper!$C$3,MATCH(Data!$N$4:$N$1003,Helper!$C$4:$C$9,0),MATCH(Data!$O$4:$O$1003,Helper!$D$3:$F$3,0))</f>
        <v>5000</v>
      </c>
      <c r="Z840" s="16">
        <f ca="1">Table1[[#This Row],[Order Total]]+Table1[[#This Row],[Shipping Cost]]</f>
        <v>531752</v>
      </c>
    </row>
    <row r="841" spans="1:26" ht="15.75" customHeight="1" x14ac:dyDescent="0.3">
      <c r="A841" s="9" t="s">
        <v>1714</v>
      </c>
      <c r="B841" s="18">
        <v>43711</v>
      </c>
      <c r="C841" s="10">
        <f>YEAR(Table1[[#This Row],[Order Date]])</f>
        <v>2019</v>
      </c>
      <c r="D841" s="10" t="s">
        <v>1715</v>
      </c>
      <c r="E841" s="10" t="s">
        <v>245</v>
      </c>
      <c r="F841" s="10" t="s">
        <v>71</v>
      </c>
      <c r="G841" s="10" t="s">
        <v>72</v>
      </c>
      <c r="H841" s="10" t="s">
        <v>146</v>
      </c>
      <c r="I841" s="10" t="str">
        <f>VLOOKUP(Table1[[#This Row],[Account Manager ID]],Table2[[Employee ID]:[Full Name]],4,FALSE)</f>
        <v>Kenari Rajasa</v>
      </c>
      <c r="J841" s="10" t="str">
        <f>INDEX(Employee!$D$4:$D$47,MATCH($H$4:$H$1003,Employee!$A$4:$A$47,0))</f>
        <v>Kenari Rajasa</v>
      </c>
      <c r="K841" s="10" t="s">
        <v>74</v>
      </c>
      <c r="L841" s="10" t="s">
        <v>252</v>
      </c>
      <c r="M841" s="10" t="s">
        <v>253</v>
      </c>
      <c r="N841" s="10" t="s">
        <v>136</v>
      </c>
      <c r="O841" s="10" t="s">
        <v>61</v>
      </c>
      <c r="P841" s="10">
        <v>43712</v>
      </c>
      <c r="Q841" s="15">
        <v>82500</v>
      </c>
      <c r="R841" s="15">
        <v>183300</v>
      </c>
      <c r="S841" s="15">
        <f>Table1[[#This Row],[Retail Price]]-Table1[[#This Row],[Cost Price]]</f>
        <v>100800</v>
      </c>
      <c r="T841" s="10">
        <v>10</v>
      </c>
      <c r="U841" s="15">
        <f>Table1[[#This Row],[Profit Margin]]*Table1[[#This Row],[Order Quantity]]</f>
        <v>1008000</v>
      </c>
      <c r="V841" s="11">
        <v>0.01</v>
      </c>
      <c r="W841" s="15">
        <f t="shared" si="13"/>
        <v>10080</v>
      </c>
      <c r="X841" s="15">
        <f>Table1[[#This Row],[Sub Total]]-Table1[[#This Row],[Discount Rp]]</f>
        <v>997920</v>
      </c>
      <c r="Y841" s="15">
        <f ca="1">OFFSET(Helper!$C$3,MATCH(Data!$N$4:$N$1003,Helper!$C$4:$C$9,0),MATCH(Data!$O$4:$O$1003,Helper!$D$3:$F$3,0))</f>
        <v>10000</v>
      </c>
      <c r="Z841" s="16">
        <f ca="1">Table1[[#This Row],[Order Total]]+Table1[[#This Row],[Shipping Cost]]</f>
        <v>1007920</v>
      </c>
    </row>
    <row r="842" spans="1:26" ht="15.75" customHeight="1" x14ac:dyDescent="0.3">
      <c r="A842" s="9" t="s">
        <v>1716</v>
      </c>
      <c r="B842" s="18">
        <v>43711</v>
      </c>
      <c r="C842" s="10">
        <f>YEAR(Table1[[#This Row],[Order Date]])</f>
        <v>2019</v>
      </c>
      <c r="D842" s="10" t="s">
        <v>417</v>
      </c>
      <c r="E842" s="10" t="s">
        <v>418</v>
      </c>
      <c r="F842" s="10" t="s">
        <v>261</v>
      </c>
      <c r="G842" s="10" t="s">
        <v>106</v>
      </c>
      <c r="H842" s="10" t="s">
        <v>97</v>
      </c>
      <c r="I842" s="10" t="str">
        <f>VLOOKUP(Table1[[#This Row],[Account Manager ID]],Table2[[Employee ID]:[Full Name]],4,FALSE)</f>
        <v>Violet Mentari</v>
      </c>
      <c r="J842" s="10" t="str">
        <f>INDEX(Employee!$D$4:$D$47,MATCH($H$4:$H$1003,Employee!$A$4:$A$47,0))</f>
        <v>Violet Mentari</v>
      </c>
      <c r="K842" s="10" t="s">
        <v>74</v>
      </c>
      <c r="L842" s="10" t="s">
        <v>761</v>
      </c>
      <c r="M842" s="10" t="s">
        <v>59</v>
      </c>
      <c r="N842" s="10" t="s">
        <v>60</v>
      </c>
      <c r="O842" s="10" t="s">
        <v>61</v>
      </c>
      <c r="P842" s="10">
        <v>43711</v>
      </c>
      <c r="Q842" s="15">
        <v>781050</v>
      </c>
      <c r="R842" s="15">
        <v>1259700</v>
      </c>
      <c r="S842" s="15">
        <f>Table1[[#This Row],[Retail Price]]-Table1[[#This Row],[Cost Price]]</f>
        <v>478650</v>
      </c>
      <c r="T842" s="10">
        <v>46</v>
      </c>
      <c r="U842" s="15">
        <f>Table1[[#This Row],[Profit Margin]]*Table1[[#This Row],[Order Quantity]]</f>
        <v>22017900</v>
      </c>
      <c r="V842" s="11">
        <v>0.06</v>
      </c>
      <c r="W842" s="15">
        <f t="shared" si="13"/>
        <v>1321074</v>
      </c>
      <c r="X842" s="15">
        <f>Table1[[#This Row],[Sub Total]]-Table1[[#This Row],[Discount Rp]]</f>
        <v>20696826</v>
      </c>
      <c r="Y842" s="15">
        <f ca="1">OFFSET(Helper!$C$3,MATCH(Data!$N$4:$N$1003,Helper!$C$4:$C$9,0),MATCH(Data!$O$4:$O$1003,Helper!$D$3:$F$3,0))</f>
        <v>15000</v>
      </c>
      <c r="Z842" s="16">
        <f ca="1">Table1[[#This Row],[Order Total]]+Table1[[#This Row],[Shipping Cost]]</f>
        <v>20711826</v>
      </c>
    </row>
    <row r="843" spans="1:26" ht="15.75" customHeight="1" x14ac:dyDescent="0.3">
      <c r="A843" s="9" t="s">
        <v>1717</v>
      </c>
      <c r="B843" s="18">
        <v>43711</v>
      </c>
      <c r="C843" s="10">
        <f>YEAR(Table1[[#This Row],[Order Date]])</f>
        <v>2019</v>
      </c>
      <c r="D843" s="10" t="s">
        <v>992</v>
      </c>
      <c r="E843" s="10" t="s">
        <v>145</v>
      </c>
      <c r="F843" s="10" t="s">
        <v>71</v>
      </c>
      <c r="G843" s="10" t="s">
        <v>72</v>
      </c>
      <c r="H843" s="10" t="s">
        <v>146</v>
      </c>
      <c r="I843" s="10" t="str">
        <f>VLOOKUP(Table1[[#This Row],[Account Manager ID]],Table2[[Employee ID]:[Full Name]],4,FALSE)</f>
        <v>Kenari Rajasa</v>
      </c>
      <c r="J843" s="10" t="str">
        <f>INDEX(Employee!$D$4:$D$47,MATCH($H$4:$H$1003,Employee!$A$4:$A$47,0))</f>
        <v>Kenari Rajasa</v>
      </c>
      <c r="K843" s="10" t="s">
        <v>74</v>
      </c>
      <c r="L843" s="10" t="s">
        <v>546</v>
      </c>
      <c r="M843" s="10" t="s">
        <v>59</v>
      </c>
      <c r="N843" s="10" t="s">
        <v>60</v>
      </c>
      <c r="O843" s="10" t="s">
        <v>61</v>
      </c>
      <c r="P843" s="10">
        <v>43712</v>
      </c>
      <c r="Q843" s="15">
        <v>224250</v>
      </c>
      <c r="R843" s="15">
        <v>521399.99999999994</v>
      </c>
      <c r="S843" s="15">
        <f>Table1[[#This Row],[Retail Price]]-Table1[[#This Row],[Cost Price]]</f>
        <v>297149.99999999994</v>
      </c>
      <c r="T843" s="10">
        <v>47</v>
      </c>
      <c r="U843" s="15">
        <f>Table1[[#This Row],[Profit Margin]]*Table1[[#This Row],[Order Quantity]]</f>
        <v>13966049.999999998</v>
      </c>
      <c r="V843" s="11">
        <v>0.09</v>
      </c>
      <c r="W843" s="15">
        <f t="shared" si="13"/>
        <v>1256944.4999999998</v>
      </c>
      <c r="X843" s="15">
        <f>Table1[[#This Row],[Sub Total]]-Table1[[#This Row],[Discount Rp]]</f>
        <v>12709105.499999998</v>
      </c>
      <c r="Y843" s="15">
        <f ca="1">OFFSET(Helper!$C$3,MATCH(Data!$N$4:$N$1003,Helper!$C$4:$C$9,0),MATCH(Data!$O$4:$O$1003,Helper!$D$3:$F$3,0))</f>
        <v>15000</v>
      </c>
      <c r="Z843" s="16">
        <f ca="1">Table1[[#This Row],[Order Total]]+Table1[[#This Row],[Shipping Cost]]</f>
        <v>12724105.499999998</v>
      </c>
    </row>
    <row r="844" spans="1:26" ht="15.75" customHeight="1" x14ac:dyDescent="0.3">
      <c r="A844" s="9" t="s">
        <v>1718</v>
      </c>
      <c r="B844" s="18">
        <v>43712</v>
      </c>
      <c r="C844" s="10">
        <f>YEAR(Table1[[#This Row],[Order Date]])</f>
        <v>2019</v>
      </c>
      <c r="D844" s="10" t="s">
        <v>259</v>
      </c>
      <c r="E844" s="10" t="s">
        <v>260</v>
      </c>
      <c r="F844" s="10" t="s">
        <v>261</v>
      </c>
      <c r="G844" s="10" t="s">
        <v>72</v>
      </c>
      <c r="H844" s="10" t="s">
        <v>146</v>
      </c>
      <c r="I844" s="10" t="str">
        <f>VLOOKUP(Table1[[#This Row],[Account Manager ID]],Table2[[Employee ID]:[Full Name]],4,FALSE)</f>
        <v>Kenari Rajasa</v>
      </c>
      <c r="J844" s="10" t="str">
        <f>INDEX(Employee!$D$4:$D$47,MATCH($H$4:$H$1003,Employee!$A$4:$A$47,0))</f>
        <v>Kenari Rajasa</v>
      </c>
      <c r="K844" s="10" t="s">
        <v>117</v>
      </c>
      <c r="L844" s="10" t="s">
        <v>419</v>
      </c>
      <c r="M844" s="10" t="s">
        <v>59</v>
      </c>
      <c r="N844" s="10" t="s">
        <v>60</v>
      </c>
      <c r="O844" s="10" t="s">
        <v>61</v>
      </c>
      <c r="P844" s="10">
        <v>43714</v>
      </c>
      <c r="Q844" s="15">
        <v>66900</v>
      </c>
      <c r="R844" s="15">
        <v>163350</v>
      </c>
      <c r="S844" s="15">
        <f>Table1[[#This Row],[Retail Price]]-Table1[[#This Row],[Cost Price]]</f>
        <v>96450</v>
      </c>
      <c r="T844" s="10">
        <v>1</v>
      </c>
      <c r="U844" s="15">
        <f>Table1[[#This Row],[Profit Margin]]*Table1[[#This Row],[Order Quantity]]</f>
        <v>96450</v>
      </c>
      <c r="V844" s="11">
        <v>0</v>
      </c>
      <c r="W844" s="15">
        <f t="shared" si="13"/>
        <v>0</v>
      </c>
      <c r="X844" s="15">
        <f>Table1[[#This Row],[Sub Total]]-Table1[[#This Row],[Discount Rp]]</f>
        <v>96450</v>
      </c>
      <c r="Y844" s="15">
        <f ca="1">OFFSET(Helper!$C$3,MATCH(Data!$N$4:$N$1003,Helper!$C$4:$C$9,0),MATCH(Data!$O$4:$O$1003,Helper!$D$3:$F$3,0))</f>
        <v>15000</v>
      </c>
      <c r="Z844" s="16">
        <f ca="1">Table1[[#This Row],[Order Total]]+Table1[[#This Row],[Shipping Cost]]</f>
        <v>111450</v>
      </c>
    </row>
    <row r="845" spans="1:26" ht="15.75" customHeight="1" x14ac:dyDescent="0.3">
      <c r="A845" s="9" t="s">
        <v>1719</v>
      </c>
      <c r="B845" s="18">
        <v>43712</v>
      </c>
      <c r="C845" s="10">
        <f>YEAR(Table1[[#This Row],[Order Date]])</f>
        <v>2019</v>
      </c>
      <c r="D845" s="10" t="s">
        <v>1515</v>
      </c>
      <c r="E845" s="10" t="s">
        <v>521</v>
      </c>
      <c r="F845" s="10" t="s">
        <v>71</v>
      </c>
      <c r="G845" s="10" t="s">
        <v>55</v>
      </c>
      <c r="H845" s="10" t="s">
        <v>88</v>
      </c>
      <c r="I845" s="10" t="str">
        <f>VLOOKUP(Table1[[#This Row],[Account Manager ID]],Table2[[Employee ID]:[Full Name]],4,FALSE)</f>
        <v>Bagiya Sihombing</v>
      </c>
      <c r="J845" s="10" t="str">
        <f>INDEX(Employee!$D$4:$D$47,MATCH($H$4:$H$1003,Employee!$A$4:$A$47,0))</f>
        <v>Bagiya Sihombing</v>
      </c>
      <c r="K845" s="10" t="s">
        <v>107</v>
      </c>
      <c r="L845" s="10" t="s">
        <v>265</v>
      </c>
      <c r="M845" s="10" t="s">
        <v>59</v>
      </c>
      <c r="N845" s="10" t="s">
        <v>60</v>
      </c>
      <c r="O845" s="10" t="s">
        <v>61</v>
      </c>
      <c r="P845" s="10">
        <v>43713</v>
      </c>
      <c r="Q845" s="15">
        <v>17700</v>
      </c>
      <c r="R845" s="15">
        <v>28200</v>
      </c>
      <c r="S845" s="15">
        <f>Table1[[#This Row],[Retail Price]]-Table1[[#This Row],[Cost Price]]</f>
        <v>10500</v>
      </c>
      <c r="T845" s="10">
        <v>22</v>
      </c>
      <c r="U845" s="15">
        <f>Table1[[#This Row],[Profit Margin]]*Table1[[#This Row],[Order Quantity]]</f>
        <v>231000</v>
      </c>
      <c r="V845" s="11">
        <v>0.09</v>
      </c>
      <c r="W845" s="15">
        <f t="shared" si="13"/>
        <v>20790</v>
      </c>
      <c r="X845" s="15">
        <f>Table1[[#This Row],[Sub Total]]-Table1[[#This Row],[Discount Rp]]</f>
        <v>210210</v>
      </c>
      <c r="Y845" s="15">
        <f ca="1">OFFSET(Helper!$C$3,MATCH(Data!$N$4:$N$1003,Helper!$C$4:$C$9,0),MATCH(Data!$O$4:$O$1003,Helper!$D$3:$F$3,0))</f>
        <v>15000</v>
      </c>
      <c r="Z845" s="16">
        <f ca="1">Table1[[#This Row],[Order Total]]+Table1[[#This Row],[Shipping Cost]]</f>
        <v>225210</v>
      </c>
    </row>
    <row r="846" spans="1:26" ht="15.75" customHeight="1" x14ac:dyDescent="0.3">
      <c r="A846" s="9" t="s">
        <v>1720</v>
      </c>
      <c r="B846" s="18">
        <v>43713</v>
      </c>
      <c r="C846" s="10">
        <f>YEAR(Table1[[#This Row],[Order Date]])</f>
        <v>2019</v>
      </c>
      <c r="D846" s="10" t="s">
        <v>1721</v>
      </c>
      <c r="E846" s="10" t="s">
        <v>323</v>
      </c>
      <c r="F846" s="10" t="s">
        <v>71</v>
      </c>
      <c r="G846" s="10" t="s">
        <v>106</v>
      </c>
      <c r="H846" s="10" t="s">
        <v>194</v>
      </c>
      <c r="I846" s="10" t="str">
        <f>VLOOKUP(Table1[[#This Row],[Account Manager ID]],Table2[[Employee ID]:[Full Name]],4,FALSE)</f>
        <v>Nabila Prakasa</v>
      </c>
      <c r="J846" s="10" t="str">
        <f>INDEX(Employee!$D$4:$D$47,MATCH($H$4:$H$1003,Employee!$A$4:$A$47,0))</f>
        <v>Nabila Prakasa</v>
      </c>
      <c r="K846" s="10" t="s">
        <v>57</v>
      </c>
      <c r="L846" s="10" t="s">
        <v>66</v>
      </c>
      <c r="M846" s="10" t="s">
        <v>59</v>
      </c>
      <c r="N846" s="10" t="s">
        <v>67</v>
      </c>
      <c r="O846" s="10" t="s">
        <v>76</v>
      </c>
      <c r="P846" s="10">
        <v>43714</v>
      </c>
      <c r="Q846" s="15">
        <v>35850</v>
      </c>
      <c r="R846" s="15">
        <v>63900</v>
      </c>
      <c r="S846" s="15">
        <f>Table1[[#This Row],[Retail Price]]-Table1[[#This Row],[Cost Price]]</f>
        <v>28050</v>
      </c>
      <c r="T846" s="10">
        <v>5</v>
      </c>
      <c r="U846" s="15">
        <f>Table1[[#This Row],[Profit Margin]]*Table1[[#This Row],[Order Quantity]]</f>
        <v>140250</v>
      </c>
      <c r="V846" s="11">
        <v>0.01</v>
      </c>
      <c r="W846" s="15">
        <f t="shared" si="13"/>
        <v>1402.5</v>
      </c>
      <c r="X846" s="15">
        <f>Table1[[#This Row],[Sub Total]]-Table1[[#This Row],[Discount Rp]]</f>
        <v>138847.5</v>
      </c>
      <c r="Y846" s="15">
        <f ca="1">OFFSET(Helper!$C$3,MATCH(Data!$N$4:$N$1003,Helper!$C$4:$C$9,0),MATCH(Data!$O$4:$O$1003,Helper!$D$3:$F$3,0))</f>
        <v>10000</v>
      </c>
      <c r="Z846" s="16">
        <f ca="1">Table1[[#This Row],[Order Total]]+Table1[[#This Row],[Shipping Cost]]</f>
        <v>148847.5</v>
      </c>
    </row>
    <row r="847" spans="1:26" ht="15.75" customHeight="1" x14ac:dyDescent="0.3">
      <c r="A847" s="9" t="s">
        <v>1722</v>
      </c>
      <c r="B847" s="18">
        <v>43716</v>
      </c>
      <c r="C847" s="10">
        <f>YEAR(Table1[[#This Row],[Order Date]])</f>
        <v>2019</v>
      </c>
      <c r="D847" s="10" t="s">
        <v>1723</v>
      </c>
      <c r="E847" s="10" t="s">
        <v>206</v>
      </c>
      <c r="F847" s="10" t="s">
        <v>71</v>
      </c>
      <c r="G847" s="10" t="s">
        <v>106</v>
      </c>
      <c r="H847" s="10" t="s">
        <v>155</v>
      </c>
      <c r="I847" s="10" t="str">
        <f>VLOOKUP(Table1[[#This Row],[Account Manager ID]],Table2[[Employee ID]:[Full Name]],4,FALSE)</f>
        <v>Puti Nadine Prakasa</v>
      </c>
      <c r="J847" s="10" t="str">
        <f>INDEX(Employee!$D$4:$D$47,MATCH($H$4:$H$1003,Employee!$A$4:$A$47,0))</f>
        <v>Puti Nadine Prakasa</v>
      </c>
      <c r="K847" s="10" t="s">
        <v>117</v>
      </c>
      <c r="L847" s="10" t="s">
        <v>798</v>
      </c>
      <c r="M847" s="10" t="s">
        <v>59</v>
      </c>
      <c r="N847" s="10" t="s">
        <v>60</v>
      </c>
      <c r="O847" s="10" t="s">
        <v>61</v>
      </c>
      <c r="P847" s="10">
        <v>43717</v>
      </c>
      <c r="Q847" s="15">
        <v>780600</v>
      </c>
      <c r="R847" s="15">
        <v>1258950</v>
      </c>
      <c r="S847" s="15">
        <f>Table1[[#This Row],[Retail Price]]-Table1[[#This Row],[Cost Price]]</f>
        <v>478350</v>
      </c>
      <c r="T847" s="10">
        <v>5</v>
      </c>
      <c r="U847" s="15">
        <f>Table1[[#This Row],[Profit Margin]]*Table1[[#This Row],[Order Quantity]]</f>
        <v>2391750</v>
      </c>
      <c r="V847" s="11">
        <v>0.04</v>
      </c>
      <c r="W847" s="15">
        <f t="shared" si="13"/>
        <v>95670</v>
      </c>
      <c r="X847" s="15">
        <f>Table1[[#This Row],[Sub Total]]-Table1[[#This Row],[Discount Rp]]</f>
        <v>2296080</v>
      </c>
      <c r="Y847" s="15">
        <f ca="1">OFFSET(Helper!$C$3,MATCH(Data!$N$4:$N$1003,Helper!$C$4:$C$9,0),MATCH(Data!$O$4:$O$1003,Helper!$D$3:$F$3,0))</f>
        <v>15000</v>
      </c>
      <c r="Z847" s="16">
        <f ca="1">Table1[[#This Row],[Order Total]]+Table1[[#This Row],[Shipping Cost]]</f>
        <v>2311080</v>
      </c>
    </row>
    <row r="848" spans="1:26" ht="15.75" customHeight="1" x14ac:dyDescent="0.3">
      <c r="A848" s="9" t="s">
        <v>1724</v>
      </c>
      <c r="B848" s="18">
        <v>43717</v>
      </c>
      <c r="C848" s="10">
        <f>YEAR(Table1[[#This Row],[Order Date]])</f>
        <v>2019</v>
      </c>
      <c r="D848" s="10" t="s">
        <v>1725</v>
      </c>
      <c r="E848" s="10" t="s">
        <v>1726</v>
      </c>
      <c r="F848" s="10" t="s">
        <v>71</v>
      </c>
      <c r="G848" s="10" t="s">
        <v>72</v>
      </c>
      <c r="H848" s="10" t="s">
        <v>155</v>
      </c>
      <c r="I848" s="10" t="str">
        <f>VLOOKUP(Table1[[#This Row],[Account Manager ID]],Table2[[Employee ID]:[Full Name]],4,FALSE)</f>
        <v>Puti Nadine Prakasa</v>
      </c>
      <c r="J848" s="10" t="str">
        <f>INDEX(Employee!$D$4:$D$47,MATCH($H$4:$H$1003,Employee!$A$4:$A$47,0))</f>
        <v>Puti Nadine Prakasa</v>
      </c>
      <c r="K848" s="10" t="s">
        <v>107</v>
      </c>
      <c r="L848" s="10" t="s">
        <v>113</v>
      </c>
      <c r="M848" s="10" t="s">
        <v>59</v>
      </c>
      <c r="N848" s="10" t="s">
        <v>60</v>
      </c>
      <c r="O848" s="10" t="s">
        <v>61</v>
      </c>
      <c r="P848" s="10">
        <v>43717</v>
      </c>
      <c r="Q848" s="15">
        <v>79950</v>
      </c>
      <c r="R848" s="15">
        <v>129000</v>
      </c>
      <c r="S848" s="15">
        <f>Table1[[#This Row],[Retail Price]]-Table1[[#This Row],[Cost Price]]</f>
        <v>49050</v>
      </c>
      <c r="T848" s="10">
        <v>1</v>
      </c>
      <c r="U848" s="15">
        <f>Table1[[#This Row],[Profit Margin]]*Table1[[#This Row],[Order Quantity]]</f>
        <v>49050</v>
      </c>
      <c r="V848" s="11">
        <v>0.06</v>
      </c>
      <c r="W848" s="15">
        <f t="shared" si="13"/>
        <v>2943</v>
      </c>
      <c r="X848" s="15">
        <f>Table1[[#This Row],[Sub Total]]-Table1[[#This Row],[Discount Rp]]</f>
        <v>46107</v>
      </c>
      <c r="Y848" s="15">
        <f ca="1">OFFSET(Helper!$C$3,MATCH(Data!$N$4:$N$1003,Helper!$C$4:$C$9,0),MATCH(Data!$O$4:$O$1003,Helper!$D$3:$F$3,0))</f>
        <v>15000</v>
      </c>
      <c r="Z848" s="16">
        <f ca="1">Table1[[#This Row],[Order Total]]+Table1[[#This Row],[Shipping Cost]]</f>
        <v>61107</v>
      </c>
    </row>
    <row r="849" spans="1:26" ht="15.75" customHeight="1" x14ac:dyDescent="0.3">
      <c r="A849" s="9" t="s">
        <v>1727</v>
      </c>
      <c r="B849" s="18">
        <v>43719</v>
      </c>
      <c r="C849" s="10">
        <f>YEAR(Table1[[#This Row],[Order Date]])</f>
        <v>2019</v>
      </c>
      <c r="D849" s="10" t="s">
        <v>1728</v>
      </c>
      <c r="E849" s="10" t="s">
        <v>1617</v>
      </c>
      <c r="F849" s="10" t="s">
        <v>71</v>
      </c>
      <c r="G849" s="10" t="s">
        <v>87</v>
      </c>
      <c r="H849" s="10" t="s">
        <v>88</v>
      </c>
      <c r="I849" s="10" t="str">
        <f>VLOOKUP(Table1[[#This Row],[Account Manager ID]],Table2[[Employee ID]:[Full Name]],4,FALSE)</f>
        <v>Bagiya Sihombing</v>
      </c>
      <c r="J849" s="10" t="str">
        <f>INDEX(Employee!$D$4:$D$47,MATCH($H$4:$H$1003,Employee!$A$4:$A$47,0))</f>
        <v>Bagiya Sihombing</v>
      </c>
      <c r="K849" s="10" t="s">
        <v>117</v>
      </c>
      <c r="L849" s="10" t="s">
        <v>546</v>
      </c>
      <c r="M849" s="10" t="s">
        <v>59</v>
      </c>
      <c r="N849" s="10" t="s">
        <v>60</v>
      </c>
      <c r="O849" s="10" t="s">
        <v>61</v>
      </c>
      <c r="P849" s="10">
        <v>43720</v>
      </c>
      <c r="Q849" s="15">
        <v>224250</v>
      </c>
      <c r="R849" s="15">
        <v>521399.99999999994</v>
      </c>
      <c r="S849" s="15">
        <f>Table1[[#This Row],[Retail Price]]-Table1[[#This Row],[Cost Price]]</f>
        <v>297149.99999999994</v>
      </c>
      <c r="T849" s="10">
        <v>32</v>
      </c>
      <c r="U849" s="15">
        <f>Table1[[#This Row],[Profit Margin]]*Table1[[#This Row],[Order Quantity]]</f>
        <v>9508799.9999999981</v>
      </c>
      <c r="V849" s="11">
        <v>0.02</v>
      </c>
      <c r="W849" s="15">
        <f t="shared" si="13"/>
        <v>190175.99999999997</v>
      </c>
      <c r="X849" s="15">
        <f>Table1[[#This Row],[Sub Total]]-Table1[[#This Row],[Discount Rp]]</f>
        <v>9318623.9999999981</v>
      </c>
      <c r="Y849" s="15">
        <f ca="1">OFFSET(Helper!$C$3,MATCH(Data!$N$4:$N$1003,Helper!$C$4:$C$9,0),MATCH(Data!$O$4:$O$1003,Helper!$D$3:$F$3,0))</f>
        <v>15000</v>
      </c>
      <c r="Z849" s="16">
        <f ca="1">Table1[[#This Row],[Order Total]]+Table1[[#This Row],[Shipping Cost]]</f>
        <v>9333623.9999999981</v>
      </c>
    </row>
    <row r="850" spans="1:26" ht="15.75" customHeight="1" x14ac:dyDescent="0.3">
      <c r="A850" s="9" t="s">
        <v>1729</v>
      </c>
      <c r="B850" s="18">
        <v>43720</v>
      </c>
      <c r="C850" s="10">
        <f>YEAR(Table1[[#This Row],[Order Date]])</f>
        <v>2019</v>
      </c>
      <c r="D850" s="10" t="s">
        <v>1672</v>
      </c>
      <c r="E850" s="10" t="s">
        <v>418</v>
      </c>
      <c r="F850" s="10" t="s">
        <v>261</v>
      </c>
      <c r="G850" s="10" t="s">
        <v>55</v>
      </c>
      <c r="H850" s="10" t="s">
        <v>97</v>
      </c>
      <c r="I850" s="10" t="str">
        <f>VLOOKUP(Table1[[#This Row],[Account Manager ID]],Table2[[Employee ID]:[Full Name]],4,FALSE)</f>
        <v>Violet Mentari</v>
      </c>
      <c r="J850" s="10" t="str">
        <f>INDEX(Employee!$D$4:$D$47,MATCH($H$4:$H$1003,Employee!$A$4:$A$47,0))</f>
        <v>Violet Mentari</v>
      </c>
      <c r="K850" s="10" t="s">
        <v>117</v>
      </c>
      <c r="L850" s="10" t="s">
        <v>410</v>
      </c>
      <c r="M850" s="10" t="s">
        <v>81</v>
      </c>
      <c r="N850" s="10" t="s">
        <v>60</v>
      </c>
      <c r="O850" s="10" t="s">
        <v>61</v>
      </c>
      <c r="P850" s="10">
        <v>43720</v>
      </c>
      <c r="Q850" s="15">
        <v>93000</v>
      </c>
      <c r="R850" s="15">
        <v>464700</v>
      </c>
      <c r="S850" s="15">
        <f>Table1[[#This Row],[Retail Price]]-Table1[[#This Row],[Cost Price]]</f>
        <v>371700</v>
      </c>
      <c r="T850" s="10">
        <v>24</v>
      </c>
      <c r="U850" s="15">
        <f>Table1[[#This Row],[Profit Margin]]*Table1[[#This Row],[Order Quantity]]</f>
        <v>8920800</v>
      </c>
      <c r="V850" s="11">
        <v>0.08</v>
      </c>
      <c r="W850" s="15">
        <f t="shared" si="13"/>
        <v>713664</v>
      </c>
      <c r="X850" s="15">
        <f>Table1[[#This Row],[Sub Total]]-Table1[[#This Row],[Discount Rp]]</f>
        <v>8207136</v>
      </c>
      <c r="Y850" s="15">
        <f ca="1">OFFSET(Helper!$C$3,MATCH(Data!$N$4:$N$1003,Helper!$C$4:$C$9,0),MATCH(Data!$O$4:$O$1003,Helper!$D$3:$F$3,0))</f>
        <v>15000</v>
      </c>
      <c r="Z850" s="16">
        <f ca="1">Table1[[#This Row],[Order Total]]+Table1[[#This Row],[Shipping Cost]]</f>
        <v>8222136</v>
      </c>
    </row>
    <row r="851" spans="1:26" ht="15.75" customHeight="1" x14ac:dyDescent="0.3">
      <c r="A851" s="9" t="s">
        <v>1730</v>
      </c>
      <c r="B851" s="18">
        <v>43721</v>
      </c>
      <c r="C851" s="10">
        <f>YEAR(Table1[[#This Row],[Order Date]])</f>
        <v>2019</v>
      </c>
      <c r="D851" s="10" t="s">
        <v>386</v>
      </c>
      <c r="E851" s="10" t="s">
        <v>387</v>
      </c>
      <c r="F851" s="10" t="s">
        <v>71</v>
      </c>
      <c r="G851" s="10" t="s">
        <v>87</v>
      </c>
      <c r="H851" s="10" t="s">
        <v>194</v>
      </c>
      <c r="I851" s="10" t="str">
        <f>VLOOKUP(Table1[[#This Row],[Account Manager ID]],Table2[[Employee ID]:[Full Name]],4,FALSE)</f>
        <v>Nabila Prakasa</v>
      </c>
      <c r="J851" s="10" t="str">
        <f>INDEX(Employee!$D$4:$D$47,MATCH($H$4:$H$1003,Employee!$A$4:$A$47,0))</f>
        <v>Nabila Prakasa</v>
      </c>
      <c r="K851" s="10" t="s">
        <v>92</v>
      </c>
      <c r="L851" s="10" t="s">
        <v>166</v>
      </c>
      <c r="M851" s="10" t="s">
        <v>59</v>
      </c>
      <c r="N851" s="10" t="s">
        <v>136</v>
      </c>
      <c r="O851" s="10" t="s">
        <v>61</v>
      </c>
      <c r="P851" s="10">
        <v>43723</v>
      </c>
      <c r="Q851" s="15">
        <v>14100</v>
      </c>
      <c r="R851" s="15">
        <v>31200</v>
      </c>
      <c r="S851" s="15">
        <f>Table1[[#This Row],[Retail Price]]-Table1[[#This Row],[Cost Price]]</f>
        <v>17100</v>
      </c>
      <c r="T851" s="10">
        <v>49</v>
      </c>
      <c r="U851" s="15">
        <f>Table1[[#This Row],[Profit Margin]]*Table1[[#This Row],[Order Quantity]]</f>
        <v>837900</v>
      </c>
      <c r="V851" s="11">
        <v>0.08</v>
      </c>
      <c r="W851" s="15">
        <f t="shared" si="13"/>
        <v>67032</v>
      </c>
      <c r="X851" s="15">
        <f>Table1[[#This Row],[Sub Total]]-Table1[[#This Row],[Discount Rp]]</f>
        <v>770868</v>
      </c>
      <c r="Y851" s="15">
        <f ca="1">OFFSET(Helper!$C$3,MATCH(Data!$N$4:$N$1003,Helper!$C$4:$C$9,0),MATCH(Data!$O$4:$O$1003,Helper!$D$3:$F$3,0))</f>
        <v>10000</v>
      </c>
      <c r="Z851" s="16">
        <f ca="1">Table1[[#This Row],[Order Total]]+Table1[[#This Row],[Shipping Cost]]</f>
        <v>780868</v>
      </c>
    </row>
    <row r="852" spans="1:26" ht="15.75" customHeight="1" x14ac:dyDescent="0.3">
      <c r="A852" s="9" t="s">
        <v>1731</v>
      </c>
      <c r="B852" s="18">
        <v>43721</v>
      </c>
      <c r="C852" s="10">
        <f>YEAR(Table1[[#This Row],[Order Date]])</f>
        <v>2019</v>
      </c>
      <c r="D852" s="10" t="s">
        <v>914</v>
      </c>
      <c r="E852" s="10" t="s">
        <v>319</v>
      </c>
      <c r="F852" s="10" t="s">
        <v>261</v>
      </c>
      <c r="G852" s="10" t="s">
        <v>106</v>
      </c>
      <c r="H852" s="10" t="s">
        <v>97</v>
      </c>
      <c r="I852" s="10" t="str">
        <f>VLOOKUP(Table1[[#This Row],[Account Manager ID]],Table2[[Employee ID]:[Full Name]],4,FALSE)</f>
        <v>Violet Mentari</v>
      </c>
      <c r="J852" s="10" t="str">
        <f>INDEX(Employee!$D$4:$D$47,MATCH($H$4:$H$1003,Employee!$A$4:$A$47,0))</f>
        <v>Violet Mentari</v>
      </c>
      <c r="K852" s="10" t="s">
        <v>57</v>
      </c>
      <c r="L852" s="10" t="s">
        <v>942</v>
      </c>
      <c r="M852" s="10" t="s">
        <v>81</v>
      </c>
      <c r="N852" s="10" t="s">
        <v>60</v>
      </c>
      <c r="O852" s="10" t="s">
        <v>61</v>
      </c>
      <c r="P852" s="10">
        <v>43724</v>
      </c>
      <c r="Q852" s="15">
        <v>220500</v>
      </c>
      <c r="R852" s="15">
        <v>449850</v>
      </c>
      <c r="S852" s="15">
        <f>Table1[[#This Row],[Retail Price]]-Table1[[#This Row],[Cost Price]]</f>
        <v>229350</v>
      </c>
      <c r="T852" s="10">
        <v>1</v>
      </c>
      <c r="U852" s="15">
        <f>Table1[[#This Row],[Profit Margin]]*Table1[[#This Row],[Order Quantity]]</f>
        <v>229350</v>
      </c>
      <c r="V852" s="11">
        <v>0.04</v>
      </c>
      <c r="W852" s="15">
        <f t="shared" si="13"/>
        <v>9174</v>
      </c>
      <c r="X852" s="15">
        <f>Table1[[#This Row],[Sub Total]]-Table1[[#This Row],[Discount Rp]]</f>
        <v>220176</v>
      </c>
      <c r="Y852" s="15">
        <f ca="1">OFFSET(Helper!$C$3,MATCH(Data!$N$4:$N$1003,Helper!$C$4:$C$9,0),MATCH(Data!$O$4:$O$1003,Helper!$D$3:$F$3,0))</f>
        <v>15000</v>
      </c>
      <c r="Z852" s="16">
        <f ca="1">Table1[[#This Row],[Order Total]]+Table1[[#This Row],[Shipping Cost]]</f>
        <v>235176</v>
      </c>
    </row>
    <row r="853" spans="1:26" ht="15.75" customHeight="1" x14ac:dyDescent="0.3">
      <c r="A853" s="9" t="s">
        <v>1732</v>
      </c>
      <c r="B853" s="18">
        <v>43723</v>
      </c>
      <c r="C853" s="10">
        <f>YEAR(Table1[[#This Row],[Order Date]])</f>
        <v>2019</v>
      </c>
      <c r="D853" s="10" t="s">
        <v>325</v>
      </c>
      <c r="E853" s="10" t="s">
        <v>323</v>
      </c>
      <c r="F853" s="10" t="s">
        <v>71</v>
      </c>
      <c r="G853" s="10" t="s">
        <v>87</v>
      </c>
      <c r="H853" s="10" t="s">
        <v>194</v>
      </c>
      <c r="I853" s="10" t="str">
        <f>VLOOKUP(Table1[[#This Row],[Account Manager ID]],Table2[[Employee ID]:[Full Name]],4,FALSE)</f>
        <v>Nabila Prakasa</v>
      </c>
      <c r="J853" s="10" t="str">
        <f>INDEX(Employee!$D$4:$D$47,MATCH($H$4:$H$1003,Employee!$A$4:$A$47,0))</f>
        <v>Nabila Prakasa</v>
      </c>
      <c r="K853" s="10" t="s">
        <v>74</v>
      </c>
      <c r="L853" s="10" t="s">
        <v>1540</v>
      </c>
      <c r="M853" s="10" t="s">
        <v>59</v>
      </c>
      <c r="N853" s="10" t="s">
        <v>67</v>
      </c>
      <c r="O853" s="10" t="s">
        <v>61</v>
      </c>
      <c r="P853" s="10">
        <v>43725</v>
      </c>
      <c r="Q853" s="15">
        <v>59250</v>
      </c>
      <c r="R853" s="15">
        <v>91200</v>
      </c>
      <c r="S853" s="15">
        <f>Table1[[#This Row],[Retail Price]]-Table1[[#This Row],[Cost Price]]</f>
        <v>31950</v>
      </c>
      <c r="T853" s="10">
        <v>50</v>
      </c>
      <c r="U853" s="15">
        <f>Table1[[#This Row],[Profit Margin]]*Table1[[#This Row],[Order Quantity]]</f>
        <v>1597500</v>
      </c>
      <c r="V853" s="11">
        <v>0.09</v>
      </c>
      <c r="W853" s="15">
        <f t="shared" si="13"/>
        <v>143775</v>
      </c>
      <c r="X853" s="15">
        <f>Table1[[#This Row],[Sub Total]]-Table1[[#This Row],[Discount Rp]]</f>
        <v>1453725</v>
      </c>
      <c r="Y853" s="15">
        <f ca="1">OFFSET(Helper!$C$3,MATCH(Data!$N$4:$N$1003,Helper!$C$4:$C$9,0),MATCH(Data!$O$4:$O$1003,Helper!$D$3:$F$3,0))</f>
        <v>5000</v>
      </c>
      <c r="Z853" s="16">
        <f ca="1">Table1[[#This Row],[Order Total]]+Table1[[#This Row],[Shipping Cost]]</f>
        <v>1458725</v>
      </c>
    </row>
    <row r="854" spans="1:26" ht="15.75" customHeight="1" x14ac:dyDescent="0.3">
      <c r="A854" s="9" t="s">
        <v>1733</v>
      </c>
      <c r="B854" s="18">
        <v>43724</v>
      </c>
      <c r="C854" s="10">
        <f>YEAR(Table1[[#This Row],[Order Date]])</f>
        <v>2019</v>
      </c>
      <c r="D854" s="10" t="s">
        <v>255</v>
      </c>
      <c r="E854" s="10" t="s">
        <v>1510</v>
      </c>
      <c r="F854" s="10" t="s">
        <v>71</v>
      </c>
      <c r="G854" s="10" t="s">
        <v>106</v>
      </c>
      <c r="H854" s="10" t="s">
        <v>88</v>
      </c>
      <c r="I854" s="10" t="str">
        <f>VLOOKUP(Table1[[#This Row],[Account Manager ID]],Table2[[Employee ID]:[Full Name]],4,FALSE)</f>
        <v>Bagiya Sihombing</v>
      </c>
      <c r="J854" s="10" t="str">
        <f>INDEX(Employee!$D$4:$D$47,MATCH($H$4:$H$1003,Employee!$A$4:$A$47,0))</f>
        <v>Bagiya Sihombing</v>
      </c>
      <c r="K854" s="10" t="s">
        <v>74</v>
      </c>
      <c r="L854" s="10" t="s">
        <v>429</v>
      </c>
      <c r="M854" s="10" t="s">
        <v>59</v>
      </c>
      <c r="N854" s="10" t="s">
        <v>60</v>
      </c>
      <c r="O854" s="10" t="s">
        <v>61</v>
      </c>
      <c r="P854" s="10">
        <v>43725</v>
      </c>
      <c r="Q854" s="15">
        <v>29100</v>
      </c>
      <c r="R854" s="15">
        <v>46200</v>
      </c>
      <c r="S854" s="15">
        <f>Table1[[#This Row],[Retail Price]]-Table1[[#This Row],[Cost Price]]</f>
        <v>17100</v>
      </c>
      <c r="T854" s="10">
        <v>11</v>
      </c>
      <c r="U854" s="15">
        <f>Table1[[#This Row],[Profit Margin]]*Table1[[#This Row],[Order Quantity]]</f>
        <v>188100</v>
      </c>
      <c r="V854" s="11">
        <v>0.03</v>
      </c>
      <c r="W854" s="15">
        <f t="shared" si="13"/>
        <v>5643</v>
      </c>
      <c r="X854" s="15">
        <f>Table1[[#This Row],[Sub Total]]-Table1[[#This Row],[Discount Rp]]</f>
        <v>182457</v>
      </c>
      <c r="Y854" s="15">
        <f ca="1">OFFSET(Helper!$C$3,MATCH(Data!$N$4:$N$1003,Helper!$C$4:$C$9,0),MATCH(Data!$O$4:$O$1003,Helper!$D$3:$F$3,0))</f>
        <v>15000</v>
      </c>
      <c r="Z854" s="16">
        <f ca="1">Table1[[#This Row],[Order Total]]+Table1[[#This Row],[Shipping Cost]]</f>
        <v>197457</v>
      </c>
    </row>
    <row r="855" spans="1:26" ht="15.75" customHeight="1" x14ac:dyDescent="0.3">
      <c r="A855" s="9" t="s">
        <v>1734</v>
      </c>
      <c r="B855" s="18">
        <v>43724</v>
      </c>
      <c r="C855" s="10">
        <f>YEAR(Table1[[#This Row],[Order Date]])</f>
        <v>2019</v>
      </c>
      <c r="D855" s="10" t="s">
        <v>1735</v>
      </c>
      <c r="E855" s="10" t="s">
        <v>990</v>
      </c>
      <c r="F855" s="10" t="s">
        <v>71</v>
      </c>
      <c r="G855" s="10" t="s">
        <v>106</v>
      </c>
      <c r="H855" s="10" t="s">
        <v>316</v>
      </c>
      <c r="I855" s="10" t="str">
        <f>VLOOKUP(Table1[[#This Row],[Account Manager ID]],Table2[[Employee ID]:[Full Name]],4,FALSE)</f>
        <v>Sari Winarno</v>
      </c>
      <c r="J855" s="10" t="str">
        <f>INDEX(Employee!$D$4:$D$47,MATCH($H$4:$H$1003,Employee!$A$4:$A$47,0))</f>
        <v>Sari Winarno</v>
      </c>
      <c r="K855" s="10" t="s">
        <v>107</v>
      </c>
      <c r="L855" s="10" t="s">
        <v>130</v>
      </c>
      <c r="M855" s="10" t="s">
        <v>59</v>
      </c>
      <c r="N855" s="10" t="s">
        <v>67</v>
      </c>
      <c r="O855" s="10" t="s">
        <v>61</v>
      </c>
      <c r="P855" s="10">
        <v>43726</v>
      </c>
      <c r="Q855" s="15">
        <v>10650</v>
      </c>
      <c r="R855" s="15">
        <v>17100</v>
      </c>
      <c r="S855" s="15">
        <f>Table1[[#This Row],[Retail Price]]-Table1[[#This Row],[Cost Price]]</f>
        <v>6450</v>
      </c>
      <c r="T855" s="10">
        <v>3</v>
      </c>
      <c r="U855" s="15">
        <f>Table1[[#This Row],[Profit Margin]]*Table1[[#This Row],[Order Quantity]]</f>
        <v>19350</v>
      </c>
      <c r="V855" s="11">
        <v>0.1</v>
      </c>
      <c r="W855" s="15">
        <f t="shared" si="13"/>
        <v>1935</v>
      </c>
      <c r="X855" s="15">
        <f>Table1[[#This Row],[Sub Total]]-Table1[[#This Row],[Discount Rp]]</f>
        <v>17415</v>
      </c>
      <c r="Y855" s="15">
        <f ca="1">OFFSET(Helper!$C$3,MATCH(Data!$N$4:$N$1003,Helper!$C$4:$C$9,0),MATCH(Data!$O$4:$O$1003,Helper!$D$3:$F$3,0))</f>
        <v>5000</v>
      </c>
      <c r="Z855" s="16">
        <f ca="1">Table1[[#This Row],[Order Total]]+Table1[[#This Row],[Shipping Cost]]</f>
        <v>22415</v>
      </c>
    </row>
    <row r="856" spans="1:26" ht="15.75" customHeight="1" x14ac:dyDescent="0.3">
      <c r="A856" s="9" t="s">
        <v>1736</v>
      </c>
      <c r="B856" s="18">
        <v>43732</v>
      </c>
      <c r="C856" s="10">
        <f>YEAR(Table1[[#This Row],[Order Date]])</f>
        <v>2019</v>
      </c>
      <c r="D856" s="10" t="s">
        <v>1315</v>
      </c>
      <c r="E856" s="10" t="s">
        <v>572</v>
      </c>
      <c r="F856" s="10" t="s">
        <v>261</v>
      </c>
      <c r="G856" s="10" t="s">
        <v>72</v>
      </c>
      <c r="H856" s="10" t="s">
        <v>146</v>
      </c>
      <c r="I856" s="10" t="str">
        <f>VLOOKUP(Table1[[#This Row],[Account Manager ID]],Table2[[Employee ID]:[Full Name]],4,FALSE)</f>
        <v>Kenari Rajasa</v>
      </c>
      <c r="J856" s="10" t="str">
        <f>INDEX(Employee!$D$4:$D$47,MATCH($H$4:$H$1003,Employee!$A$4:$A$47,0))</f>
        <v>Kenari Rajasa</v>
      </c>
      <c r="K856" s="10" t="s">
        <v>74</v>
      </c>
      <c r="L856" s="10" t="s">
        <v>390</v>
      </c>
      <c r="M856" s="10" t="s">
        <v>59</v>
      </c>
      <c r="N856" s="10" t="s">
        <v>67</v>
      </c>
      <c r="O856" s="10" t="s">
        <v>61</v>
      </c>
      <c r="P856" s="10">
        <v>43733</v>
      </c>
      <c r="Q856" s="15">
        <v>19650</v>
      </c>
      <c r="R856" s="15">
        <v>42600</v>
      </c>
      <c r="S856" s="15">
        <f>Table1[[#This Row],[Retail Price]]-Table1[[#This Row],[Cost Price]]</f>
        <v>22950</v>
      </c>
      <c r="T856" s="10">
        <v>9</v>
      </c>
      <c r="U856" s="15">
        <f>Table1[[#This Row],[Profit Margin]]*Table1[[#This Row],[Order Quantity]]</f>
        <v>206550</v>
      </c>
      <c r="V856" s="11">
        <v>0.08</v>
      </c>
      <c r="W856" s="15">
        <f t="shared" si="13"/>
        <v>16524</v>
      </c>
      <c r="X856" s="15">
        <f>Table1[[#This Row],[Sub Total]]-Table1[[#This Row],[Discount Rp]]</f>
        <v>190026</v>
      </c>
      <c r="Y856" s="15">
        <f ca="1">OFFSET(Helper!$C$3,MATCH(Data!$N$4:$N$1003,Helper!$C$4:$C$9,0),MATCH(Data!$O$4:$O$1003,Helper!$D$3:$F$3,0))</f>
        <v>5000</v>
      </c>
      <c r="Z856" s="16">
        <f ca="1">Table1[[#This Row],[Order Total]]+Table1[[#This Row],[Shipping Cost]]</f>
        <v>195026</v>
      </c>
    </row>
    <row r="857" spans="1:26" ht="15.75" customHeight="1" x14ac:dyDescent="0.3">
      <c r="A857" s="9" t="s">
        <v>1737</v>
      </c>
      <c r="B857" s="18">
        <v>43734</v>
      </c>
      <c r="C857" s="10">
        <f>YEAR(Table1[[#This Row],[Order Date]])</f>
        <v>2019</v>
      </c>
      <c r="D857" s="10" t="s">
        <v>1065</v>
      </c>
      <c r="E857" s="10" t="s">
        <v>159</v>
      </c>
      <c r="F857" s="10" t="s">
        <v>71</v>
      </c>
      <c r="G857" s="10" t="s">
        <v>55</v>
      </c>
      <c r="H857" s="10" t="s">
        <v>122</v>
      </c>
      <c r="I857" s="10" t="str">
        <f>VLOOKUP(Table1[[#This Row],[Account Manager ID]],Table2[[Employee ID]:[Full Name]],4,FALSE)</f>
        <v>Ophelia Mustofa</v>
      </c>
      <c r="J857" s="10" t="str">
        <f>INDEX(Employee!$D$4:$D$47,MATCH($H$4:$H$1003,Employee!$A$4:$A$47,0))</f>
        <v>Ophelia Mustofa</v>
      </c>
      <c r="K857" s="10" t="s">
        <v>74</v>
      </c>
      <c r="L857" s="10" t="s">
        <v>190</v>
      </c>
      <c r="M857" s="10" t="s">
        <v>81</v>
      </c>
      <c r="N857" s="10" t="s">
        <v>60</v>
      </c>
      <c r="O857" s="10" t="s">
        <v>61</v>
      </c>
      <c r="P857" s="10">
        <v>43736</v>
      </c>
      <c r="Q857" s="15">
        <v>480300.00000000006</v>
      </c>
      <c r="R857" s="15">
        <v>2287200</v>
      </c>
      <c r="S857" s="15">
        <f>Table1[[#This Row],[Retail Price]]-Table1[[#This Row],[Cost Price]]</f>
        <v>1806900</v>
      </c>
      <c r="T857" s="10">
        <v>12</v>
      </c>
      <c r="U857" s="15">
        <f>Table1[[#This Row],[Profit Margin]]*Table1[[#This Row],[Order Quantity]]</f>
        <v>21682800</v>
      </c>
      <c r="V857" s="11">
        <v>0.1</v>
      </c>
      <c r="W857" s="15">
        <f t="shared" si="13"/>
        <v>2168280</v>
      </c>
      <c r="X857" s="15">
        <f>Table1[[#This Row],[Sub Total]]-Table1[[#This Row],[Discount Rp]]</f>
        <v>19514520</v>
      </c>
      <c r="Y857" s="15">
        <f ca="1">OFFSET(Helper!$C$3,MATCH(Data!$N$4:$N$1003,Helper!$C$4:$C$9,0),MATCH(Data!$O$4:$O$1003,Helper!$D$3:$F$3,0))</f>
        <v>15000</v>
      </c>
      <c r="Z857" s="16">
        <f ca="1">Table1[[#This Row],[Order Total]]+Table1[[#This Row],[Shipping Cost]]</f>
        <v>19529520</v>
      </c>
    </row>
    <row r="858" spans="1:26" ht="15.75" customHeight="1" x14ac:dyDescent="0.3">
      <c r="A858" s="9" t="s">
        <v>1738</v>
      </c>
      <c r="B858" s="18">
        <v>43735</v>
      </c>
      <c r="C858" s="10">
        <f>YEAR(Table1[[#This Row],[Order Date]])</f>
        <v>2019</v>
      </c>
      <c r="D858" s="10" t="s">
        <v>1530</v>
      </c>
      <c r="E858" s="10" t="s">
        <v>169</v>
      </c>
      <c r="F858" s="10" t="s">
        <v>54</v>
      </c>
      <c r="G858" s="10" t="s">
        <v>55</v>
      </c>
      <c r="H858" s="10" t="s">
        <v>65</v>
      </c>
      <c r="I858" s="10" t="str">
        <f>VLOOKUP(Table1[[#This Row],[Account Manager ID]],Table2[[Employee ID]:[Full Name]],4,FALSE)</f>
        <v>Laras Nuraini</v>
      </c>
      <c r="J858" s="10" t="str">
        <f>INDEX(Employee!$D$4:$D$47,MATCH($H$4:$H$1003,Employee!$A$4:$A$47,0))</f>
        <v>Laras Nuraini</v>
      </c>
      <c r="K858" s="10" t="s">
        <v>92</v>
      </c>
      <c r="L858" s="10" t="s">
        <v>226</v>
      </c>
      <c r="M858" s="10" t="s">
        <v>81</v>
      </c>
      <c r="N858" s="10" t="s">
        <v>227</v>
      </c>
      <c r="O858" s="10" t="s">
        <v>61</v>
      </c>
      <c r="P858" s="10">
        <v>43735</v>
      </c>
      <c r="Q858" s="15">
        <v>132300</v>
      </c>
      <c r="R858" s="15">
        <v>314850</v>
      </c>
      <c r="S858" s="15">
        <f>Table1[[#This Row],[Retail Price]]-Table1[[#This Row],[Cost Price]]</f>
        <v>182550</v>
      </c>
      <c r="T858" s="10">
        <v>2</v>
      </c>
      <c r="U858" s="15">
        <f>Table1[[#This Row],[Profit Margin]]*Table1[[#This Row],[Order Quantity]]</f>
        <v>365100</v>
      </c>
      <c r="V858" s="11">
        <v>0.01</v>
      </c>
      <c r="W858" s="15">
        <f t="shared" si="13"/>
        <v>3651</v>
      </c>
      <c r="X858" s="15">
        <f>Table1[[#This Row],[Sub Total]]-Table1[[#This Row],[Discount Rp]]</f>
        <v>361449</v>
      </c>
      <c r="Y858" s="15">
        <f ca="1">OFFSET(Helper!$C$3,MATCH(Data!$N$4:$N$1003,Helper!$C$4:$C$9,0),MATCH(Data!$O$4:$O$1003,Helper!$D$3:$F$3,0))</f>
        <v>20000</v>
      </c>
      <c r="Z858" s="16">
        <f ca="1">Table1[[#This Row],[Order Total]]+Table1[[#This Row],[Shipping Cost]]</f>
        <v>381449</v>
      </c>
    </row>
    <row r="859" spans="1:26" ht="15.75" customHeight="1" x14ac:dyDescent="0.3">
      <c r="A859" s="9" t="s">
        <v>1739</v>
      </c>
      <c r="B859" s="18">
        <v>43735</v>
      </c>
      <c r="C859" s="10">
        <f>YEAR(Table1[[#This Row],[Order Date]])</f>
        <v>2019</v>
      </c>
      <c r="D859" s="10" t="s">
        <v>792</v>
      </c>
      <c r="E859" s="10" t="s">
        <v>740</v>
      </c>
      <c r="F859" s="10" t="s">
        <v>71</v>
      </c>
      <c r="G859" s="10" t="s">
        <v>55</v>
      </c>
      <c r="H859" s="10" t="s">
        <v>97</v>
      </c>
      <c r="I859" s="10" t="str">
        <f>VLOOKUP(Table1[[#This Row],[Account Manager ID]],Table2[[Employee ID]:[Full Name]],4,FALSE)</f>
        <v>Violet Mentari</v>
      </c>
      <c r="J859" s="10" t="str">
        <f>INDEX(Employee!$D$4:$D$47,MATCH($H$4:$H$1003,Employee!$A$4:$A$47,0))</f>
        <v>Violet Mentari</v>
      </c>
      <c r="K859" s="10" t="s">
        <v>57</v>
      </c>
      <c r="L859" s="10" t="s">
        <v>190</v>
      </c>
      <c r="M859" s="10" t="s">
        <v>81</v>
      </c>
      <c r="N859" s="10" t="s">
        <v>60</v>
      </c>
      <c r="O859" s="10" t="s">
        <v>61</v>
      </c>
      <c r="P859" s="10">
        <v>43737</v>
      </c>
      <c r="Q859" s="15">
        <v>480300.00000000006</v>
      </c>
      <c r="R859" s="15">
        <v>2287200</v>
      </c>
      <c r="S859" s="15">
        <f>Table1[[#This Row],[Retail Price]]-Table1[[#This Row],[Cost Price]]</f>
        <v>1806900</v>
      </c>
      <c r="T859" s="10">
        <v>37</v>
      </c>
      <c r="U859" s="15">
        <f>Table1[[#This Row],[Profit Margin]]*Table1[[#This Row],[Order Quantity]]</f>
        <v>66855300</v>
      </c>
      <c r="V859" s="11">
        <v>0.1</v>
      </c>
      <c r="W859" s="15">
        <f t="shared" si="13"/>
        <v>6685530</v>
      </c>
      <c r="X859" s="15">
        <f>Table1[[#This Row],[Sub Total]]-Table1[[#This Row],[Discount Rp]]</f>
        <v>60169770</v>
      </c>
      <c r="Y859" s="15">
        <f ca="1">OFFSET(Helper!$C$3,MATCH(Data!$N$4:$N$1003,Helper!$C$4:$C$9,0),MATCH(Data!$O$4:$O$1003,Helper!$D$3:$F$3,0))</f>
        <v>15000</v>
      </c>
      <c r="Z859" s="16">
        <f ca="1">Table1[[#This Row],[Order Total]]+Table1[[#This Row],[Shipping Cost]]</f>
        <v>60184770</v>
      </c>
    </row>
    <row r="860" spans="1:26" ht="15.75" customHeight="1" x14ac:dyDescent="0.3">
      <c r="A860" s="9" t="s">
        <v>1740</v>
      </c>
      <c r="B860" s="18">
        <v>43735</v>
      </c>
      <c r="C860" s="10">
        <f>YEAR(Table1[[#This Row],[Order Date]])</f>
        <v>2019</v>
      </c>
      <c r="D860" s="10" t="s">
        <v>792</v>
      </c>
      <c r="E860" s="10" t="s">
        <v>740</v>
      </c>
      <c r="F860" s="10" t="s">
        <v>71</v>
      </c>
      <c r="G860" s="10" t="s">
        <v>55</v>
      </c>
      <c r="H860" s="10" t="s">
        <v>97</v>
      </c>
      <c r="I860" s="10" t="str">
        <f>VLOOKUP(Table1[[#This Row],[Account Manager ID]],Table2[[Employee ID]:[Full Name]],4,FALSE)</f>
        <v>Violet Mentari</v>
      </c>
      <c r="J860" s="10" t="str">
        <f>INDEX(Employee!$D$4:$D$47,MATCH($H$4:$H$1003,Employee!$A$4:$A$47,0))</f>
        <v>Violet Mentari</v>
      </c>
      <c r="K860" s="10" t="s">
        <v>57</v>
      </c>
      <c r="L860" s="10" t="s">
        <v>300</v>
      </c>
      <c r="M860" s="10" t="s">
        <v>81</v>
      </c>
      <c r="N860" s="10" t="s">
        <v>136</v>
      </c>
      <c r="O860" s="10" t="s">
        <v>61</v>
      </c>
      <c r="P860" s="10">
        <v>43737</v>
      </c>
      <c r="Q860" s="15">
        <v>302700</v>
      </c>
      <c r="R860" s="15">
        <v>531150</v>
      </c>
      <c r="S860" s="15">
        <f>Table1[[#This Row],[Retail Price]]-Table1[[#This Row],[Cost Price]]</f>
        <v>228450</v>
      </c>
      <c r="T860" s="10">
        <v>30</v>
      </c>
      <c r="U860" s="15">
        <f>Table1[[#This Row],[Profit Margin]]*Table1[[#This Row],[Order Quantity]]</f>
        <v>6853500</v>
      </c>
      <c r="V860" s="11">
        <v>0.08</v>
      </c>
      <c r="W860" s="15">
        <f t="shared" si="13"/>
        <v>548280</v>
      </c>
      <c r="X860" s="15">
        <f>Table1[[#This Row],[Sub Total]]-Table1[[#This Row],[Discount Rp]]</f>
        <v>6305220</v>
      </c>
      <c r="Y860" s="15">
        <f ca="1">OFFSET(Helper!$C$3,MATCH(Data!$N$4:$N$1003,Helper!$C$4:$C$9,0),MATCH(Data!$O$4:$O$1003,Helper!$D$3:$F$3,0))</f>
        <v>10000</v>
      </c>
      <c r="Z860" s="16">
        <f ca="1">Table1[[#This Row],[Order Total]]+Table1[[#This Row],[Shipping Cost]]</f>
        <v>6315220</v>
      </c>
    </row>
    <row r="861" spans="1:26" ht="15.75" customHeight="1" x14ac:dyDescent="0.3">
      <c r="A861" s="9" t="s">
        <v>1741</v>
      </c>
      <c r="B861" s="18">
        <v>43735</v>
      </c>
      <c r="C861" s="10">
        <f>YEAR(Table1[[#This Row],[Order Date]])</f>
        <v>2019</v>
      </c>
      <c r="D861" s="10" t="s">
        <v>1742</v>
      </c>
      <c r="E861" s="10" t="s">
        <v>237</v>
      </c>
      <c r="F861" s="10" t="s">
        <v>71</v>
      </c>
      <c r="G861" s="10" t="s">
        <v>72</v>
      </c>
      <c r="H861" s="10" t="s">
        <v>112</v>
      </c>
      <c r="I861" s="10" t="str">
        <f>VLOOKUP(Table1[[#This Row],[Account Manager ID]],Table2[[Employee ID]:[Full Name]],4,FALSE)</f>
        <v>Paiman Firgantoro</v>
      </c>
      <c r="J861" s="10" t="str">
        <f>INDEX(Employee!$D$4:$D$47,MATCH($H$4:$H$1003,Employee!$A$4:$A$47,0))</f>
        <v>Paiman Firgantoro</v>
      </c>
      <c r="K861" s="10" t="s">
        <v>74</v>
      </c>
      <c r="L861" s="10" t="s">
        <v>98</v>
      </c>
      <c r="M861" s="10" t="s">
        <v>59</v>
      </c>
      <c r="N861" s="10" t="s">
        <v>60</v>
      </c>
      <c r="O861" s="10" t="s">
        <v>76</v>
      </c>
      <c r="P861" s="10">
        <v>43736</v>
      </c>
      <c r="Q861" s="15">
        <v>1490850</v>
      </c>
      <c r="R861" s="15">
        <v>2443950</v>
      </c>
      <c r="S861" s="15">
        <f>Table1[[#This Row],[Retail Price]]-Table1[[#This Row],[Cost Price]]</f>
        <v>953100</v>
      </c>
      <c r="T861" s="10">
        <v>36</v>
      </c>
      <c r="U861" s="15">
        <f>Table1[[#This Row],[Profit Margin]]*Table1[[#This Row],[Order Quantity]]</f>
        <v>34311600</v>
      </c>
      <c r="V861" s="11">
        <v>0.05</v>
      </c>
      <c r="W861" s="15">
        <f t="shared" si="13"/>
        <v>1715580</v>
      </c>
      <c r="X861" s="15">
        <f>Table1[[#This Row],[Sub Total]]-Table1[[#This Row],[Discount Rp]]</f>
        <v>32596020</v>
      </c>
      <c r="Y861" s="15">
        <f ca="1">OFFSET(Helper!$C$3,MATCH(Data!$N$4:$N$1003,Helper!$C$4:$C$9,0),MATCH(Data!$O$4:$O$1003,Helper!$D$3:$F$3,0))</f>
        <v>30000</v>
      </c>
      <c r="Z861" s="16">
        <f ca="1">Table1[[#This Row],[Order Total]]+Table1[[#This Row],[Shipping Cost]]</f>
        <v>32626020</v>
      </c>
    </row>
    <row r="862" spans="1:26" ht="15.75" customHeight="1" x14ac:dyDescent="0.3">
      <c r="A862" s="9" t="s">
        <v>1743</v>
      </c>
      <c r="B862" s="18">
        <v>43735</v>
      </c>
      <c r="C862" s="10">
        <f>YEAR(Table1[[#This Row],[Order Date]])</f>
        <v>2019</v>
      </c>
      <c r="D862" s="10" t="s">
        <v>1530</v>
      </c>
      <c r="E862" s="10" t="s">
        <v>169</v>
      </c>
      <c r="F862" s="10" t="s">
        <v>54</v>
      </c>
      <c r="G862" s="10" t="s">
        <v>55</v>
      </c>
      <c r="H862" s="10" t="s">
        <v>65</v>
      </c>
      <c r="I862" s="10" t="str">
        <f>VLOOKUP(Table1[[#This Row],[Account Manager ID]],Table2[[Employee ID]:[Full Name]],4,FALSE)</f>
        <v>Laras Nuraini</v>
      </c>
      <c r="J862" s="10" t="str">
        <f>INDEX(Employee!$D$4:$D$47,MATCH($H$4:$H$1003,Employee!$A$4:$A$47,0))</f>
        <v>Laras Nuraini</v>
      </c>
      <c r="K862" s="10" t="s">
        <v>92</v>
      </c>
      <c r="L862" s="10" t="s">
        <v>130</v>
      </c>
      <c r="M862" s="10" t="s">
        <v>59</v>
      </c>
      <c r="N862" s="10" t="s">
        <v>67</v>
      </c>
      <c r="O862" s="10" t="s">
        <v>61</v>
      </c>
      <c r="P862" s="10">
        <v>43740</v>
      </c>
      <c r="Q862" s="15">
        <v>10650</v>
      </c>
      <c r="R862" s="15">
        <v>17100</v>
      </c>
      <c r="S862" s="15">
        <f>Table1[[#This Row],[Retail Price]]-Table1[[#This Row],[Cost Price]]</f>
        <v>6450</v>
      </c>
      <c r="T862" s="10">
        <v>31</v>
      </c>
      <c r="U862" s="15">
        <f>Table1[[#This Row],[Profit Margin]]*Table1[[#This Row],[Order Quantity]]</f>
        <v>199950</v>
      </c>
      <c r="V862" s="11">
        <v>7.0000000000000007E-2</v>
      </c>
      <c r="W862" s="15">
        <f t="shared" si="13"/>
        <v>13996.500000000002</v>
      </c>
      <c r="X862" s="15">
        <f>Table1[[#This Row],[Sub Total]]-Table1[[#This Row],[Discount Rp]]</f>
        <v>185953.5</v>
      </c>
      <c r="Y862" s="15">
        <f ca="1">OFFSET(Helper!$C$3,MATCH(Data!$N$4:$N$1003,Helper!$C$4:$C$9,0),MATCH(Data!$O$4:$O$1003,Helper!$D$3:$F$3,0))</f>
        <v>5000</v>
      </c>
      <c r="Z862" s="16">
        <f ca="1">Table1[[#This Row],[Order Total]]+Table1[[#This Row],[Shipping Cost]]</f>
        <v>190953.5</v>
      </c>
    </row>
    <row r="863" spans="1:26" ht="15.75" customHeight="1" x14ac:dyDescent="0.3">
      <c r="A863" s="9" t="s">
        <v>1744</v>
      </c>
      <c r="B863" s="18">
        <v>43736</v>
      </c>
      <c r="C863" s="10">
        <f>YEAR(Table1[[#This Row],[Order Date]])</f>
        <v>2019</v>
      </c>
      <c r="D863" s="10" t="s">
        <v>1063</v>
      </c>
      <c r="E863" s="10" t="s">
        <v>892</v>
      </c>
      <c r="F863" s="10" t="s">
        <v>71</v>
      </c>
      <c r="G863" s="10" t="s">
        <v>55</v>
      </c>
      <c r="H863" s="10" t="s">
        <v>97</v>
      </c>
      <c r="I863" s="10" t="str">
        <f>VLOOKUP(Table1[[#This Row],[Account Manager ID]],Table2[[Employee ID]:[Full Name]],4,FALSE)</f>
        <v>Violet Mentari</v>
      </c>
      <c r="J863" s="10" t="str">
        <f>INDEX(Employee!$D$4:$D$47,MATCH($H$4:$H$1003,Employee!$A$4:$A$47,0))</f>
        <v>Violet Mentari</v>
      </c>
      <c r="K863" s="10" t="s">
        <v>92</v>
      </c>
      <c r="L863" s="10" t="s">
        <v>234</v>
      </c>
      <c r="M863" s="10" t="s">
        <v>59</v>
      </c>
      <c r="N863" s="10" t="s">
        <v>60</v>
      </c>
      <c r="O863" s="10" t="s">
        <v>61</v>
      </c>
      <c r="P863" s="10">
        <v>43738</v>
      </c>
      <c r="Q863" s="15">
        <v>208200</v>
      </c>
      <c r="R863" s="15">
        <v>335700</v>
      </c>
      <c r="S863" s="15">
        <f>Table1[[#This Row],[Retail Price]]-Table1[[#This Row],[Cost Price]]</f>
        <v>127500</v>
      </c>
      <c r="T863" s="10">
        <v>11</v>
      </c>
      <c r="U863" s="15">
        <f>Table1[[#This Row],[Profit Margin]]*Table1[[#This Row],[Order Quantity]]</f>
        <v>1402500</v>
      </c>
      <c r="V863" s="11">
        <v>0.01</v>
      </c>
      <c r="W863" s="15">
        <f t="shared" si="13"/>
        <v>14025</v>
      </c>
      <c r="X863" s="15">
        <f>Table1[[#This Row],[Sub Total]]-Table1[[#This Row],[Discount Rp]]</f>
        <v>1388475</v>
      </c>
      <c r="Y863" s="15">
        <f ca="1">OFFSET(Helper!$C$3,MATCH(Data!$N$4:$N$1003,Helper!$C$4:$C$9,0),MATCH(Data!$O$4:$O$1003,Helper!$D$3:$F$3,0))</f>
        <v>15000</v>
      </c>
      <c r="Z863" s="16">
        <f ca="1">Table1[[#This Row],[Order Total]]+Table1[[#This Row],[Shipping Cost]]</f>
        <v>1403475</v>
      </c>
    </row>
    <row r="864" spans="1:26" ht="15.75" customHeight="1" x14ac:dyDescent="0.3">
      <c r="A864" s="9" t="s">
        <v>1745</v>
      </c>
      <c r="B864" s="18">
        <v>43736</v>
      </c>
      <c r="C864" s="10">
        <f>YEAR(Table1[[#This Row],[Order Date]])</f>
        <v>2019</v>
      </c>
      <c r="D864" s="10" t="s">
        <v>307</v>
      </c>
      <c r="E864" s="10" t="s">
        <v>215</v>
      </c>
      <c r="F864" s="10" t="s">
        <v>71</v>
      </c>
      <c r="G864" s="10" t="s">
        <v>72</v>
      </c>
      <c r="H864" s="10" t="s">
        <v>146</v>
      </c>
      <c r="I864" s="10" t="str">
        <f>VLOOKUP(Table1[[#This Row],[Account Manager ID]],Table2[[Employee ID]:[Full Name]],4,FALSE)</f>
        <v>Kenari Rajasa</v>
      </c>
      <c r="J864" s="10" t="str">
        <f>INDEX(Employee!$D$4:$D$47,MATCH($H$4:$H$1003,Employee!$A$4:$A$47,0))</f>
        <v>Kenari Rajasa</v>
      </c>
      <c r="K864" s="10" t="s">
        <v>107</v>
      </c>
      <c r="L864" s="10" t="s">
        <v>89</v>
      </c>
      <c r="M864" s="10" t="s">
        <v>59</v>
      </c>
      <c r="N864" s="10" t="s">
        <v>67</v>
      </c>
      <c r="O864" s="10" t="s">
        <v>76</v>
      </c>
      <c r="P864" s="10">
        <v>43738</v>
      </c>
      <c r="Q864" s="15">
        <v>13500</v>
      </c>
      <c r="R864" s="15">
        <v>31500</v>
      </c>
      <c r="S864" s="15">
        <f>Table1[[#This Row],[Retail Price]]-Table1[[#This Row],[Cost Price]]</f>
        <v>18000</v>
      </c>
      <c r="T864" s="10">
        <v>31</v>
      </c>
      <c r="U864" s="15">
        <f>Table1[[#This Row],[Profit Margin]]*Table1[[#This Row],[Order Quantity]]</f>
        <v>558000</v>
      </c>
      <c r="V864" s="11">
        <v>0.08</v>
      </c>
      <c r="W864" s="15">
        <f t="shared" si="13"/>
        <v>44640</v>
      </c>
      <c r="X864" s="15">
        <f>Table1[[#This Row],[Sub Total]]-Table1[[#This Row],[Discount Rp]]</f>
        <v>513360</v>
      </c>
      <c r="Y864" s="15">
        <f ca="1">OFFSET(Helper!$C$3,MATCH(Data!$N$4:$N$1003,Helper!$C$4:$C$9,0),MATCH(Data!$O$4:$O$1003,Helper!$D$3:$F$3,0))</f>
        <v>10000</v>
      </c>
      <c r="Z864" s="16">
        <f ca="1">Table1[[#This Row],[Order Total]]+Table1[[#This Row],[Shipping Cost]]</f>
        <v>523360</v>
      </c>
    </row>
    <row r="865" spans="1:26" ht="15.75" customHeight="1" x14ac:dyDescent="0.3">
      <c r="A865" s="9" t="s">
        <v>1746</v>
      </c>
      <c r="B865" s="18">
        <v>43739</v>
      </c>
      <c r="C865" s="10">
        <f>YEAR(Table1[[#This Row],[Order Date]])</f>
        <v>2019</v>
      </c>
      <c r="D865" s="10" t="s">
        <v>1700</v>
      </c>
      <c r="E865" s="10" t="s">
        <v>279</v>
      </c>
      <c r="F865" s="10" t="s">
        <v>71</v>
      </c>
      <c r="G865" s="10" t="s">
        <v>55</v>
      </c>
      <c r="H865" s="10" t="s">
        <v>155</v>
      </c>
      <c r="I865" s="10" t="str">
        <f>VLOOKUP(Table1[[#This Row],[Account Manager ID]],Table2[[Employee ID]:[Full Name]],4,FALSE)</f>
        <v>Puti Nadine Prakasa</v>
      </c>
      <c r="J865" s="10" t="str">
        <f>INDEX(Employee!$D$4:$D$47,MATCH($H$4:$H$1003,Employee!$A$4:$A$47,0))</f>
        <v>Puti Nadine Prakasa</v>
      </c>
      <c r="K865" s="10" t="s">
        <v>92</v>
      </c>
      <c r="L865" s="10" t="s">
        <v>156</v>
      </c>
      <c r="M865" s="10" t="s">
        <v>81</v>
      </c>
      <c r="N865" s="10" t="s">
        <v>60</v>
      </c>
      <c r="O865" s="10" t="s">
        <v>61</v>
      </c>
      <c r="P865" s="10">
        <v>43741</v>
      </c>
      <c r="Q865" s="15">
        <v>1223850</v>
      </c>
      <c r="R865" s="15">
        <v>2399850</v>
      </c>
      <c r="S865" s="15">
        <f>Table1[[#This Row],[Retail Price]]-Table1[[#This Row],[Cost Price]]</f>
        <v>1176000</v>
      </c>
      <c r="T865" s="10">
        <v>31</v>
      </c>
      <c r="U865" s="15">
        <f>Table1[[#This Row],[Profit Margin]]*Table1[[#This Row],[Order Quantity]]</f>
        <v>36456000</v>
      </c>
      <c r="V865" s="11">
        <v>0.01</v>
      </c>
      <c r="W865" s="15">
        <f t="shared" si="13"/>
        <v>364560</v>
      </c>
      <c r="X865" s="15">
        <f>Table1[[#This Row],[Sub Total]]-Table1[[#This Row],[Discount Rp]]</f>
        <v>36091440</v>
      </c>
      <c r="Y865" s="15">
        <f ca="1">OFFSET(Helper!$C$3,MATCH(Data!$N$4:$N$1003,Helper!$C$4:$C$9,0),MATCH(Data!$O$4:$O$1003,Helper!$D$3:$F$3,0))</f>
        <v>15000</v>
      </c>
      <c r="Z865" s="16">
        <f ca="1">Table1[[#This Row],[Order Total]]+Table1[[#This Row],[Shipping Cost]]</f>
        <v>36106440</v>
      </c>
    </row>
    <row r="866" spans="1:26" ht="15.75" customHeight="1" x14ac:dyDescent="0.3">
      <c r="A866" s="9" t="s">
        <v>1747</v>
      </c>
      <c r="B866" s="18">
        <v>43740</v>
      </c>
      <c r="C866" s="10">
        <f>YEAR(Table1[[#This Row],[Order Date]])</f>
        <v>2019</v>
      </c>
      <c r="D866" s="10" t="s">
        <v>1748</v>
      </c>
      <c r="E866" s="10" t="s">
        <v>1230</v>
      </c>
      <c r="F866" s="10" t="s">
        <v>71</v>
      </c>
      <c r="G866" s="10" t="s">
        <v>87</v>
      </c>
      <c r="H866" s="10" t="s">
        <v>122</v>
      </c>
      <c r="I866" s="10" t="str">
        <f>VLOOKUP(Table1[[#This Row],[Account Manager ID]],Table2[[Employee ID]:[Full Name]],4,FALSE)</f>
        <v>Ophelia Mustofa</v>
      </c>
      <c r="J866" s="10" t="str">
        <f>INDEX(Employee!$D$4:$D$47,MATCH($H$4:$H$1003,Employee!$A$4:$A$47,0))</f>
        <v>Ophelia Mustofa</v>
      </c>
      <c r="K866" s="10" t="s">
        <v>117</v>
      </c>
      <c r="L866" s="10" t="s">
        <v>530</v>
      </c>
      <c r="M866" s="10" t="s">
        <v>59</v>
      </c>
      <c r="N866" s="10" t="s">
        <v>136</v>
      </c>
      <c r="O866" s="10" t="s">
        <v>61</v>
      </c>
      <c r="P866" s="10">
        <v>43741</v>
      </c>
      <c r="Q866" s="15">
        <v>37500</v>
      </c>
      <c r="R866" s="15">
        <v>85200</v>
      </c>
      <c r="S866" s="15">
        <f>Table1[[#This Row],[Retail Price]]-Table1[[#This Row],[Cost Price]]</f>
        <v>47700</v>
      </c>
      <c r="T866" s="10">
        <v>27</v>
      </c>
      <c r="U866" s="15">
        <f>Table1[[#This Row],[Profit Margin]]*Table1[[#This Row],[Order Quantity]]</f>
        <v>1287900</v>
      </c>
      <c r="V866" s="11">
        <v>0.03</v>
      </c>
      <c r="W866" s="15">
        <f t="shared" si="13"/>
        <v>38637</v>
      </c>
      <c r="X866" s="15">
        <f>Table1[[#This Row],[Sub Total]]-Table1[[#This Row],[Discount Rp]]</f>
        <v>1249263</v>
      </c>
      <c r="Y866" s="15">
        <f ca="1">OFFSET(Helper!$C$3,MATCH(Data!$N$4:$N$1003,Helper!$C$4:$C$9,0),MATCH(Data!$O$4:$O$1003,Helper!$D$3:$F$3,0))</f>
        <v>10000</v>
      </c>
      <c r="Z866" s="16">
        <f ca="1">Table1[[#This Row],[Order Total]]+Table1[[#This Row],[Shipping Cost]]</f>
        <v>1259263</v>
      </c>
    </row>
    <row r="867" spans="1:26" ht="15.75" customHeight="1" x14ac:dyDescent="0.3">
      <c r="A867" s="9" t="s">
        <v>1749</v>
      </c>
      <c r="B867" s="18">
        <v>43741</v>
      </c>
      <c r="C867" s="10">
        <f>YEAR(Table1[[#This Row],[Order Date]])</f>
        <v>2019</v>
      </c>
      <c r="D867" s="10" t="s">
        <v>1750</v>
      </c>
      <c r="E867" s="10" t="s">
        <v>1160</v>
      </c>
      <c r="F867" s="10" t="s">
        <v>71</v>
      </c>
      <c r="G867" s="10" t="s">
        <v>87</v>
      </c>
      <c r="H867" s="10" t="s">
        <v>304</v>
      </c>
      <c r="I867" s="10" t="str">
        <f>VLOOKUP(Table1[[#This Row],[Account Manager ID]],Table2[[Employee ID]:[Full Name]],4,FALSE)</f>
        <v>Sutan Tirtayasa Wasita</v>
      </c>
      <c r="J867" s="10" t="str">
        <f>INDEX(Employee!$D$4:$D$47,MATCH($H$4:$H$1003,Employee!$A$4:$A$47,0))</f>
        <v>Sutan Tirtayasa Wasita</v>
      </c>
      <c r="K867" s="10" t="s">
        <v>57</v>
      </c>
      <c r="L867" s="10" t="s">
        <v>238</v>
      </c>
      <c r="M867" s="10" t="s">
        <v>59</v>
      </c>
      <c r="N867" s="10" t="s">
        <v>67</v>
      </c>
      <c r="O867" s="10" t="s">
        <v>61</v>
      </c>
      <c r="P867" s="10">
        <v>43742</v>
      </c>
      <c r="Q867" s="15">
        <v>323400</v>
      </c>
      <c r="R867" s="15">
        <v>548250</v>
      </c>
      <c r="S867" s="15">
        <f>Table1[[#This Row],[Retail Price]]-Table1[[#This Row],[Cost Price]]</f>
        <v>224850</v>
      </c>
      <c r="T867" s="10">
        <v>34</v>
      </c>
      <c r="U867" s="15">
        <f>Table1[[#This Row],[Profit Margin]]*Table1[[#This Row],[Order Quantity]]</f>
        <v>7644900</v>
      </c>
      <c r="V867" s="11">
        <v>0.1</v>
      </c>
      <c r="W867" s="15">
        <f t="shared" si="13"/>
        <v>764490</v>
      </c>
      <c r="X867" s="15">
        <f>Table1[[#This Row],[Sub Total]]-Table1[[#This Row],[Discount Rp]]</f>
        <v>6880410</v>
      </c>
      <c r="Y867" s="15">
        <f ca="1">OFFSET(Helper!$C$3,MATCH(Data!$N$4:$N$1003,Helper!$C$4:$C$9,0),MATCH(Data!$O$4:$O$1003,Helper!$D$3:$F$3,0))</f>
        <v>5000</v>
      </c>
      <c r="Z867" s="16">
        <f ca="1">Table1[[#This Row],[Order Total]]+Table1[[#This Row],[Shipping Cost]]</f>
        <v>6885410</v>
      </c>
    </row>
    <row r="868" spans="1:26" ht="15.75" customHeight="1" x14ac:dyDescent="0.3">
      <c r="A868" s="9" t="s">
        <v>1751</v>
      </c>
      <c r="B868" s="18">
        <v>43741</v>
      </c>
      <c r="C868" s="10">
        <f>YEAR(Table1[[#This Row],[Order Date]])</f>
        <v>2019</v>
      </c>
      <c r="D868" s="10" t="s">
        <v>839</v>
      </c>
      <c r="E868" s="10" t="s">
        <v>539</v>
      </c>
      <c r="F868" s="10" t="s">
        <v>71</v>
      </c>
      <c r="G868" s="10" t="s">
        <v>87</v>
      </c>
      <c r="H868" s="10" t="s">
        <v>146</v>
      </c>
      <c r="I868" s="10" t="str">
        <f>VLOOKUP(Table1[[#This Row],[Account Manager ID]],Table2[[Employee ID]:[Full Name]],4,FALSE)</f>
        <v>Kenari Rajasa</v>
      </c>
      <c r="J868" s="10" t="str">
        <f>INDEX(Employee!$D$4:$D$47,MATCH($H$4:$H$1003,Employee!$A$4:$A$47,0))</f>
        <v>Kenari Rajasa</v>
      </c>
      <c r="K868" s="10" t="s">
        <v>117</v>
      </c>
      <c r="L868" s="10" t="s">
        <v>442</v>
      </c>
      <c r="M868" s="10" t="s">
        <v>59</v>
      </c>
      <c r="N868" s="10" t="s">
        <v>67</v>
      </c>
      <c r="O868" s="10" t="s">
        <v>76</v>
      </c>
      <c r="P868" s="10">
        <v>43741</v>
      </c>
      <c r="Q868" s="15">
        <v>22950</v>
      </c>
      <c r="R868" s="15">
        <v>41700</v>
      </c>
      <c r="S868" s="15">
        <f>Table1[[#This Row],[Retail Price]]-Table1[[#This Row],[Cost Price]]</f>
        <v>18750</v>
      </c>
      <c r="T868" s="10">
        <v>47</v>
      </c>
      <c r="U868" s="15">
        <f>Table1[[#This Row],[Profit Margin]]*Table1[[#This Row],[Order Quantity]]</f>
        <v>881250</v>
      </c>
      <c r="V868" s="11">
        <v>0.1</v>
      </c>
      <c r="W868" s="15">
        <f t="shared" si="13"/>
        <v>88125</v>
      </c>
      <c r="X868" s="15">
        <f>Table1[[#This Row],[Sub Total]]-Table1[[#This Row],[Discount Rp]]</f>
        <v>793125</v>
      </c>
      <c r="Y868" s="15">
        <f ca="1">OFFSET(Helper!$C$3,MATCH(Data!$N$4:$N$1003,Helper!$C$4:$C$9,0),MATCH(Data!$O$4:$O$1003,Helper!$D$3:$F$3,0))</f>
        <v>10000</v>
      </c>
      <c r="Z868" s="16">
        <f ca="1">Table1[[#This Row],[Order Total]]+Table1[[#This Row],[Shipping Cost]]</f>
        <v>803125</v>
      </c>
    </row>
    <row r="869" spans="1:26" ht="15.75" customHeight="1" x14ac:dyDescent="0.3">
      <c r="A869" s="9" t="s">
        <v>1752</v>
      </c>
      <c r="B869" s="18">
        <v>43741</v>
      </c>
      <c r="C869" s="10">
        <f>YEAR(Table1[[#This Row],[Order Date]])</f>
        <v>2019</v>
      </c>
      <c r="D869" s="10" t="s">
        <v>839</v>
      </c>
      <c r="E869" s="10" t="s">
        <v>539</v>
      </c>
      <c r="F869" s="10" t="s">
        <v>71</v>
      </c>
      <c r="G869" s="10" t="s">
        <v>87</v>
      </c>
      <c r="H869" s="10" t="s">
        <v>146</v>
      </c>
      <c r="I869" s="10" t="str">
        <f>VLOOKUP(Table1[[#This Row],[Account Manager ID]],Table2[[Employee ID]:[Full Name]],4,FALSE)</f>
        <v>Kenari Rajasa</v>
      </c>
      <c r="J869" s="10" t="str">
        <f>INDEX(Employee!$D$4:$D$47,MATCH($H$4:$H$1003,Employee!$A$4:$A$47,0))</f>
        <v>Kenari Rajasa</v>
      </c>
      <c r="K869" s="10" t="s">
        <v>117</v>
      </c>
      <c r="L869" s="10" t="s">
        <v>341</v>
      </c>
      <c r="M869" s="10" t="s">
        <v>59</v>
      </c>
      <c r="N869" s="10" t="s">
        <v>67</v>
      </c>
      <c r="O869" s="10" t="s">
        <v>61</v>
      </c>
      <c r="P869" s="10">
        <v>43744</v>
      </c>
      <c r="Q869" s="15">
        <v>24000</v>
      </c>
      <c r="R869" s="15">
        <v>39300</v>
      </c>
      <c r="S869" s="15">
        <f>Table1[[#This Row],[Retail Price]]-Table1[[#This Row],[Cost Price]]</f>
        <v>15300</v>
      </c>
      <c r="T869" s="10">
        <v>30</v>
      </c>
      <c r="U869" s="15">
        <f>Table1[[#This Row],[Profit Margin]]*Table1[[#This Row],[Order Quantity]]</f>
        <v>459000</v>
      </c>
      <c r="V869" s="11">
        <v>0.05</v>
      </c>
      <c r="W869" s="15">
        <f t="shared" si="13"/>
        <v>22950</v>
      </c>
      <c r="X869" s="15">
        <f>Table1[[#This Row],[Sub Total]]-Table1[[#This Row],[Discount Rp]]</f>
        <v>436050</v>
      </c>
      <c r="Y869" s="15">
        <f ca="1">OFFSET(Helper!$C$3,MATCH(Data!$N$4:$N$1003,Helper!$C$4:$C$9,0),MATCH(Data!$O$4:$O$1003,Helper!$D$3:$F$3,0))</f>
        <v>5000</v>
      </c>
      <c r="Z869" s="16">
        <f ca="1">Table1[[#This Row],[Order Total]]+Table1[[#This Row],[Shipping Cost]]</f>
        <v>441050</v>
      </c>
    </row>
    <row r="870" spans="1:26" ht="15.75" customHeight="1" x14ac:dyDescent="0.3">
      <c r="A870" s="12" t="s">
        <v>1753</v>
      </c>
      <c r="B870" s="18">
        <v>43746</v>
      </c>
      <c r="C870" s="10">
        <f>YEAR(Table1[[#This Row],[Order Date]])</f>
        <v>2019</v>
      </c>
      <c r="D870" s="10" t="s">
        <v>1039</v>
      </c>
      <c r="E870" s="10" t="s">
        <v>572</v>
      </c>
      <c r="F870" s="10" t="s">
        <v>261</v>
      </c>
      <c r="G870" s="10" t="s">
        <v>72</v>
      </c>
      <c r="H870" s="10" t="s">
        <v>146</v>
      </c>
      <c r="I870" s="10" t="str">
        <f>VLOOKUP(Table1[[#This Row],[Account Manager ID]],Table2[[Employee ID]:[Full Name]],4,FALSE)</f>
        <v>Kenari Rajasa</v>
      </c>
      <c r="J870" s="10" t="str">
        <f>INDEX(Employee!$D$4:$D$47,MATCH($H$4:$H$1003,Employee!$A$4:$A$47,0))</f>
        <v>Kenari Rajasa</v>
      </c>
      <c r="K870" s="10" t="s">
        <v>107</v>
      </c>
      <c r="L870" s="10" t="s">
        <v>331</v>
      </c>
      <c r="M870" s="10" t="s">
        <v>59</v>
      </c>
      <c r="N870" s="10" t="s">
        <v>67</v>
      </c>
      <c r="O870" s="10" t="s">
        <v>61</v>
      </c>
      <c r="P870" s="10">
        <v>43748</v>
      </c>
      <c r="Q870" s="15">
        <v>43500</v>
      </c>
      <c r="R870" s="15">
        <v>71400</v>
      </c>
      <c r="S870" s="15">
        <f>Table1[[#This Row],[Retail Price]]-Table1[[#This Row],[Cost Price]]</f>
        <v>27900</v>
      </c>
      <c r="T870" s="10">
        <v>5</v>
      </c>
      <c r="U870" s="15">
        <f>Table1[[#This Row],[Profit Margin]]*Table1[[#This Row],[Order Quantity]]</f>
        <v>139500</v>
      </c>
      <c r="V870" s="11">
        <v>0.09</v>
      </c>
      <c r="W870" s="15">
        <f t="shared" si="13"/>
        <v>12555</v>
      </c>
      <c r="X870" s="15">
        <f>Table1[[#This Row],[Sub Total]]-Table1[[#This Row],[Discount Rp]]</f>
        <v>126945</v>
      </c>
      <c r="Y870" s="15">
        <f ca="1">OFFSET(Helper!$C$3,MATCH(Data!$N$4:$N$1003,Helper!$C$4:$C$9,0),MATCH(Data!$O$4:$O$1003,Helper!$D$3:$F$3,0))</f>
        <v>5000</v>
      </c>
      <c r="Z870" s="16">
        <f ca="1">Table1[[#This Row],[Order Total]]+Table1[[#This Row],[Shipping Cost]]</f>
        <v>131945</v>
      </c>
    </row>
    <row r="871" spans="1:26" ht="15.75" customHeight="1" x14ac:dyDescent="0.3">
      <c r="A871" s="12" t="s">
        <v>1754</v>
      </c>
      <c r="B871" s="18">
        <v>43749</v>
      </c>
      <c r="C871" s="10">
        <f>YEAR(Table1[[#This Row],[Order Date]])</f>
        <v>2019</v>
      </c>
      <c r="D871" s="10" t="s">
        <v>670</v>
      </c>
      <c r="E871" s="10" t="s">
        <v>462</v>
      </c>
      <c r="F871" s="10" t="s">
        <v>71</v>
      </c>
      <c r="G871" s="10" t="s">
        <v>72</v>
      </c>
      <c r="H871" s="10" t="s">
        <v>112</v>
      </c>
      <c r="I871" s="10" t="str">
        <f>VLOOKUP(Table1[[#This Row],[Account Manager ID]],Table2[[Employee ID]:[Full Name]],4,FALSE)</f>
        <v>Paiman Firgantoro</v>
      </c>
      <c r="J871" s="10" t="str">
        <f>INDEX(Employee!$D$4:$D$47,MATCH($H$4:$H$1003,Employee!$A$4:$A$47,0))</f>
        <v>Paiman Firgantoro</v>
      </c>
      <c r="K871" s="10" t="s">
        <v>117</v>
      </c>
      <c r="L871" s="10" t="s">
        <v>437</v>
      </c>
      <c r="M871" s="10" t="s">
        <v>59</v>
      </c>
      <c r="N871" s="10" t="s">
        <v>60</v>
      </c>
      <c r="O871" s="10" t="s">
        <v>61</v>
      </c>
      <c r="P871" s="10">
        <v>43751</v>
      </c>
      <c r="Q871" s="15">
        <v>27600</v>
      </c>
      <c r="R871" s="15">
        <v>43200</v>
      </c>
      <c r="S871" s="15">
        <f>Table1[[#This Row],[Retail Price]]-Table1[[#This Row],[Cost Price]]</f>
        <v>15600</v>
      </c>
      <c r="T871" s="10">
        <v>25</v>
      </c>
      <c r="U871" s="15">
        <f>Table1[[#This Row],[Profit Margin]]*Table1[[#This Row],[Order Quantity]]</f>
        <v>390000</v>
      </c>
      <c r="V871" s="11">
        <v>0.04</v>
      </c>
      <c r="W871" s="15">
        <f t="shared" si="13"/>
        <v>15600</v>
      </c>
      <c r="X871" s="15">
        <f>Table1[[#This Row],[Sub Total]]-Table1[[#This Row],[Discount Rp]]</f>
        <v>374400</v>
      </c>
      <c r="Y871" s="15">
        <f ca="1">OFFSET(Helper!$C$3,MATCH(Data!$N$4:$N$1003,Helper!$C$4:$C$9,0),MATCH(Data!$O$4:$O$1003,Helper!$D$3:$F$3,0))</f>
        <v>15000</v>
      </c>
      <c r="Z871" s="16">
        <f ca="1">Table1[[#This Row],[Order Total]]+Table1[[#This Row],[Shipping Cost]]</f>
        <v>389400</v>
      </c>
    </row>
    <row r="872" spans="1:26" ht="15.75" customHeight="1" x14ac:dyDescent="0.3">
      <c r="A872" s="9" t="s">
        <v>1755</v>
      </c>
      <c r="B872" s="18">
        <v>43750</v>
      </c>
      <c r="C872" s="10">
        <f>YEAR(Table1[[#This Row],[Order Date]])</f>
        <v>2019</v>
      </c>
      <c r="D872" s="10" t="s">
        <v>1605</v>
      </c>
      <c r="E872" s="10" t="s">
        <v>1606</v>
      </c>
      <c r="F872" s="10" t="s">
        <v>261</v>
      </c>
      <c r="G872" s="10" t="s">
        <v>106</v>
      </c>
      <c r="H872" s="10" t="s">
        <v>97</v>
      </c>
      <c r="I872" s="10" t="str">
        <f>VLOOKUP(Table1[[#This Row],[Account Manager ID]],Table2[[Employee ID]:[Full Name]],4,FALSE)</f>
        <v>Violet Mentari</v>
      </c>
      <c r="J872" s="10" t="str">
        <f>INDEX(Employee!$D$4:$D$47,MATCH($H$4:$H$1003,Employee!$A$4:$A$47,0))</f>
        <v>Violet Mentari</v>
      </c>
      <c r="K872" s="10" t="s">
        <v>92</v>
      </c>
      <c r="L872" s="10" t="s">
        <v>510</v>
      </c>
      <c r="M872" s="10" t="s">
        <v>59</v>
      </c>
      <c r="N872" s="10" t="s">
        <v>67</v>
      </c>
      <c r="O872" s="10" t="s">
        <v>76</v>
      </c>
      <c r="P872" s="10">
        <v>43755</v>
      </c>
      <c r="Q872" s="15">
        <v>49800</v>
      </c>
      <c r="R872" s="15">
        <v>77700</v>
      </c>
      <c r="S872" s="15">
        <f>Table1[[#This Row],[Retail Price]]-Table1[[#This Row],[Cost Price]]</f>
        <v>27900</v>
      </c>
      <c r="T872" s="10">
        <v>1</v>
      </c>
      <c r="U872" s="15">
        <f>Table1[[#This Row],[Profit Margin]]*Table1[[#This Row],[Order Quantity]]</f>
        <v>27900</v>
      </c>
      <c r="V872" s="11">
        <v>0.02</v>
      </c>
      <c r="W872" s="15">
        <f t="shared" si="13"/>
        <v>558</v>
      </c>
      <c r="X872" s="15">
        <f>Table1[[#This Row],[Sub Total]]-Table1[[#This Row],[Discount Rp]]</f>
        <v>27342</v>
      </c>
      <c r="Y872" s="15">
        <f ca="1">OFFSET(Helper!$C$3,MATCH(Data!$N$4:$N$1003,Helper!$C$4:$C$9,0),MATCH(Data!$O$4:$O$1003,Helper!$D$3:$F$3,0))</f>
        <v>10000</v>
      </c>
      <c r="Z872" s="16">
        <f ca="1">Table1[[#This Row],[Order Total]]+Table1[[#This Row],[Shipping Cost]]</f>
        <v>37342</v>
      </c>
    </row>
    <row r="873" spans="1:26" ht="15.75" customHeight="1" x14ac:dyDescent="0.3">
      <c r="A873" s="12" t="s">
        <v>1756</v>
      </c>
      <c r="B873" s="18">
        <v>43750</v>
      </c>
      <c r="C873" s="10">
        <f>YEAR(Table1[[#This Row],[Order Date]])</f>
        <v>2019</v>
      </c>
      <c r="D873" s="10" t="s">
        <v>1605</v>
      </c>
      <c r="E873" s="10" t="s">
        <v>1606</v>
      </c>
      <c r="F873" s="10" t="s">
        <v>261</v>
      </c>
      <c r="G873" s="10" t="s">
        <v>106</v>
      </c>
      <c r="H873" s="10" t="s">
        <v>97</v>
      </c>
      <c r="I873" s="10" t="str">
        <f>VLOOKUP(Table1[[#This Row],[Account Manager ID]],Table2[[Employee ID]:[Full Name]],4,FALSE)</f>
        <v>Violet Mentari</v>
      </c>
      <c r="J873" s="10" t="str">
        <f>INDEX(Employee!$D$4:$D$47,MATCH($H$4:$H$1003,Employee!$A$4:$A$47,0))</f>
        <v>Violet Mentari</v>
      </c>
      <c r="K873" s="10" t="s">
        <v>92</v>
      </c>
      <c r="L873" s="10" t="s">
        <v>412</v>
      </c>
      <c r="M873" s="10" t="s">
        <v>59</v>
      </c>
      <c r="N873" s="10" t="s">
        <v>67</v>
      </c>
      <c r="O873" s="10" t="s">
        <v>61</v>
      </c>
      <c r="P873" s="10">
        <v>43754</v>
      </c>
      <c r="Q873" s="15">
        <v>44700</v>
      </c>
      <c r="R873" s="15">
        <v>87600</v>
      </c>
      <c r="S873" s="15">
        <f>Table1[[#This Row],[Retail Price]]-Table1[[#This Row],[Cost Price]]</f>
        <v>42900</v>
      </c>
      <c r="T873" s="10">
        <v>4</v>
      </c>
      <c r="U873" s="15">
        <f>Table1[[#This Row],[Profit Margin]]*Table1[[#This Row],[Order Quantity]]</f>
        <v>171600</v>
      </c>
      <c r="V873" s="11">
        <v>0.09</v>
      </c>
      <c r="W873" s="15">
        <f t="shared" si="13"/>
        <v>15444</v>
      </c>
      <c r="X873" s="15">
        <f>Table1[[#This Row],[Sub Total]]-Table1[[#This Row],[Discount Rp]]</f>
        <v>156156</v>
      </c>
      <c r="Y873" s="15">
        <f ca="1">OFFSET(Helper!$C$3,MATCH(Data!$N$4:$N$1003,Helper!$C$4:$C$9,0),MATCH(Data!$O$4:$O$1003,Helper!$D$3:$F$3,0))</f>
        <v>5000</v>
      </c>
      <c r="Z873" s="16">
        <f ca="1">Table1[[#This Row],[Order Total]]+Table1[[#This Row],[Shipping Cost]]</f>
        <v>161156</v>
      </c>
    </row>
    <row r="874" spans="1:26" ht="15.75" customHeight="1" x14ac:dyDescent="0.3">
      <c r="A874" s="9" t="s">
        <v>1757</v>
      </c>
      <c r="B874" s="18">
        <v>43750</v>
      </c>
      <c r="C874" s="10">
        <f>YEAR(Table1[[#This Row],[Order Date]])</f>
        <v>2019</v>
      </c>
      <c r="D874" s="10" t="s">
        <v>1340</v>
      </c>
      <c r="E874" s="10" t="s">
        <v>154</v>
      </c>
      <c r="F874" s="10" t="s">
        <v>71</v>
      </c>
      <c r="G874" s="10" t="s">
        <v>72</v>
      </c>
      <c r="H874" s="10" t="s">
        <v>155</v>
      </c>
      <c r="I874" s="10" t="str">
        <f>VLOOKUP(Table1[[#This Row],[Account Manager ID]],Table2[[Employee ID]:[Full Name]],4,FALSE)</f>
        <v>Puti Nadine Prakasa</v>
      </c>
      <c r="J874" s="10" t="str">
        <f>INDEX(Employee!$D$4:$D$47,MATCH($H$4:$H$1003,Employee!$A$4:$A$47,0))</f>
        <v>Puti Nadine Prakasa</v>
      </c>
      <c r="K874" s="10" t="s">
        <v>74</v>
      </c>
      <c r="L874" s="10" t="s">
        <v>684</v>
      </c>
      <c r="M874" s="10" t="s">
        <v>59</v>
      </c>
      <c r="N874" s="10" t="s">
        <v>60</v>
      </c>
      <c r="O874" s="10" t="s">
        <v>61</v>
      </c>
      <c r="P874" s="10">
        <v>43752</v>
      </c>
      <c r="Q874" s="15">
        <v>47100</v>
      </c>
      <c r="R874" s="15">
        <v>73650</v>
      </c>
      <c r="S874" s="15">
        <f>Table1[[#This Row],[Retail Price]]-Table1[[#This Row],[Cost Price]]</f>
        <v>26550</v>
      </c>
      <c r="T874" s="10">
        <v>28</v>
      </c>
      <c r="U874" s="15">
        <f>Table1[[#This Row],[Profit Margin]]*Table1[[#This Row],[Order Quantity]]</f>
        <v>743400</v>
      </c>
      <c r="V874" s="11">
        <v>0.08</v>
      </c>
      <c r="W874" s="15">
        <f t="shared" si="13"/>
        <v>59472</v>
      </c>
      <c r="X874" s="15">
        <f>Table1[[#This Row],[Sub Total]]-Table1[[#This Row],[Discount Rp]]</f>
        <v>683928</v>
      </c>
      <c r="Y874" s="15">
        <f ca="1">OFFSET(Helper!$C$3,MATCH(Data!$N$4:$N$1003,Helper!$C$4:$C$9,0),MATCH(Data!$O$4:$O$1003,Helper!$D$3:$F$3,0))</f>
        <v>15000</v>
      </c>
      <c r="Z874" s="16">
        <f ca="1">Table1[[#This Row],[Order Total]]+Table1[[#This Row],[Shipping Cost]]</f>
        <v>698928</v>
      </c>
    </row>
    <row r="875" spans="1:26" ht="15.75" customHeight="1" x14ac:dyDescent="0.3">
      <c r="A875" s="9" t="s">
        <v>1758</v>
      </c>
      <c r="B875" s="18">
        <v>43751</v>
      </c>
      <c r="C875" s="10">
        <f>YEAR(Table1[[#This Row],[Order Date]])</f>
        <v>2019</v>
      </c>
      <c r="D875" s="10" t="s">
        <v>1759</v>
      </c>
      <c r="E875" s="10" t="s">
        <v>165</v>
      </c>
      <c r="F875" s="10" t="s">
        <v>71</v>
      </c>
      <c r="G875" s="10" t="s">
        <v>87</v>
      </c>
      <c r="H875" s="10" t="s">
        <v>88</v>
      </c>
      <c r="I875" s="10" t="str">
        <f>VLOOKUP(Table1[[#This Row],[Account Manager ID]],Table2[[Employee ID]:[Full Name]],4,FALSE)</f>
        <v>Bagiya Sihombing</v>
      </c>
      <c r="J875" s="10" t="str">
        <f>INDEX(Employee!$D$4:$D$47,MATCH($H$4:$H$1003,Employee!$A$4:$A$47,0))</f>
        <v>Bagiya Sihombing</v>
      </c>
      <c r="K875" s="10" t="s">
        <v>92</v>
      </c>
      <c r="L875" s="10" t="s">
        <v>234</v>
      </c>
      <c r="M875" s="10" t="s">
        <v>59</v>
      </c>
      <c r="N875" s="10" t="s">
        <v>60</v>
      </c>
      <c r="O875" s="10" t="s">
        <v>61</v>
      </c>
      <c r="P875" s="10">
        <v>43753</v>
      </c>
      <c r="Q875" s="15">
        <v>208200</v>
      </c>
      <c r="R875" s="15">
        <v>335700</v>
      </c>
      <c r="S875" s="15">
        <f>Table1[[#This Row],[Retail Price]]-Table1[[#This Row],[Cost Price]]</f>
        <v>127500</v>
      </c>
      <c r="T875" s="10">
        <v>9</v>
      </c>
      <c r="U875" s="15">
        <f>Table1[[#This Row],[Profit Margin]]*Table1[[#This Row],[Order Quantity]]</f>
        <v>1147500</v>
      </c>
      <c r="V875" s="11">
        <v>0.03</v>
      </c>
      <c r="W875" s="15">
        <f t="shared" si="13"/>
        <v>34425</v>
      </c>
      <c r="X875" s="15">
        <f>Table1[[#This Row],[Sub Total]]-Table1[[#This Row],[Discount Rp]]</f>
        <v>1113075</v>
      </c>
      <c r="Y875" s="15">
        <f ca="1">OFFSET(Helper!$C$3,MATCH(Data!$N$4:$N$1003,Helper!$C$4:$C$9,0),MATCH(Data!$O$4:$O$1003,Helper!$D$3:$F$3,0))</f>
        <v>15000</v>
      </c>
      <c r="Z875" s="16">
        <f ca="1">Table1[[#This Row],[Order Total]]+Table1[[#This Row],[Shipping Cost]]</f>
        <v>1128075</v>
      </c>
    </row>
    <row r="876" spans="1:26" ht="15.75" customHeight="1" x14ac:dyDescent="0.3">
      <c r="A876" s="9" t="s">
        <v>1760</v>
      </c>
      <c r="B876" s="18">
        <v>43751</v>
      </c>
      <c r="C876" s="10">
        <f>YEAR(Table1[[#This Row],[Order Date]])</f>
        <v>2019</v>
      </c>
      <c r="D876" s="10" t="s">
        <v>902</v>
      </c>
      <c r="E876" s="10" t="s">
        <v>647</v>
      </c>
      <c r="F876" s="10" t="s">
        <v>71</v>
      </c>
      <c r="G876" s="10" t="s">
        <v>72</v>
      </c>
      <c r="H876" s="10" t="s">
        <v>97</v>
      </c>
      <c r="I876" s="10" t="str">
        <f>VLOOKUP(Table1[[#This Row],[Account Manager ID]],Table2[[Employee ID]:[Full Name]],4,FALSE)</f>
        <v>Violet Mentari</v>
      </c>
      <c r="J876" s="10" t="str">
        <f>INDEX(Employee!$D$4:$D$47,MATCH($H$4:$H$1003,Employee!$A$4:$A$47,0))</f>
        <v>Violet Mentari</v>
      </c>
      <c r="K876" s="10" t="s">
        <v>57</v>
      </c>
      <c r="L876" s="10" t="s">
        <v>394</v>
      </c>
      <c r="M876" s="10" t="s">
        <v>59</v>
      </c>
      <c r="N876" s="10" t="s">
        <v>67</v>
      </c>
      <c r="O876" s="10" t="s">
        <v>61</v>
      </c>
      <c r="P876" s="10">
        <v>43752</v>
      </c>
      <c r="Q876" s="15">
        <v>3600</v>
      </c>
      <c r="R876" s="15">
        <v>18900</v>
      </c>
      <c r="S876" s="15">
        <f>Table1[[#This Row],[Retail Price]]-Table1[[#This Row],[Cost Price]]</f>
        <v>15300</v>
      </c>
      <c r="T876" s="10">
        <v>47</v>
      </c>
      <c r="U876" s="15">
        <f>Table1[[#This Row],[Profit Margin]]*Table1[[#This Row],[Order Quantity]]</f>
        <v>719100</v>
      </c>
      <c r="V876" s="11">
        <v>0</v>
      </c>
      <c r="W876" s="15">
        <f t="shared" si="13"/>
        <v>0</v>
      </c>
      <c r="X876" s="15">
        <f>Table1[[#This Row],[Sub Total]]-Table1[[#This Row],[Discount Rp]]</f>
        <v>719100</v>
      </c>
      <c r="Y876" s="15">
        <f ca="1">OFFSET(Helper!$C$3,MATCH(Data!$N$4:$N$1003,Helper!$C$4:$C$9,0),MATCH(Data!$O$4:$O$1003,Helper!$D$3:$F$3,0))</f>
        <v>5000</v>
      </c>
      <c r="Z876" s="16">
        <f ca="1">Table1[[#This Row],[Order Total]]+Table1[[#This Row],[Shipping Cost]]</f>
        <v>724100</v>
      </c>
    </row>
    <row r="877" spans="1:26" ht="15.75" customHeight="1" x14ac:dyDescent="0.3">
      <c r="A877" s="9" t="s">
        <v>1761</v>
      </c>
      <c r="B877" s="18">
        <v>43753</v>
      </c>
      <c r="C877" s="10">
        <f>YEAR(Table1[[#This Row],[Order Date]])</f>
        <v>2019</v>
      </c>
      <c r="D877" s="10" t="s">
        <v>1253</v>
      </c>
      <c r="E877" s="10" t="s">
        <v>740</v>
      </c>
      <c r="F877" s="10" t="s">
        <v>71</v>
      </c>
      <c r="G877" s="10" t="s">
        <v>55</v>
      </c>
      <c r="H877" s="10" t="s">
        <v>97</v>
      </c>
      <c r="I877" s="10" t="str">
        <f>VLOOKUP(Table1[[#This Row],[Account Manager ID]],Table2[[Employee ID]:[Full Name]],4,FALSE)</f>
        <v>Violet Mentari</v>
      </c>
      <c r="J877" s="10" t="str">
        <f>INDEX(Employee!$D$4:$D$47,MATCH($H$4:$H$1003,Employee!$A$4:$A$47,0))</f>
        <v>Violet Mentari</v>
      </c>
      <c r="K877" s="10" t="s">
        <v>57</v>
      </c>
      <c r="L877" s="10" t="s">
        <v>931</v>
      </c>
      <c r="M877" s="10" t="s">
        <v>59</v>
      </c>
      <c r="N877" s="10" t="s">
        <v>60</v>
      </c>
      <c r="O877" s="10" t="s">
        <v>61</v>
      </c>
      <c r="P877" s="10">
        <v>43755</v>
      </c>
      <c r="Q877" s="15">
        <v>27600</v>
      </c>
      <c r="R877" s="15">
        <v>43200</v>
      </c>
      <c r="S877" s="15">
        <f>Table1[[#This Row],[Retail Price]]-Table1[[#This Row],[Cost Price]]</f>
        <v>15600</v>
      </c>
      <c r="T877" s="10">
        <v>18</v>
      </c>
      <c r="U877" s="15">
        <f>Table1[[#This Row],[Profit Margin]]*Table1[[#This Row],[Order Quantity]]</f>
        <v>280800</v>
      </c>
      <c r="V877" s="11">
        <v>0.03</v>
      </c>
      <c r="W877" s="15">
        <f t="shared" si="13"/>
        <v>8424</v>
      </c>
      <c r="X877" s="15">
        <f>Table1[[#This Row],[Sub Total]]-Table1[[#This Row],[Discount Rp]]</f>
        <v>272376</v>
      </c>
      <c r="Y877" s="15">
        <f ca="1">OFFSET(Helper!$C$3,MATCH(Data!$N$4:$N$1003,Helper!$C$4:$C$9,0),MATCH(Data!$O$4:$O$1003,Helper!$D$3:$F$3,0))</f>
        <v>15000</v>
      </c>
      <c r="Z877" s="16">
        <f ca="1">Table1[[#This Row],[Order Total]]+Table1[[#This Row],[Shipping Cost]]</f>
        <v>287376</v>
      </c>
    </row>
    <row r="878" spans="1:26" ht="15.75" customHeight="1" x14ac:dyDescent="0.3">
      <c r="A878" s="9" t="s">
        <v>1762</v>
      </c>
      <c r="B878" s="18">
        <v>43753</v>
      </c>
      <c r="C878" s="10">
        <f>YEAR(Table1[[#This Row],[Order Date]])</f>
        <v>2019</v>
      </c>
      <c r="D878" s="10" t="s">
        <v>1270</v>
      </c>
      <c r="E878" s="10" t="s">
        <v>710</v>
      </c>
      <c r="F878" s="10" t="s">
        <v>71</v>
      </c>
      <c r="G878" s="10" t="s">
        <v>72</v>
      </c>
      <c r="H878" s="10" t="s">
        <v>73</v>
      </c>
      <c r="I878" s="10" t="str">
        <f>VLOOKUP(Table1[[#This Row],[Account Manager ID]],Table2[[Employee ID]:[Full Name]],4,FALSE)</f>
        <v>Cinthia Gunawan</v>
      </c>
      <c r="J878" s="10" t="str">
        <f>INDEX(Employee!$D$4:$D$47,MATCH($H$4:$H$1003,Employee!$A$4:$A$47,0))</f>
        <v>Cinthia Gunawan</v>
      </c>
      <c r="K878" s="10" t="s">
        <v>74</v>
      </c>
      <c r="L878" s="10" t="s">
        <v>341</v>
      </c>
      <c r="M878" s="10" t="s">
        <v>59</v>
      </c>
      <c r="N878" s="10" t="s">
        <v>67</v>
      </c>
      <c r="O878" s="10" t="s">
        <v>61</v>
      </c>
      <c r="P878" s="10">
        <v>43755</v>
      </c>
      <c r="Q878" s="15">
        <v>24000</v>
      </c>
      <c r="R878" s="15">
        <v>39300</v>
      </c>
      <c r="S878" s="15">
        <f>Table1[[#This Row],[Retail Price]]-Table1[[#This Row],[Cost Price]]</f>
        <v>15300</v>
      </c>
      <c r="T878" s="10">
        <v>16</v>
      </c>
      <c r="U878" s="15">
        <f>Table1[[#This Row],[Profit Margin]]*Table1[[#This Row],[Order Quantity]]</f>
        <v>244800</v>
      </c>
      <c r="V878" s="11">
        <v>0.09</v>
      </c>
      <c r="W878" s="15">
        <f t="shared" si="13"/>
        <v>22032</v>
      </c>
      <c r="X878" s="15">
        <f>Table1[[#This Row],[Sub Total]]-Table1[[#This Row],[Discount Rp]]</f>
        <v>222768</v>
      </c>
      <c r="Y878" s="15">
        <f ca="1">OFFSET(Helper!$C$3,MATCH(Data!$N$4:$N$1003,Helper!$C$4:$C$9,0),MATCH(Data!$O$4:$O$1003,Helper!$D$3:$F$3,0))</f>
        <v>5000</v>
      </c>
      <c r="Z878" s="16">
        <f ca="1">Table1[[#This Row],[Order Total]]+Table1[[#This Row],[Shipping Cost]]</f>
        <v>227768</v>
      </c>
    </row>
    <row r="879" spans="1:26" ht="15.75" customHeight="1" x14ac:dyDescent="0.3">
      <c r="A879" s="12" t="s">
        <v>1763</v>
      </c>
      <c r="B879" s="18">
        <v>43753</v>
      </c>
      <c r="C879" s="10">
        <f>YEAR(Table1[[#This Row],[Order Date]])</f>
        <v>2019</v>
      </c>
      <c r="D879" s="10" t="s">
        <v>1764</v>
      </c>
      <c r="E879" s="10" t="s">
        <v>237</v>
      </c>
      <c r="F879" s="10" t="s">
        <v>71</v>
      </c>
      <c r="G879" s="10" t="s">
        <v>55</v>
      </c>
      <c r="H879" s="10" t="s">
        <v>112</v>
      </c>
      <c r="I879" s="10" t="str">
        <f>VLOOKUP(Table1[[#This Row],[Account Manager ID]],Table2[[Employee ID]:[Full Name]],4,FALSE)</f>
        <v>Paiman Firgantoro</v>
      </c>
      <c r="J879" s="10" t="str">
        <f>INDEX(Employee!$D$4:$D$47,MATCH($H$4:$H$1003,Employee!$A$4:$A$47,0))</f>
        <v>Paiman Firgantoro</v>
      </c>
      <c r="K879" s="10" t="s">
        <v>92</v>
      </c>
      <c r="L879" s="10" t="s">
        <v>252</v>
      </c>
      <c r="M879" s="10" t="s">
        <v>253</v>
      </c>
      <c r="N879" s="10" t="s">
        <v>136</v>
      </c>
      <c r="O879" s="10" t="s">
        <v>61</v>
      </c>
      <c r="P879" s="10">
        <v>43760</v>
      </c>
      <c r="Q879" s="15">
        <v>82500</v>
      </c>
      <c r="R879" s="15">
        <v>183300</v>
      </c>
      <c r="S879" s="15">
        <f>Table1[[#This Row],[Retail Price]]-Table1[[#This Row],[Cost Price]]</f>
        <v>100800</v>
      </c>
      <c r="T879" s="10">
        <v>46</v>
      </c>
      <c r="U879" s="15">
        <f>Table1[[#This Row],[Profit Margin]]*Table1[[#This Row],[Order Quantity]]</f>
        <v>4636800</v>
      </c>
      <c r="V879" s="11">
        <v>0.03</v>
      </c>
      <c r="W879" s="15">
        <f t="shared" si="13"/>
        <v>139104</v>
      </c>
      <c r="X879" s="15">
        <f>Table1[[#This Row],[Sub Total]]-Table1[[#This Row],[Discount Rp]]</f>
        <v>4497696</v>
      </c>
      <c r="Y879" s="15">
        <f ca="1">OFFSET(Helper!$C$3,MATCH(Data!$N$4:$N$1003,Helper!$C$4:$C$9,0),MATCH(Data!$O$4:$O$1003,Helper!$D$3:$F$3,0))</f>
        <v>10000</v>
      </c>
      <c r="Z879" s="16">
        <f ca="1">Table1[[#This Row],[Order Total]]+Table1[[#This Row],[Shipping Cost]]</f>
        <v>4507696</v>
      </c>
    </row>
    <row r="880" spans="1:26" ht="15.75" customHeight="1" x14ac:dyDescent="0.3">
      <c r="A880" s="9" t="s">
        <v>1765</v>
      </c>
      <c r="B880" s="18">
        <v>43754</v>
      </c>
      <c r="C880" s="10">
        <f>YEAR(Table1[[#This Row],[Order Date]])</f>
        <v>2019</v>
      </c>
      <c r="D880" s="10" t="s">
        <v>697</v>
      </c>
      <c r="E880" s="10" t="s">
        <v>275</v>
      </c>
      <c r="F880" s="10" t="s">
        <v>71</v>
      </c>
      <c r="G880" s="10" t="s">
        <v>55</v>
      </c>
      <c r="H880" s="10" t="s">
        <v>146</v>
      </c>
      <c r="I880" s="10" t="str">
        <f>VLOOKUP(Table1[[#This Row],[Account Manager ID]],Table2[[Employee ID]:[Full Name]],4,FALSE)</f>
        <v>Kenari Rajasa</v>
      </c>
      <c r="J880" s="10" t="str">
        <f>INDEX(Employee!$D$4:$D$47,MATCH($H$4:$H$1003,Employee!$A$4:$A$47,0))</f>
        <v>Kenari Rajasa</v>
      </c>
      <c r="K880" s="10" t="s">
        <v>117</v>
      </c>
      <c r="L880" s="10" t="s">
        <v>863</v>
      </c>
      <c r="M880" s="10" t="s">
        <v>59</v>
      </c>
      <c r="N880" s="10" t="s">
        <v>67</v>
      </c>
      <c r="O880" s="10" t="s">
        <v>61</v>
      </c>
      <c r="P880" s="10">
        <v>43756</v>
      </c>
      <c r="Q880" s="15">
        <v>13050</v>
      </c>
      <c r="R880" s="15">
        <v>27150</v>
      </c>
      <c r="S880" s="15">
        <f>Table1[[#This Row],[Retail Price]]-Table1[[#This Row],[Cost Price]]</f>
        <v>14100</v>
      </c>
      <c r="T880" s="10">
        <v>50</v>
      </c>
      <c r="U880" s="15">
        <f>Table1[[#This Row],[Profit Margin]]*Table1[[#This Row],[Order Quantity]]</f>
        <v>705000</v>
      </c>
      <c r="V880" s="11">
        <v>0.08</v>
      </c>
      <c r="W880" s="15">
        <f t="shared" si="13"/>
        <v>56400</v>
      </c>
      <c r="X880" s="15">
        <f>Table1[[#This Row],[Sub Total]]-Table1[[#This Row],[Discount Rp]]</f>
        <v>648600</v>
      </c>
      <c r="Y880" s="15">
        <f ca="1">OFFSET(Helper!$C$3,MATCH(Data!$N$4:$N$1003,Helper!$C$4:$C$9,0),MATCH(Data!$O$4:$O$1003,Helper!$D$3:$F$3,0))</f>
        <v>5000</v>
      </c>
      <c r="Z880" s="16">
        <f ca="1">Table1[[#This Row],[Order Total]]+Table1[[#This Row],[Shipping Cost]]</f>
        <v>653600</v>
      </c>
    </row>
    <row r="881" spans="1:26" ht="15.75" customHeight="1" x14ac:dyDescent="0.3">
      <c r="A881" s="9" t="s">
        <v>1766</v>
      </c>
      <c r="B881" s="18">
        <v>43756</v>
      </c>
      <c r="C881" s="10">
        <f>YEAR(Table1[[#This Row],[Order Date]])</f>
        <v>2019</v>
      </c>
      <c r="D881" s="10" t="s">
        <v>686</v>
      </c>
      <c r="E881" s="10" t="s">
        <v>251</v>
      </c>
      <c r="F881" s="10" t="s">
        <v>71</v>
      </c>
      <c r="G881" s="10" t="s">
        <v>55</v>
      </c>
      <c r="H881" s="10" t="s">
        <v>122</v>
      </c>
      <c r="I881" s="10" t="str">
        <f>VLOOKUP(Table1[[#This Row],[Account Manager ID]],Table2[[Employee ID]:[Full Name]],4,FALSE)</f>
        <v>Ophelia Mustofa</v>
      </c>
      <c r="J881" s="10" t="str">
        <f>INDEX(Employee!$D$4:$D$47,MATCH($H$4:$H$1003,Employee!$A$4:$A$47,0))</f>
        <v>Ophelia Mustofa</v>
      </c>
      <c r="K881" s="10" t="s">
        <v>107</v>
      </c>
      <c r="L881" s="10" t="s">
        <v>446</v>
      </c>
      <c r="M881" s="10" t="s">
        <v>59</v>
      </c>
      <c r="N881" s="10" t="s">
        <v>60</v>
      </c>
      <c r="O881" s="10" t="s">
        <v>76</v>
      </c>
      <c r="P881" s="10">
        <v>43758</v>
      </c>
      <c r="Q881" s="15">
        <v>33900</v>
      </c>
      <c r="R881" s="15">
        <v>53700</v>
      </c>
      <c r="S881" s="15">
        <f>Table1[[#This Row],[Retail Price]]-Table1[[#This Row],[Cost Price]]</f>
        <v>19800</v>
      </c>
      <c r="T881" s="10">
        <v>36</v>
      </c>
      <c r="U881" s="15">
        <f>Table1[[#This Row],[Profit Margin]]*Table1[[#This Row],[Order Quantity]]</f>
        <v>712800</v>
      </c>
      <c r="V881" s="11">
        <v>0.04</v>
      </c>
      <c r="W881" s="15">
        <f t="shared" si="13"/>
        <v>28512</v>
      </c>
      <c r="X881" s="15">
        <f>Table1[[#This Row],[Sub Total]]-Table1[[#This Row],[Discount Rp]]</f>
        <v>684288</v>
      </c>
      <c r="Y881" s="15">
        <f ca="1">OFFSET(Helper!$C$3,MATCH(Data!$N$4:$N$1003,Helper!$C$4:$C$9,0),MATCH(Data!$O$4:$O$1003,Helper!$D$3:$F$3,0))</f>
        <v>30000</v>
      </c>
      <c r="Z881" s="16">
        <f ca="1">Table1[[#This Row],[Order Total]]+Table1[[#This Row],[Shipping Cost]]</f>
        <v>714288</v>
      </c>
    </row>
    <row r="882" spans="1:26" ht="15.75" customHeight="1" x14ac:dyDescent="0.3">
      <c r="A882" s="9" t="s">
        <v>1767</v>
      </c>
      <c r="B882" s="18">
        <v>43758</v>
      </c>
      <c r="C882" s="10">
        <f>YEAR(Table1[[#This Row],[Order Date]])</f>
        <v>2019</v>
      </c>
      <c r="D882" s="10" t="s">
        <v>1768</v>
      </c>
      <c r="E882" s="10" t="s">
        <v>233</v>
      </c>
      <c r="F882" s="10" t="s">
        <v>54</v>
      </c>
      <c r="G882" s="10" t="s">
        <v>55</v>
      </c>
      <c r="H882" s="10" t="s">
        <v>65</v>
      </c>
      <c r="I882" s="10" t="str">
        <f>VLOOKUP(Table1[[#This Row],[Account Manager ID]],Table2[[Employee ID]:[Full Name]],4,FALSE)</f>
        <v>Laras Nuraini</v>
      </c>
      <c r="J882" s="10" t="str">
        <f>INDEX(Employee!$D$4:$D$47,MATCH($H$4:$H$1003,Employee!$A$4:$A$47,0))</f>
        <v>Laras Nuraini</v>
      </c>
      <c r="K882" s="10" t="s">
        <v>57</v>
      </c>
      <c r="L882" s="10" t="s">
        <v>102</v>
      </c>
      <c r="M882" s="10" t="s">
        <v>59</v>
      </c>
      <c r="N882" s="10" t="s">
        <v>67</v>
      </c>
      <c r="O882" s="10" t="s">
        <v>61</v>
      </c>
      <c r="P882" s="10">
        <v>43759</v>
      </c>
      <c r="Q882" s="15">
        <v>16350.000000000002</v>
      </c>
      <c r="R882" s="15">
        <v>25200</v>
      </c>
      <c r="S882" s="15">
        <f>Table1[[#This Row],[Retail Price]]-Table1[[#This Row],[Cost Price]]</f>
        <v>8849.9999999999982</v>
      </c>
      <c r="T882" s="10">
        <v>50</v>
      </c>
      <c r="U882" s="15">
        <f>Table1[[#This Row],[Profit Margin]]*Table1[[#This Row],[Order Quantity]]</f>
        <v>442499.99999999988</v>
      </c>
      <c r="V882" s="11">
        <v>0.09</v>
      </c>
      <c r="W882" s="15">
        <f t="shared" si="13"/>
        <v>39824.999999999985</v>
      </c>
      <c r="X882" s="15">
        <f>Table1[[#This Row],[Sub Total]]-Table1[[#This Row],[Discount Rp]]</f>
        <v>402674.99999999988</v>
      </c>
      <c r="Y882" s="15">
        <f ca="1">OFFSET(Helper!$C$3,MATCH(Data!$N$4:$N$1003,Helper!$C$4:$C$9,0),MATCH(Data!$O$4:$O$1003,Helper!$D$3:$F$3,0))</f>
        <v>5000</v>
      </c>
      <c r="Z882" s="16">
        <f ca="1">Table1[[#This Row],[Order Total]]+Table1[[#This Row],[Shipping Cost]]</f>
        <v>407674.99999999988</v>
      </c>
    </row>
    <row r="883" spans="1:26" ht="15.75" customHeight="1" x14ac:dyDescent="0.3">
      <c r="A883" s="9" t="s">
        <v>1769</v>
      </c>
      <c r="B883" s="18">
        <v>43762</v>
      </c>
      <c r="C883" s="10">
        <f>YEAR(Table1[[#This Row],[Order Date]])</f>
        <v>2019</v>
      </c>
      <c r="D883" s="10" t="s">
        <v>1770</v>
      </c>
      <c r="E883" s="10" t="s">
        <v>86</v>
      </c>
      <c r="F883" s="10" t="s">
        <v>71</v>
      </c>
      <c r="G883" s="10" t="s">
        <v>55</v>
      </c>
      <c r="H883" s="10" t="s">
        <v>88</v>
      </c>
      <c r="I883" s="10" t="str">
        <f>VLOOKUP(Table1[[#This Row],[Account Manager ID]],Table2[[Employee ID]:[Full Name]],4,FALSE)</f>
        <v>Bagiya Sihombing</v>
      </c>
      <c r="J883" s="10" t="str">
        <f>INDEX(Employee!$D$4:$D$47,MATCH($H$4:$H$1003,Employee!$A$4:$A$47,0))</f>
        <v>Bagiya Sihombing</v>
      </c>
      <c r="K883" s="10" t="s">
        <v>117</v>
      </c>
      <c r="L883" s="10" t="s">
        <v>297</v>
      </c>
      <c r="M883" s="10" t="s">
        <v>59</v>
      </c>
      <c r="N883" s="10" t="s">
        <v>67</v>
      </c>
      <c r="O883" s="10" t="s">
        <v>61</v>
      </c>
      <c r="P883" s="10">
        <v>43763</v>
      </c>
      <c r="Q883" s="15">
        <v>52200</v>
      </c>
      <c r="R883" s="15">
        <v>81450</v>
      </c>
      <c r="S883" s="15">
        <f>Table1[[#This Row],[Retail Price]]-Table1[[#This Row],[Cost Price]]</f>
        <v>29250</v>
      </c>
      <c r="T883" s="10">
        <v>2</v>
      </c>
      <c r="U883" s="15">
        <f>Table1[[#This Row],[Profit Margin]]*Table1[[#This Row],[Order Quantity]]</f>
        <v>58500</v>
      </c>
      <c r="V883" s="11">
        <v>0.03</v>
      </c>
      <c r="W883" s="15">
        <f t="shared" si="13"/>
        <v>1755</v>
      </c>
      <c r="X883" s="15">
        <f>Table1[[#This Row],[Sub Total]]-Table1[[#This Row],[Discount Rp]]</f>
        <v>56745</v>
      </c>
      <c r="Y883" s="15">
        <f ca="1">OFFSET(Helper!$C$3,MATCH(Data!$N$4:$N$1003,Helper!$C$4:$C$9,0),MATCH(Data!$O$4:$O$1003,Helper!$D$3:$F$3,0))</f>
        <v>5000</v>
      </c>
      <c r="Z883" s="16">
        <f ca="1">Table1[[#This Row],[Order Total]]+Table1[[#This Row],[Shipping Cost]]</f>
        <v>61745</v>
      </c>
    </row>
    <row r="884" spans="1:26" ht="15.75" customHeight="1" x14ac:dyDescent="0.3">
      <c r="A884" s="9" t="s">
        <v>1771</v>
      </c>
      <c r="B884" s="18">
        <v>43763</v>
      </c>
      <c r="C884" s="10">
        <f>YEAR(Table1[[#This Row],[Order Date]])</f>
        <v>2019</v>
      </c>
      <c r="D884" s="10" t="s">
        <v>1772</v>
      </c>
      <c r="E884" s="10" t="s">
        <v>813</v>
      </c>
      <c r="F884" s="10" t="s">
        <v>54</v>
      </c>
      <c r="G884" s="10" t="s">
        <v>106</v>
      </c>
      <c r="H884" s="10" t="s">
        <v>65</v>
      </c>
      <c r="I884" s="10" t="str">
        <f>VLOOKUP(Table1[[#This Row],[Account Manager ID]],Table2[[Employee ID]:[Full Name]],4,FALSE)</f>
        <v>Laras Nuraini</v>
      </c>
      <c r="J884" s="10" t="str">
        <f>INDEX(Employee!$D$4:$D$47,MATCH($H$4:$H$1003,Employee!$A$4:$A$47,0))</f>
        <v>Laras Nuraini</v>
      </c>
      <c r="K884" s="10" t="s">
        <v>117</v>
      </c>
      <c r="L884" s="10" t="s">
        <v>415</v>
      </c>
      <c r="M884" s="10" t="s">
        <v>59</v>
      </c>
      <c r="N884" s="10" t="s">
        <v>60</v>
      </c>
      <c r="O884" s="10" t="s">
        <v>61</v>
      </c>
      <c r="P884" s="10">
        <v>43764</v>
      </c>
      <c r="Q884" s="15">
        <v>54750</v>
      </c>
      <c r="R884" s="15">
        <v>89700</v>
      </c>
      <c r="S884" s="15">
        <f>Table1[[#This Row],[Retail Price]]-Table1[[#This Row],[Cost Price]]</f>
        <v>34950</v>
      </c>
      <c r="T884" s="10">
        <v>22</v>
      </c>
      <c r="U884" s="15">
        <f>Table1[[#This Row],[Profit Margin]]*Table1[[#This Row],[Order Quantity]]</f>
        <v>768900</v>
      </c>
      <c r="V884" s="11">
        <v>7.0000000000000007E-2</v>
      </c>
      <c r="W884" s="15">
        <f t="shared" si="13"/>
        <v>53823.000000000007</v>
      </c>
      <c r="X884" s="15">
        <f>Table1[[#This Row],[Sub Total]]-Table1[[#This Row],[Discount Rp]]</f>
        <v>715077</v>
      </c>
      <c r="Y884" s="15">
        <f ca="1">OFFSET(Helper!$C$3,MATCH(Data!$N$4:$N$1003,Helper!$C$4:$C$9,0),MATCH(Data!$O$4:$O$1003,Helper!$D$3:$F$3,0))</f>
        <v>15000</v>
      </c>
      <c r="Z884" s="16">
        <f ca="1">Table1[[#This Row],[Order Total]]+Table1[[#This Row],[Shipping Cost]]</f>
        <v>730077</v>
      </c>
    </row>
    <row r="885" spans="1:26" ht="15.75" customHeight="1" x14ac:dyDescent="0.3">
      <c r="A885" s="9" t="s">
        <v>1773</v>
      </c>
      <c r="B885" s="18">
        <v>43767</v>
      </c>
      <c r="C885" s="10">
        <f>YEAR(Table1[[#This Row],[Order Date]])</f>
        <v>2019</v>
      </c>
      <c r="D885" s="10" t="s">
        <v>545</v>
      </c>
      <c r="E885" s="10" t="s">
        <v>180</v>
      </c>
      <c r="F885" s="10" t="s">
        <v>54</v>
      </c>
      <c r="G885" s="10" t="s">
        <v>55</v>
      </c>
      <c r="H885" s="10" t="s">
        <v>65</v>
      </c>
      <c r="I885" s="10" t="str">
        <f>VLOOKUP(Table1[[#This Row],[Account Manager ID]],Table2[[Employee ID]:[Full Name]],4,FALSE)</f>
        <v>Laras Nuraini</v>
      </c>
      <c r="J885" s="10" t="str">
        <f>INDEX(Employee!$D$4:$D$47,MATCH($H$4:$H$1003,Employee!$A$4:$A$47,0))</f>
        <v>Laras Nuraini</v>
      </c>
      <c r="K885" s="10" t="s">
        <v>57</v>
      </c>
      <c r="L885" s="10" t="s">
        <v>190</v>
      </c>
      <c r="M885" s="10" t="s">
        <v>81</v>
      </c>
      <c r="N885" s="10" t="s">
        <v>60</v>
      </c>
      <c r="O885" s="10" t="s">
        <v>61</v>
      </c>
      <c r="P885" s="10">
        <v>43769</v>
      </c>
      <c r="Q885" s="15">
        <v>480300.00000000006</v>
      </c>
      <c r="R885" s="15">
        <v>2287200</v>
      </c>
      <c r="S885" s="15">
        <f>Table1[[#This Row],[Retail Price]]-Table1[[#This Row],[Cost Price]]</f>
        <v>1806900</v>
      </c>
      <c r="T885" s="10">
        <v>2</v>
      </c>
      <c r="U885" s="15">
        <f>Table1[[#This Row],[Profit Margin]]*Table1[[#This Row],[Order Quantity]]</f>
        <v>3613800</v>
      </c>
      <c r="V885" s="11">
        <v>0.03</v>
      </c>
      <c r="W885" s="15">
        <f t="shared" si="13"/>
        <v>108414</v>
      </c>
      <c r="X885" s="15">
        <f>Table1[[#This Row],[Sub Total]]-Table1[[#This Row],[Discount Rp]]</f>
        <v>3505386</v>
      </c>
      <c r="Y885" s="15">
        <f ca="1">OFFSET(Helper!$C$3,MATCH(Data!$N$4:$N$1003,Helper!$C$4:$C$9,0),MATCH(Data!$O$4:$O$1003,Helper!$D$3:$F$3,0))</f>
        <v>15000</v>
      </c>
      <c r="Z885" s="16">
        <f ca="1">Table1[[#This Row],[Order Total]]+Table1[[#This Row],[Shipping Cost]]</f>
        <v>3520386</v>
      </c>
    </row>
    <row r="886" spans="1:26" ht="15.75" customHeight="1" x14ac:dyDescent="0.3">
      <c r="A886" s="9" t="s">
        <v>1774</v>
      </c>
      <c r="B886" s="18">
        <v>43768</v>
      </c>
      <c r="C886" s="10">
        <f>YEAR(Table1[[#This Row],[Order Date]])</f>
        <v>2019</v>
      </c>
      <c r="D886" s="10" t="s">
        <v>1018</v>
      </c>
      <c r="E886" s="10" t="s">
        <v>1019</v>
      </c>
      <c r="F886" s="10" t="s">
        <v>261</v>
      </c>
      <c r="G886" s="10" t="s">
        <v>72</v>
      </c>
      <c r="H886" s="10" t="s">
        <v>112</v>
      </c>
      <c r="I886" s="10" t="str">
        <f>VLOOKUP(Table1[[#This Row],[Account Manager ID]],Table2[[Employee ID]:[Full Name]],4,FALSE)</f>
        <v>Paiman Firgantoro</v>
      </c>
      <c r="J886" s="10" t="str">
        <f>INDEX(Employee!$D$4:$D$47,MATCH($H$4:$H$1003,Employee!$A$4:$A$47,0))</f>
        <v>Paiman Firgantoro</v>
      </c>
      <c r="K886" s="10" t="s">
        <v>107</v>
      </c>
      <c r="L886" s="10" t="s">
        <v>661</v>
      </c>
      <c r="M886" s="10" t="s">
        <v>59</v>
      </c>
      <c r="N886" s="10" t="s">
        <v>67</v>
      </c>
      <c r="O886" s="10" t="s">
        <v>61</v>
      </c>
      <c r="P886" s="10">
        <v>43769</v>
      </c>
      <c r="Q886" s="15">
        <v>13950</v>
      </c>
      <c r="R886" s="15">
        <v>24000</v>
      </c>
      <c r="S886" s="15">
        <f>Table1[[#This Row],[Retail Price]]-Table1[[#This Row],[Cost Price]]</f>
        <v>10050</v>
      </c>
      <c r="T886" s="10">
        <v>39</v>
      </c>
      <c r="U886" s="15">
        <f>Table1[[#This Row],[Profit Margin]]*Table1[[#This Row],[Order Quantity]]</f>
        <v>391950</v>
      </c>
      <c r="V886" s="11">
        <v>0.1</v>
      </c>
      <c r="W886" s="15">
        <f t="shared" si="13"/>
        <v>39195</v>
      </c>
      <c r="X886" s="15">
        <f>Table1[[#This Row],[Sub Total]]-Table1[[#This Row],[Discount Rp]]</f>
        <v>352755</v>
      </c>
      <c r="Y886" s="15">
        <f ca="1">OFFSET(Helper!$C$3,MATCH(Data!$N$4:$N$1003,Helper!$C$4:$C$9,0),MATCH(Data!$O$4:$O$1003,Helper!$D$3:$F$3,0))</f>
        <v>5000</v>
      </c>
      <c r="Z886" s="16">
        <f ca="1">Table1[[#This Row],[Order Total]]+Table1[[#This Row],[Shipping Cost]]</f>
        <v>357755</v>
      </c>
    </row>
    <row r="887" spans="1:26" ht="15.75" customHeight="1" x14ac:dyDescent="0.3">
      <c r="A887" s="9" t="s">
        <v>1775</v>
      </c>
      <c r="B887" s="18">
        <v>43778</v>
      </c>
      <c r="C887" s="10">
        <f>YEAR(Table1[[#This Row],[Order Date]])</f>
        <v>2019</v>
      </c>
      <c r="D887" s="10" t="s">
        <v>1391</v>
      </c>
      <c r="E887" s="10" t="s">
        <v>1291</v>
      </c>
      <c r="F887" s="10" t="s">
        <v>71</v>
      </c>
      <c r="G887" s="10" t="s">
        <v>55</v>
      </c>
      <c r="H887" s="10" t="s">
        <v>122</v>
      </c>
      <c r="I887" s="10" t="str">
        <f>VLOOKUP(Table1[[#This Row],[Account Manager ID]],Table2[[Employee ID]:[Full Name]],4,FALSE)</f>
        <v>Ophelia Mustofa</v>
      </c>
      <c r="J887" s="10" t="str">
        <f>INDEX(Employee!$D$4:$D$47,MATCH($H$4:$H$1003,Employee!$A$4:$A$47,0))</f>
        <v>Ophelia Mustofa</v>
      </c>
      <c r="K887" s="10" t="s">
        <v>74</v>
      </c>
      <c r="L887" s="10" t="s">
        <v>1776</v>
      </c>
      <c r="M887" s="10" t="s">
        <v>81</v>
      </c>
      <c r="N887" s="10" t="s">
        <v>459</v>
      </c>
      <c r="O887" s="10" t="s">
        <v>61</v>
      </c>
      <c r="P887" s="10">
        <v>43780</v>
      </c>
      <c r="Q887" s="15">
        <v>4049850</v>
      </c>
      <c r="R887" s="15">
        <v>6749850</v>
      </c>
      <c r="S887" s="15">
        <f>Table1[[#This Row],[Retail Price]]-Table1[[#This Row],[Cost Price]]</f>
        <v>2700000</v>
      </c>
      <c r="T887" s="10">
        <v>3</v>
      </c>
      <c r="U887" s="15">
        <f>Table1[[#This Row],[Profit Margin]]*Table1[[#This Row],[Order Quantity]]</f>
        <v>8100000</v>
      </c>
      <c r="V887" s="11">
        <v>0.06</v>
      </c>
      <c r="W887" s="15">
        <f t="shared" si="13"/>
        <v>486000</v>
      </c>
      <c r="X887" s="15">
        <f>Table1[[#This Row],[Sub Total]]-Table1[[#This Row],[Discount Rp]]</f>
        <v>7614000</v>
      </c>
      <c r="Y887" s="15">
        <f ca="1">OFFSET(Helper!$C$3,MATCH(Data!$N$4:$N$1003,Helper!$C$4:$C$9,0),MATCH(Data!$O$4:$O$1003,Helper!$D$3:$F$3,0))</f>
        <v>50000</v>
      </c>
      <c r="Z887" s="16">
        <f ca="1">Table1[[#This Row],[Order Total]]+Table1[[#This Row],[Shipping Cost]]</f>
        <v>7664000</v>
      </c>
    </row>
    <row r="888" spans="1:26" ht="15.75" customHeight="1" x14ac:dyDescent="0.3">
      <c r="A888" s="9" t="s">
        <v>1777</v>
      </c>
      <c r="B888" s="18">
        <v>43779</v>
      </c>
      <c r="C888" s="10">
        <f>YEAR(Table1[[#This Row],[Order Date]])</f>
        <v>2019</v>
      </c>
      <c r="D888" s="10" t="s">
        <v>1245</v>
      </c>
      <c r="E888" s="10" t="s">
        <v>279</v>
      </c>
      <c r="F888" s="10" t="s">
        <v>71</v>
      </c>
      <c r="G888" s="10" t="s">
        <v>55</v>
      </c>
      <c r="H888" s="10" t="s">
        <v>155</v>
      </c>
      <c r="I888" s="10" t="str">
        <f>VLOOKUP(Table1[[#This Row],[Account Manager ID]],Table2[[Employee ID]:[Full Name]],4,FALSE)</f>
        <v>Puti Nadine Prakasa</v>
      </c>
      <c r="J888" s="10" t="str">
        <f>INDEX(Employee!$D$4:$D$47,MATCH($H$4:$H$1003,Employee!$A$4:$A$47,0))</f>
        <v>Puti Nadine Prakasa</v>
      </c>
      <c r="K888" s="10" t="s">
        <v>117</v>
      </c>
      <c r="L888" s="10" t="s">
        <v>234</v>
      </c>
      <c r="M888" s="10" t="s">
        <v>59</v>
      </c>
      <c r="N888" s="10" t="s">
        <v>60</v>
      </c>
      <c r="O888" s="10" t="s">
        <v>61</v>
      </c>
      <c r="P888" s="10">
        <v>43781</v>
      </c>
      <c r="Q888" s="15">
        <v>208200</v>
      </c>
      <c r="R888" s="15">
        <v>335700</v>
      </c>
      <c r="S888" s="15">
        <f>Table1[[#This Row],[Retail Price]]-Table1[[#This Row],[Cost Price]]</f>
        <v>127500</v>
      </c>
      <c r="T888" s="10">
        <v>18</v>
      </c>
      <c r="U888" s="15">
        <f>Table1[[#This Row],[Profit Margin]]*Table1[[#This Row],[Order Quantity]]</f>
        <v>2295000</v>
      </c>
      <c r="V888" s="11">
        <v>0.05</v>
      </c>
      <c r="W888" s="15">
        <f t="shared" si="13"/>
        <v>114750</v>
      </c>
      <c r="X888" s="15">
        <f>Table1[[#This Row],[Sub Total]]-Table1[[#This Row],[Discount Rp]]</f>
        <v>2180250</v>
      </c>
      <c r="Y888" s="15">
        <f ca="1">OFFSET(Helper!$C$3,MATCH(Data!$N$4:$N$1003,Helper!$C$4:$C$9,0),MATCH(Data!$O$4:$O$1003,Helper!$D$3:$F$3,0))</f>
        <v>15000</v>
      </c>
      <c r="Z888" s="16">
        <f ca="1">Table1[[#This Row],[Order Total]]+Table1[[#This Row],[Shipping Cost]]</f>
        <v>2195250</v>
      </c>
    </row>
    <row r="889" spans="1:26" ht="15.75" customHeight="1" x14ac:dyDescent="0.3">
      <c r="A889" s="9" t="s">
        <v>1778</v>
      </c>
      <c r="B889" s="18">
        <v>43784</v>
      </c>
      <c r="C889" s="10">
        <f>YEAR(Table1[[#This Row],[Order Date]])</f>
        <v>2019</v>
      </c>
      <c r="D889" s="10" t="s">
        <v>847</v>
      </c>
      <c r="E889" s="10" t="s">
        <v>750</v>
      </c>
      <c r="F889" s="10" t="s">
        <v>54</v>
      </c>
      <c r="G889" s="10" t="s">
        <v>55</v>
      </c>
      <c r="H889" s="10" t="s">
        <v>56</v>
      </c>
      <c r="I889" s="10" t="str">
        <f>VLOOKUP(Table1[[#This Row],[Account Manager ID]],Table2[[Employee ID]:[Full Name]],4,FALSE)</f>
        <v>Gaduh Pratama</v>
      </c>
      <c r="J889" s="10" t="str">
        <f>INDEX(Employee!$D$4:$D$47,MATCH($H$4:$H$1003,Employee!$A$4:$A$47,0))</f>
        <v>Gaduh Pratama</v>
      </c>
      <c r="K889" s="10" t="s">
        <v>107</v>
      </c>
      <c r="L889" s="10" t="s">
        <v>320</v>
      </c>
      <c r="M889" s="10" t="s">
        <v>59</v>
      </c>
      <c r="N889" s="10" t="s">
        <v>60</v>
      </c>
      <c r="O889" s="10" t="s">
        <v>61</v>
      </c>
      <c r="P889" s="10">
        <v>43786</v>
      </c>
      <c r="Q889" s="15">
        <v>2682450</v>
      </c>
      <c r="R889" s="15">
        <v>6238200</v>
      </c>
      <c r="S889" s="15">
        <f>Table1[[#This Row],[Retail Price]]-Table1[[#This Row],[Cost Price]]</f>
        <v>3555750</v>
      </c>
      <c r="T889" s="10">
        <v>4</v>
      </c>
      <c r="U889" s="15">
        <f>Table1[[#This Row],[Profit Margin]]*Table1[[#This Row],[Order Quantity]]</f>
        <v>14223000</v>
      </c>
      <c r="V889" s="11">
        <v>0.04</v>
      </c>
      <c r="W889" s="15">
        <f t="shared" si="13"/>
        <v>568920</v>
      </c>
      <c r="X889" s="15">
        <f>Table1[[#This Row],[Sub Total]]-Table1[[#This Row],[Discount Rp]]</f>
        <v>13654080</v>
      </c>
      <c r="Y889" s="15">
        <f ca="1">OFFSET(Helper!$C$3,MATCH(Data!$N$4:$N$1003,Helper!$C$4:$C$9,0),MATCH(Data!$O$4:$O$1003,Helper!$D$3:$F$3,0))</f>
        <v>15000</v>
      </c>
      <c r="Z889" s="16">
        <f ca="1">Table1[[#This Row],[Order Total]]+Table1[[#This Row],[Shipping Cost]]</f>
        <v>13669080</v>
      </c>
    </row>
    <row r="890" spans="1:26" ht="15.75" customHeight="1" x14ac:dyDescent="0.3">
      <c r="A890" s="9" t="s">
        <v>1779</v>
      </c>
      <c r="B890" s="18">
        <v>43785</v>
      </c>
      <c r="C890" s="10">
        <f>YEAR(Table1[[#This Row],[Order Date]])</f>
        <v>2019</v>
      </c>
      <c r="D890" s="10" t="s">
        <v>1780</v>
      </c>
      <c r="E890" s="10" t="s">
        <v>154</v>
      </c>
      <c r="F890" s="10" t="s">
        <v>71</v>
      </c>
      <c r="G890" s="10" t="s">
        <v>106</v>
      </c>
      <c r="H890" s="10" t="s">
        <v>155</v>
      </c>
      <c r="I890" s="10" t="str">
        <f>VLOOKUP(Table1[[#This Row],[Account Manager ID]],Table2[[Employee ID]:[Full Name]],4,FALSE)</f>
        <v>Puti Nadine Prakasa</v>
      </c>
      <c r="J890" s="10" t="str">
        <f>INDEX(Employee!$D$4:$D$47,MATCH($H$4:$H$1003,Employee!$A$4:$A$47,0))</f>
        <v>Puti Nadine Prakasa</v>
      </c>
      <c r="K890" s="10" t="s">
        <v>107</v>
      </c>
      <c r="L890" s="10" t="s">
        <v>200</v>
      </c>
      <c r="M890" s="10" t="s">
        <v>59</v>
      </c>
      <c r="N890" s="10" t="s">
        <v>136</v>
      </c>
      <c r="O890" s="10" t="s">
        <v>61</v>
      </c>
      <c r="P890" s="10">
        <v>43786</v>
      </c>
      <c r="Q890" s="15">
        <v>71850</v>
      </c>
      <c r="R890" s="15">
        <v>179550</v>
      </c>
      <c r="S890" s="15">
        <f>Table1[[#This Row],[Retail Price]]-Table1[[#This Row],[Cost Price]]</f>
        <v>107700</v>
      </c>
      <c r="T890" s="10">
        <v>49</v>
      </c>
      <c r="U890" s="15">
        <f>Table1[[#This Row],[Profit Margin]]*Table1[[#This Row],[Order Quantity]]</f>
        <v>5277300</v>
      </c>
      <c r="V890" s="11">
        <v>0.09</v>
      </c>
      <c r="W890" s="15">
        <f t="shared" si="13"/>
        <v>474957</v>
      </c>
      <c r="X890" s="15">
        <f>Table1[[#This Row],[Sub Total]]-Table1[[#This Row],[Discount Rp]]</f>
        <v>4802343</v>
      </c>
      <c r="Y890" s="15">
        <f ca="1">OFFSET(Helper!$C$3,MATCH(Data!$N$4:$N$1003,Helper!$C$4:$C$9,0),MATCH(Data!$O$4:$O$1003,Helper!$D$3:$F$3,0))</f>
        <v>10000</v>
      </c>
      <c r="Z890" s="16">
        <f ca="1">Table1[[#This Row],[Order Total]]+Table1[[#This Row],[Shipping Cost]]</f>
        <v>4812343</v>
      </c>
    </row>
    <row r="891" spans="1:26" ht="15.75" customHeight="1" x14ac:dyDescent="0.3">
      <c r="A891" s="9" t="s">
        <v>1781</v>
      </c>
      <c r="B891" s="18">
        <v>43786</v>
      </c>
      <c r="C891" s="10">
        <f>YEAR(Table1[[#This Row],[Order Date]])</f>
        <v>2019</v>
      </c>
      <c r="D891" s="10" t="s">
        <v>1782</v>
      </c>
      <c r="E891" s="10" t="s">
        <v>462</v>
      </c>
      <c r="F891" s="10" t="s">
        <v>71</v>
      </c>
      <c r="G891" s="10" t="s">
        <v>72</v>
      </c>
      <c r="H891" s="10" t="s">
        <v>112</v>
      </c>
      <c r="I891" s="10" t="str">
        <f>VLOOKUP(Table1[[#This Row],[Account Manager ID]],Table2[[Employee ID]:[Full Name]],4,FALSE)</f>
        <v>Paiman Firgantoro</v>
      </c>
      <c r="J891" s="10" t="str">
        <f>INDEX(Employee!$D$4:$D$47,MATCH($H$4:$H$1003,Employee!$A$4:$A$47,0))</f>
        <v>Paiman Firgantoro</v>
      </c>
      <c r="K891" s="10" t="s">
        <v>57</v>
      </c>
      <c r="L891" s="10" t="s">
        <v>398</v>
      </c>
      <c r="M891" s="10" t="s">
        <v>81</v>
      </c>
      <c r="N891" s="10" t="s">
        <v>60</v>
      </c>
      <c r="O891" s="10" t="s">
        <v>61</v>
      </c>
      <c r="P891" s="10">
        <v>43788</v>
      </c>
      <c r="Q891" s="15">
        <v>817800</v>
      </c>
      <c r="R891" s="15">
        <v>1514550</v>
      </c>
      <c r="S891" s="15">
        <f>Table1[[#This Row],[Retail Price]]-Table1[[#This Row],[Cost Price]]</f>
        <v>696750</v>
      </c>
      <c r="T891" s="10">
        <v>41</v>
      </c>
      <c r="U891" s="15">
        <f>Table1[[#This Row],[Profit Margin]]*Table1[[#This Row],[Order Quantity]]</f>
        <v>28566750</v>
      </c>
      <c r="V891" s="11">
        <v>0.03</v>
      </c>
      <c r="W891" s="15">
        <f t="shared" si="13"/>
        <v>857002.5</v>
      </c>
      <c r="X891" s="15">
        <f>Table1[[#This Row],[Sub Total]]-Table1[[#This Row],[Discount Rp]]</f>
        <v>27709747.5</v>
      </c>
      <c r="Y891" s="15">
        <f ca="1">OFFSET(Helper!$C$3,MATCH(Data!$N$4:$N$1003,Helper!$C$4:$C$9,0),MATCH(Data!$O$4:$O$1003,Helper!$D$3:$F$3,0))</f>
        <v>15000</v>
      </c>
      <c r="Z891" s="16">
        <f ca="1">Table1[[#This Row],[Order Total]]+Table1[[#This Row],[Shipping Cost]]</f>
        <v>27724747.5</v>
      </c>
    </row>
    <row r="892" spans="1:26" ht="15.75" customHeight="1" x14ac:dyDescent="0.3">
      <c r="A892" s="9" t="s">
        <v>1783</v>
      </c>
      <c r="B892" s="18">
        <v>43787</v>
      </c>
      <c r="C892" s="10">
        <f>YEAR(Table1[[#This Row],[Order Date]])</f>
        <v>2019</v>
      </c>
      <c r="D892" s="10" t="s">
        <v>318</v>
      </c>
      <c r="E892" s="10" t="s">
        <v>319</v>
      </c>
      <c r="F892" s="10" t="s">
        <v>71</v>
      </c>
      <c r="G892" s="10" t="s">
        <v>72</v>
      </c>
      <c r="H892" s="10" t="s">
        <v>194</v>
      </c>
      <c r="I892" s="10" t="str">
        <f>VLOOKUP(Table1[[#This Row],[Account Manager ID]],Table2[[Employee ID]:[Full Name]],4,FALSE)</f>
        <v>Nabila Prakasa</v>
      </c>
      <c r="J892" s="10" t="str">
        <f>INDEX(Employee!$D$4:$D$47,MATCH($H$4:$H$1003,Employee!$A$4:$A$47,0))</f>
        <v>Nabila Prakasa</v>
      </c>
      <c r="K892" s="10" t="s">
        <v>57</v>
      </c>
      <c r="L892" s="10" t="s">
        <v>442</v>
      </c>
      <c r="M892" s="10" t="s">
        <v>59</v>
      </c>
      <c r="N892" s="10" t="s">
        <v>67</v>
      </c>
      <c r="O892" s="10" t="s">
        <v>61</v>
      </c>
      <c r="P892" s="10">
        <v>43788</v>
      </c>
      <c r="Q892" s="15">
        <v>17550</v>
      </c>
      <c r="R892" s="15">
        <v>41700</v>
      </c>
      <c r="S892" s="15">
        <f>Table1[[#This Row],[Retail Price]]-Table1[[#This Row],[Cost Price]]</f>
        <v>24150</v>
      </c>
      <c r="T892" s="10">
        <v>6</v>
      </c>
      <c r="U892" s="15">
        <f>Table1[[#This Row],[Profit Margin]]*Table1[[#This Row],[Order Quantity]]</f>
        <v>144900</v>
      </c>
      <c r="V892" s="11">
        <v>0.01</v>
      </c>
      <c r="W892" s="15">
        <f t="shared" si="13"/>
        <v>1449</v>
      </c>
      <c r="X892" s="15">
        <f>Table1[[#This Row],[Sub Total]]-Table1[[#This Row],[Discount Rp]]</f>
        <v>143451</v>
      </c>
      <c r="Y892" s="15">
        <f ca="1">OFFSET(Helper!$C$3,MATCH(Data!$N$4:$N$1003,Helper!$C$4:$C$9,0),MATCH(Data!$O$4:$O$1003,Helper!$D$3:$F$3,0))</f>
        <v>5000</v>
      </c>
      <c r="Z892" s="16">
        <f ca="1">Table1[[#This Row],[Order Total]]+Table1[[#This Row],[Shipping Cost]]</f>
        <v>148451</v>
      </c>
    </row>
    <row r="893" spans="1:26" ht="15.75" customHeight="1" x14ac:dyDescent="0.3">
      <c r="A893" s="9" t="s">
        <v>1784</v>
      </c>
      <c r="B893" s="18">
        <v>43789</v>
      </c>
      <c r="C893" s="10">
        <f>YEAR(Table1[[#This Row],[Order Date]])</f>
        <v>2019</v>
      </c>
      <c r="D893" s="10" t="s">
        <v>1785</v>
      </c>
      <c r="E893" s="10" t="s">
        <v>222</v>
      </c>
      <c r="F893" s="10" t="s">
        <v>71</v>
      </c>
      <c r="G893" s="10" t="s">
        <v>87</v>
      </c>
      <c r="H893" s="10" t="s">
        <v>155</v>
      </c>
      <c r="I893" s="10" t="str">
        <f>VLOOKUP(Table1[[#This Row],[Account Manager ID]],Table2[[Employee ID]:[Full Name]],4,FALSE)</f>
        <v>Puti Nadine Prakasa</v>
      </c>
      <c r="J893" s="10" t="str">
        <f>INDEX(Employee!$D$4:$D$47,MATCH($H$4:$H$1003,Employee!$A$4:$A$47,0))</f>
        <v>Puti Nadine Prakasa</v>
      </c>
      <c r="K893" s="10" t="s">
        <v>107</v>
      </c>
      <c r="L893" s="10" t="s">
        <v>798</v>
      </c>
      <c r="M893" s="10" t="s">
        <v>59</v>
      </c>
      <c r="N893" s="10" t="s">
        <v>60</v>
      </c>
      <c r="O893" s="10" t="s">
        <v>61</v>
      </c>
      <c r="P893" s="10">
        <v>43790</v>
      </c>
      <c r="Q893" s="15">
        <v>780600</v>
      </c>
      <c r="R893" s="15">
        <v>1258950</v>
      </c>
      <c r="S893" s="15">
        <f>Table1[[#This Row],[Retail Price]]-Table1[[#This Row],[Cost Price]]</f>
        <v>478350</v>
      </c>
      <c r="T893" s="10">
        <v>37</v>
      </c>
      <c r="U893" s="15">
        <f>Table1[[#This Row],[Profit Margin]]*Table1[[#This Row],[Order Quantity]]</f>
        <v>17698950</v>
      </c>
      <c r="V893" s="11">
        <v>0.03</v>
      </c>
      <c r="W893" s="15">
        <f t="shared" si="13"/>
        <v>530968.5</v>
      </c>
      <c r="X893" s="15">
        <f>Table1[[#This Row],[Sub Total]]-Table1[[#This Row],[Discount Rp]]</f>
        <v>17167981.5</v>
      </c>
      <c r="Y893" s="15">
        <f ca="1">OFFSET(Helper!$C$3,MATCH(Data!$N$4:$N$1003,Helper!$C$4:$C$9,0),MATCH(Data!$O$4:$O$1003,Helper!$D$3:$F$3,0))</f>
        <v>15000</v>
      </c>
      <c r="Z893" s="16">
        <f ca="1">Table1[[#This Row],[Order Total]]+Table1[[#This Row],[Shipping Cost]]</f>
        <v>17182981.5</v>
      </c>
    </row>
    <row r="894" spans="1:26" ht="15.75" customHeight="1" x14ac:dyDescent="0.3">
      <c r="A894" s="9" t="s">
        <v>1786</v>
      </c>
      <c r="B894" s="18">
        <v>43790</v>
      </c>
      <c r="C894" s="10">
        <f>YEAR(Table1[[#This Row],[Order Date]])</f>
        <v>2019</v>
      </c>
      <c r="D894" s="10" t="s">
        <v>1787</v>
      </c>
      <c r="E894" s="10" t="s">
        <v>206</v>
      </c>
      <c r="F894" s="10" t="s">
        <v>71</v>
      </c>
      <c r="G894" s="10" t="s">
        <v>55</v>
      </c>
      <c r="H894" s="10" t="s">
        <v>155</v>
      </c>
      <c r="I894" s="10" t="str">
        <f>VLOOKUP(Table1[[#This Row],[Account Manager ID]],Table2[[Employee ID]:[Full Name]],4,FALSE)</f>
        <v>Puti Nadine Prakasa</v>
      </c>
      <c r="J894" s="10" t="str">
        <f>INDEX(Employee!$D$4:$D$47,MATCH($H$4:$H$1003,Employee!$A$4:$A$47,0))</f>
        <v>Puti Nadine Prakasa</v>
      </c>
      <c r="K894" s="10" t="s">
        <v>57</v>
      </c>
      <c r="L894" s="10" t="s">
        <v>500</v>
      </c>
      <c r="M894" s="10" t="s">
        <v>59</v>
      </c>
      <c r="N894" s="10" t="s">
        <v>60</v>
      </c>
      <c r="O894" s="10" t="s">
        <v>61</v>
      </c>
      <c r="P894" s="10">
        <v>43791</v>
      </c>
      <c r="Q894" s="15">
        <v>36750</v>
      </c>
      <c r="R894" s="15">
        <v>58350</v>
      </c>
      <c r="S894" s="15">
        <f>Table1[[#This Row],[Retail Price]]-Table1[[#This Row],[Cost Price]]</f>
        <v>21600</v>
      </c>
      <c r="T894" s="10">
        <v>18</v>
      </c>
      <c r="U894" s="15">
        <f>Table1[[#This Row],[Profit Margin]]*Table1[[#This Row],[Order Quantity]]</f>
        <v>388800</v>
      </c>
      <c r="V894" s="11">
        <v>0.04</v>
      </c>
      <c r="W894" s="15">
        <f t="shared" si="13"/>
        <v>15552</v>
      </c>
      <c r="X894" s="15">
        <f>Table1[[#This Row],[Sub Total]]-Table1[[#This Row],[Discount Rp]]</f>
        <v>373248</v>
      </c>
      <c r="Y894" s="15">
        <f ca="1">OFFSET(Helper!$C$3,MATCH(Data!$N$4:$N$1003,Helper!$C$4:$C$9,0),MATCH(Data!$O$4:$O$1003,Helper!$D$3:$F$3,0))</f>
        <v>15000</v>
      </c>
      <c r="Z894" s="16">
        <f ca="1">Table1[[#This Row],[Order Total]]+Table1[[#This Row],[Shipping Cost]]</f>
        <v>388248</v>
      </c>
    </row>
    <row r="895" spans="1:26" ht="15.75" customHeight="1" x14ac:dyDescent="0.3">
      <c r="A895" s="9" t="s">
        <v>1788</v>
      </c>
      <c r="B895" s="18">
        <v>43793</v>
      </c>
      <c r="C895" s="10">
        <f>YEAR(Table1[[#This Row],[Order Date]])</f>
        <v>2019</v>
      </c>
      <c r="D895" s="10" t="s">
        <v>1549</v>
      </c>
      <c r="E895" s="10" t="s">
        <v>344</v>
      </c>
      <c r="F895" s="10" t="s">
        <v>71</v>
      </c>
      <c r="G895" s="10" t="s">
        <v>87</v>
      </c>
      <c r="H895" s="10" t="s">
        <v>73</v>
      </c>
      <c r="I895" s="10" t="str">
        <f>VLOOKUP(Table1[[#This Row],[Account Manager ID]],Table2[[Employee ID]:[Full Name]],4,FALSE)</f>
        <v>Cinthia Gunawan</v>
      </c>
      <c r="J895" s="10" t="str">
        <f>INDEX(Employee!$D$4:$D$47,MATCH($H$4:$H$1003,Employee!$A$4:$A$47,0))</f>
        <v>Cinthia Gunawan</v>
      </c>
      <c r="K895" s="10" t="s">
        <v>57</v>
      </c>
      <c r="L895" s="10" t="s">
        <v>611</v>
      </c>
      <c r="M895" s="10" t="s">
        <v>59</v>
      </c>
      <c r="N895" s="10" t="s">
        <v>60</v>
      </c>
      <c r="O895" s="10" t="s">
        <v>61</v>
      </c>
      <c r="P895" s="10">
        <v>43795</v>
      </c>
      <c r="Q895" s="15">
        <v>34350</v>
      </c>
      <c r="R895" s="15">
        <v>55350</v>
      </c>
      <c r="S895" s="15">
        <f>Table1[[#This Row],[Retail Price]]-Table1[[#This Row],[Cost Price]]</f>
        <v>21000</v>
      </c>
      <c r="T895" s="10">
        <v>13</v>
      </c>
      <c r="U895" s="15">
        <f>Table1[[#This Row],[Profit Margin]]*Table1[[#This Row],[Order Quantity]]</f>
        <v>273000</v>
      </c>
      <c r="V895" s="11">
        <v>0.04</v>
      </c>
      <c r="W895" s="15">
        <f t="shared" si="13"/>
        <v>10920</v>
      </c>
      <c r="X895" s="15">
        <f>Table1[[#This Row],[Sub Total]]-Table1[[#This Row],[Discount Rp]]</f>
        <v>262080</v>
      </c>
      <c r="Y895" s="15">
        <f ca="1">OFFSET(Helper!$C$3,MATCH(Data!$N$4:$N$1003,Helper!$C$4:$C$9,0),MATCH(Data!$O$4:$O$1003,Helper!$D$3:$F$3,0))</f>
        <v>15000</v>
      </c>
      <c r="Z895" s="16">
        <f ca="1">Table1[[#This Row],[Order Total]]+Table1[[#This Row],[Shipping Cost]]</f>
        <v>277080</v>
      </c>
    </row>
    <row r="896" spans="1:26" ht="15.75" customHeight="1" x14ac:dyDescent="0.3">
      <c r="A896" s="9" t="s">
        <v>1789</v>
      </c>
      <c r="B896" s="18">
        <v>43793</v>
      </c>
      <c r="C896" s="10">
        <f>YEAR(Table1[[#This Row],[Order Date]])</f>
        <v>2019</v>
      </c>
      <c r="D896" s="10" t="s">
        <v>1518</v>
      </c>
      <c r="E896" s="10" t="s">
        <v>1102</v>
      </c>
      <c r="F896" s="10" t="s">
        <v>71</v>
      </c>
      <c r="G896" s="10" t="s">
        <v>72</v>
      </c>
      <c r="H896" s="10" t="s">
        <v>73</v>
      </c>
      <c r="I896" s="10" t="str">
        <f>VLOOKUP(Table1[[#This Row],[Account Manager ID]],Table2[[Employee ID]:[Full Name]],4,FALSE)</f>
        <v>Cinthia Gunawan</v>
      </c>
      <c r="J896" s="10" t="str">
        <f>INDEX(Employee!$D$4:$D$47,MATCH($H$4:$H$1003,Employee!$A$4:$A$47,0))</f>
        <v>Cinthia Gunawan</v>
      </c>
      <c r="K896" s="10" t="s">
        <v>117</v>
      </c>
      <c r="L896" s="10" t="s">
        <v>394</v>
      </c>
      <c r="M896" s="10" t="s">
        <v>59</v>
      </c>
      <c r="N896" s="10" t="s">
        <v>67</v>
      </c>
      <c r="O896" s="10" t="s">
        <v>61</v>
      </c>
      <c r="P896" s="10">
        <v>43795</v>
      </c>
      <c r="Q896" s="15">
        <v>3600</v>
      </c>
      <c r="R896" s="15">
        <v>18900</v>
      </c>
      <c r="S896" s="15">
        <f>Table1[[#This Row],[Retail Price]]-Table1[[#This Row],[Cost Price]]</f>
        <v>15300</v>
      </c>
      <c r="T896" s="10">
        <v>34</v>
      </c>
      <c r="U896" s="15">
        <f>Table1[[#This Row],[Profit Margin]]*Table1[[#This Row],[Order Quantity]]</f>
        <v>520200</v>
      </c>
      <c r="V896" s="11">
        <v>0</v>
      </c>
      <c r="W896" s="15">
        <f t="shared" si="13"/>
        <v>0</v>
      </c>
      <c r="X896" s="15">
        <f>Table1[[#This Row],[Sub Total]]-Table1[[#This Row],[Discount Rp]]</f>
        <v>520200</v>
      </c>
      <c r="Y896" s="15">
        <f ca="1">OFFSET(Helper!$C$3,MATCH(Data!$N$4:$N$1003,Helper!$C$4:$C$9,0),MATCH(Data!$O$4:$O$1003,Helper!$D$3:$F$3,0))</f>
        <v>5000</v>
      </c>
      <c r="Z896" s="16">
        <f ca="1">Table1[[#This Row],[Order Total]]+Table1[[#This Row],[Shipping Cost]]</f>
        <v>525200</v>
      </c>
    </row>
    <row r="897" spans="1:26" ht="15.75" customHeight="1" x14ac:dyDescent="0.3">
      <c r="A897" s="9" t="s">
        <v>1790</v>
      </c>
      <c r="B897" s="18">
        <v>43797</v>
      </c>
      <c r="C897" s="10">
        <f>YEAR(Table1[[#This Row],[Order Date]])</f>
        <v>2019</v>
      </c>
      <c r="D897" s="10" t="s">
        <v>1167</v>
      </c>
      <c r="E897" s="10" t="s">
        <v>485</v>
      </c>
      <c r="F897" s="10" t="s">
        <v>71</v>
      </c>
      <c r="G897" s="10" t="s">
        <v>72</v>
      </c>
      <c r="H897" s="10" t="s">
        <v>185</v>
      </c>
      <c r="I897" s="10" t="str">
        <f>VLOOKUP(Table1[[#This Row],[Account Manager ID]],Table2[[Employee ID]:[Full Name]],4,FALSE)</f>
        <v>Clara Prasetyo</v>
      </c>
      <c r="J897" s="10" t="str">
        <f>INDEX(Employee!$D$4:$D$47,MATCH($H$4:$H$1003,Employee!$A$4:$A$47,0))</f>
        <v>Clara Prasetyo</v>
      </c>
      <c r="K897" s="10" t="s">
        <v>92</v>
      </c>
      <c r="L897" s="10" t="s">
        <v>500</v>
      </c>
      <c r="M897" s="10" t="s">
        <v>59</v>
      </c>
      <c r="N897" s="10" t="s">
        <v>60</v>
      </c>
      <c r="O897" s="10" t="s">
        <v>76</v>
      </c>
      <c r="P897" s="10">
        <v>43802</v>
      </c>
      <c r="Q897" s="15">
        <v>36750</v>
      </c>
      <c r="R897" s="15">
        <v>58350</v>
      </c>
      <c r="S897" s="15">
        <f>Table1[[#This Row],[Retail Price]]-Table1[[#This Row],[Cost Price]]</f>
        <v>21600</v>
      </c>
      <c r="T897" s="10">
        <v>30</v>
      </c>
      <c r="U897" s="15">
        <f>Table1[[#This Row],[Profit Margin]]*Table1[[#This Row],[Order Quantity]]</f>
        <v>648000</v>
      </c>
      <c r="V897" s="11">
        <v>0.09</v>
      </c>
      <c r="W897" s="15">
        <f t="shared" si="13"/>
        <v>58320</v>
      </c>
      <c r="X897" s="15">
        <f>Table1[[#This Row],[Sub Total]]-Table1[[#This Row],[Discount Rp]]</f>
        <v>589680</v>
      </c>
      <c r="Y897" s="15">
        <f ca="1">OFFSET(Helper!$C$3,MATCH(Data!$N$4:$N$1003,Helper!$C$4:$C$9,0),MATCH(Data!$O$4:$O$1003,Helper!$D$3:$F$3,0))</f>
        <v>30000</v>
      </c>
      <c r="Z897" s="16">
        <f ca="1">Table1[[#This Row],[Order Total]]+Table1[[#This Row],[Shipping Cost]]</f>
        <v>619680</v>
      </c>
    </row>
    <row r="898" spans="1:26" ht="15.75" customHeight="1" x14ac:dyDescent="0.3">
      <c r="A898" s="9" t="s">
        <v>1791</v>
      </c>
      <c r="B898" s="18">
        <v>43799</v>
      </c>
      <c r="C898" s="10">
        <f>YEAR(Table1[[#This Row],[Order Date]])</f>
        <v>2019</v>
      </c>
      <c r="D898" s="10" t="s">
        <v>1096</v>
      </c>
      <c r="E898" s="10" t="s">
        <v>813</v>
      </c>
      <c r="F898" s="10" t="s">
        <v>54</v>
      </c>
      <c r="G898" s="10" t="s">
        <v>87</v>
      </c>
      <c r="H898" s="10" t="s">
        <v>65</v>
      </c>
      <c r="I898" s="10" t="str">
        <f>VLOOKUP(Table1[[#This Row],[Account Manager ID]],Table2[[Employee ID]:[Full Name]],4,FALSE)</f>
        <v>Laras Nuraini</v>
      </c>
      <c r="J898" s="10" t="str">
        <f>INDEX(Employee!$D$4:$D$47,MATCH($H$4:$H$1003,Employee!$A$4:$A$47,0))</f>
        <v>Laras Nuraini</v>
      </c>
      <c r="K898" s="10" t="s">
        <v>57</v>
      </c>
      <c r="L898" s="10" t="s">
        <v>331</v>
      </c>
      <c r="M898" s="10" t="s">
        <v>59</v>
      </c>
      <c r="N898" s="10" t="s">
        <v>67</v>
      </c>
      <c r="O898" s="10" t="s">
        <v>61</v>
      </c>
      <c r="P898" s="10">
        <v>43800</v>
      </c>
      <c r="Q898" s="15">
        <v>43500</v>
      </c>
      <c r="R898" s="15">
        <v>71400</v>
      </c>
      <c r="S898" s="15">
        <f>Table1[[#This Row],[Retail Price]]-Table1[[#This Row],[Cost Price]]</f>
        <v>27900</v>
      </c>
      <c r="T898" s="10">
        <v>1</v>
      </c>
      <c r="U898" s="15">
        <f>Table1[[#This Row],[Profit Margin]]*Table1[[#This Row],[Order Quantity]]</f>
        <v>27900</v>
      </c>
      <c r="V898" s="11">
        <v>0.02</v>
      </c>
      <c r="W898" s="15">
        <f t="shared" si="13"/>
        <v>558</v>
      </c>
      <c r="X898" s="15">
        <f>Table1[[#This Row],[Sub Total]]-Table1[[#This Row],[Discount Rp]]</f>
        <v>27342</v>
      </c>
      <c r="Y898" s="15">
        <f ca="1">OFFSET(Helper!$C$3,MATCH(Data!$N$4:$N$1003,Helper!$C$4:$C$9,0),MATCH(Data!$O$4:$O$1003,Helper!$D$3:$F$3,0))</f>
        <v>5000</v>
      </c>
      <c r="Z898" s="16">
        <f ca="1">Table1[[#This Row],[Order Total]]+Table1[[#This Row],[Shipping Cost]]</f>
        <v>32342</v>
      </c>
    </row>
    <row r="899" spans="1:26" ht="15.75" customHeight="1" x14ac:dyDescent="0.3">
      <c r="A899" s="9" t="s">
        <v>1792</v>
      </c>
      <c r="B899" s="18">
        <v>43800</v>
      </c>
      <c r="C899" s="10">
        <f>YEAR(Table1[[#This Row],[Order Date]])</f>
        <v>2019</v>
      </c>
      <c r="D899" s="10" t="s">
        <v>1672</v>
      </c>
      <c r="E899" s="10" t="s">
        <v>418</v>
      </c>
      <c r="F899" s="10" t="s">
        <v>261</v>
      </c>
      <c r="G899" s="10" t="s">
        <v>55</v>
      </c>
      <c r="H899" s="10" t="s">
        <v>97</v>
      </c>
      <c r="I899" s="10" t="str">
        <f>VLOOKUP(Table1[[#This Row],[Account Manager ID]],Table2[[Employee ID]:[Full Name]],4,FALSE)</f>
        <v>Violet Mentari</v>
      </c>
      <c r="J899" s="10" t="str">
        <f>INDEX(Employee!$D$4:$D$47,MATCH($H$4:$H$1003,Employee!$A$4:$A$47,0))</f>
        <v>Violet Mentari</v>
      </c>
      <c r="K899" s="10" t="s">
        <v>57</v>
      </c>
      <c r="L899" s="10" t="s">
        <v>588</v>
      </c>
      <c r="M899" s="10" t="s">
        <v>59</v>
      </c>
      <c r="N899" s="10" t="s">
        <v>60</v>
      </c>
      <c r="O899" s="10" t="s">
        <v>76</v>
      </c>
      <c r="P899" s="10">
        <v>43802</v>
      </c>
      <c r="Q899" s="15">
        <v>67950</v>
      </c>
      <c r="R899" s="15">
        <v>109500</v>
      </c>
      <c r="S899" s="15">
        <f>Table1[[#This Row],[Retail Price]]-Table1[[#This Row],[Cost Price]]</f>
        <v>41550</v>
      </c>
      <c r="T899" s="10">
        <v>41</v>
      </c>
      <c r="U899" s="15">
        <f>Table1[[#This Row],[Profit Margin]]*Table1[[#This Row],[Order Quantity]]</f>
        <v>1703550</v>
      </c>
      <c r="V899" s="11">
        <v>0.05</v>
      </c>
      <c r="W899" s="15">
        <f t="shared" si="13"/>
        <v>85177.5</v>
      </c>
      <c r="X899" s="15">
        <f>Table1[[#This Row],[Sub Total]]-Table1[[#This Row],[Discount Rp]]</f>
        <v>1618372.5</v>
      </c>
      <c r="Y899" s="15">
        <f ca="1">OFFSET(Helper!$C$3,MATCH(Data!$N$4:$N$1003,Helper!$C$4:$C$9,0),MATCH(Data!$O$4:$O$1003,Helper!$D$3:$F$3,0))</f>
        <v>30000</v>
      </c>
      <c r="Z899" s="16">
        <f ca="1">Table1[[#This Row],[Order Total]]+Table1[[#This Row],[Shipping Cost]]</f>
        <v>1648372.5</v>
      </c>
    </row>
    <row r="900" spans="1:26" ht="15.75" customHeight="1" x14ac:dyDescent="0.3">
      <c r="A900" s="9" t="s">
        <v>1793</v>
      </c>
      <c r="B900" s="18">
        <v>43800</v>
      </c>
      <c r="C900" s="10">
        <f>YEAR(Table1[[#This Row],[Order Date]])</f>
        <v>2019</v>
      </c>
      <c r="D900" s="10" t="s">
        <v>1530</v>
      </c>
      <c r="E900" s="10" t="s">
        <v>169</v>
      </c>
      <c r="F900" s="10" t="s">
        <v>54</v>
      </c>
      <c r="G900" s="10" t="s">
        <v>55</v>
      </c>
      <c r="H900" s="10" t="s">
        <v>65</v>
      </c>
      <c r="I900" s="10" t="str">
        <f>VLOOKUP(Table1[[#This Row],[Account Manager ID]],Table2[[Employee ID]:[Full Name]],4,FALSE)</f>
        <v>Laras Nuraini</v>
      </c>
      <c r="J900" s="10" t="str">
        <f>INDEX(Employee!$D$4:$D$47,MATCH($H$4:$H$1003,Employee!$A$4:$A$47,0))</f>
        <v>Laras Nuraini</v>
      </c>
      <c r="K900" s="10" t="s">
        <v>92</v>
      </c>
      <c r="L900" s="10" t="s">
        <v>284</v>
      </c>
      <c r="M900" s="10" t="s">
        <v>59</v>
      </c>
      <c r="N900" s="10" t="s">
        <v>60</v>
      </c>
      <c r="O900" s="10" t="s">
        <v>61</v>
      </c>
      <c r="P900" s="10">
        <v>43804</v>
      </c>
      <c r="Q900" s="15">
        <v>33750</v>
      </c>
      <c r="R900" s="15">
        <v>55350</v>
      </c>
      <c r="S900" s="15">
        <f>Table1[[#This Row],[Retail Price]]-Table1[[#This Row],[Cost Price]]</f>
        <v>21600</v>
      </c>
      <c r="T900" s="10">
        <v>16</v>
      </c>
      <c r="U900" s="15">
        <f>Table1[[#This Row],[Profit Margin]]*Table1[[#This Row],[Order Quantity]]</f>
        <v>345600</v>
      </c>
      <c r="V900" s="11">
        <v>0.02</v>
      </c>
      <c r="W900" s="15">
        <f t="shared" ref="W900:W963" si="14">V900*U900</f>
        <v>6912</v>
      </c>
      <c r="X900" s="15">
        <f>Table1[[#This Row],[Sub Total]]-Table1[[#This Row],[Discount Rp]]</f>
        <v>338688</v>
      </c>
      <c r="Y900" s="15">
        <f ca="1">OFFSET(Helper!$C$3,MATCH(Data!$N$4:$N$1003,Helper!$C$4:$C$9,0),MATCH(Data!$O$4:$O$1003,Helper!$D$3:$F$3,0))</f>
        <v>15000</v>
      </c>
      <c r="Z900" s="16">
        <f ca="1">Table1[[#This Row],[Order Total]]+Table1[[#This Row],[Shipping Cost]]</f>
        <v>353688</v>
      </c>
    </row>
    <row r="901" spans="1:26" ht="15.75" customHeight="1" x14ac:dyDescent="0.3">
      <c r="A901" s="9" t="s">
        <v>1794</v>
      </c>
      <c r="B901" s="18">
        <v>43802</v>
      </c>
      <c r="C901" s="10">
        <f>YEAR(Table1[[#This Row],[Order Date]])</f>
        <v>2019</v>
      </c>
      <c r="D901" s="10" t="s">
        <v>987</v>
      </c>
      <c r="E901" s="10" t="s">
        <v>53</v>
      </c>
      <c r="F901" s="10" t="s">
        <v>54</v>
      </c>
      <c r="G901" s="10" t="s">
        <v>87</v>
      </c>
      <c r="H901" s="10" t="s">
        <v>56</v>
      </c>
      <c r="I901" s="10" t="str">
        <f>VLOOKUP(Table1[[#This Row],[Account Manager ID]],Table2[[Employee ID]:[Full Name]],4,FALSE)</f>
        <v>Gaduh Pratama</v>
      </c>
      <c r="J901" s="10" t="str">
        <f>INDEX(Employee!$D$4:$D$47,MATCH($H$4:$H$1003,Employee!$A$4:$A$47,0))</f>
        <v>Gaduh Pratama</v>
      </c>
      <c r="K901" s="10" t="s">
        <v>92</v>
      </c>
      <c r="L901" s="10" t="s">
        <v>700</v>
      </c>
      <c r="M901" s="10" t="s">
        <v>59</v>
      </c>
      <c r="N901" s="10" t="s">
        <v>67</v>
      </c>
      <c r="O901" s="10" t="s">
        <v>61</v>
      </c>
      <c r="P901" s="10">
        <v>43807</v>
      </c>
      <c r="Q901" s="15">
        <v>34650</v>
      </c>
      <c r="R901" s="15">
        <v>56700</v>
      </c>
      <c r="S901" s="15">
        <f>Table1[[#This Row],[Retail Price]]-Table1[[#This Row],[Cost Price]]</f>
        <v>22050</v>
      </c>
      <c r="T901" s="10">
        <v>28</v>
      </c>
      <c r="U901" s="15">
        <f>Table1[[#This Row],[Profit Margin]]*Table1[[#This Row],[Order Quantity]]</f>
        <v>617400</v>
      </c>
      <c r="V901" s="11">
        <v>0.06</v>
      </c>
      <c r="W901" s="15">
        <f t="shared" si="14"/>
        <v>37044</v>
      </c>
      <c r="X901" s="15">
        <f>Table1[[#This Row],[Sub Total]]-Table1[[#This Row],[Discount Rp]]</f>
        <v>580356</v>
      </c>
      <c r="Y901" s="15">
        <f ca="1">OFFSET(Helper!$C$3,MATCH(Data!$N$4:$N$1003,Helper!$C$4:$C$9,0),MATCH(Data!$O$4:$O$1003,Helper!$D$3:$F$3,0))</f>
        <v>5000</v>
      </c>
      <c r="Z901" s="16">
        <f ca="1">Table1[[#This Row],[Order Total]]+Table1[[#This Row],[Shipping Cost]]</f>
        <v>585356</v>
      </c>
    </row>
    <row r="902" spans="1:26" ht="15.75" customHeight="1" x14ac:dyDescent="0.3">
      <c r="A902" s="9" t="s">
        <v>1795</v>
      </c>
      <c r="B902" s="18">
        <v>43805</v>
      </c>
      <c r="C902" s="10">
        <f>YEAR(Table1[[#This Row],[Order Date]])</f>
        <v>2019</v>
      </c>
      <c r="D902" s="10" t="s">
        <v>976</v>
      </c>
      <c r="E902" s="10" t="s">
        <v>977</v>
      </c>
      <c r="F902" s="10" t="s">
        <v>71</v>
      </c>
      <c r="G902" s="10" t="s">
        <v>72</v>
      </c>
      <c r="H902" s="10" t="s">
        <v>194</v>
      </c>
      <c r="I902" s="10" t="str">
        <f>VLOOKUP(Table1[[#This Row],[Account Manager ID]],Table2[[Employee ID]:[Full Name]],4,FALSE)</f>
        <v>Nabila Prakasa</v>
      </c>
      <c r="J902" s="10" t="str">
        <f>INDEX(Employee!$D$4:$D$47,MATCH($H$4:$H$1003,Employee!$A$4:$A$47,0))</f>
        <v>Nabila Prakasa</v>
      </c>
      <c r="K902" s="10" t="s">
        <v>107</v>
      </c>
      <c r="L902" s="10" t="s">
        <v>349</v>
      </c>
      <c r="M902" s="10" t="s">
        <v>59</v>
      </c>
      <c r="N902" s="10" t="s">
        <v>67</v>
      </c>
      <c r="O902" s="10" t="s">
        <v>61</v>
      </c>
      <c r="P902" s="10">
        <v>43807</v>
      </c>
      <c r="Q902" s="15">
        <v>166650</v>
      </c>
      <c r="R902" s="15">
        <v>297600</v>
      </c>
      <c r="S902" s="15">
        <f>Table1[[#This Row],[Retail Price]]-Table1[[#This Row],[Cost Price]]</f>
        <v>130950</v>
      </c>
      <c r="T902" s="10">
        <v>22</v>
      </c>
      <c r="U902" s="15">
        <f>Table1[[#This Row],[Profit Margin]]*Table1[[#This Row],[Order Quantity]]</f>
        <v>2880900</v>
      </c>
      <c r="V902" s="11">
        <v>0.06</v>
      </c>
      <c r="W902" s="15">
        <f t="shared" si="14"/>
        <v>172854</v>
      </c>
      <c r="X902" s="15">
        <f>Table1[[#This Row],[Sub Total]]-Table1[[#This Row],[Discount Rp]]</f>
        <v>2708046</v>
      </c>
      <c r="Y902" s="15">
        <f ca="1">OFFSET(Helper!$C$3,MATCH(Data!$N$4:$N$1003,Helper!$C$4:$C$9,0),MATCH(Data!$O$4:$O$1003,Helper!$D$3:$F$3,0))</f>
        <v>5000</v>
      </c>
      <c r="Z902" s="16">
        <f ca="1">Table1[[#This Row],[Order Total]]+Table1[[#This Row],[Shipping Cost]]</f>
        <v>2713046</v>
      </c>
    </row>
    <row r="903" spans="1:26" ht="15.75" customHeight="1" x14ac:dyDescent="0.3">
      <c r="A903" s="9" t="s">
        <v>1796</v>
      </c>
      <c r="B903" s="18">
        <v>43806</v>
      </c>
      <c r="C903" s="10">
        <f>YEAR(Table1[[#This Row],[Order Date]])</f>
        <v>2019</v>
      </c>
      <c r="D903" s="10" t="s">
        <v>1093</v>
      </c>
      <c r="E903" s="10" t="s">
        <v>1094</v>
      </c>
      <c r="F903" s="10" t="s">
        <v>71</v>
      </c>
      <c r="G903" s="10" t="s">
        <v>55</v>
      </c>
      <c r="H903" s="10" t="s">
        <v>88</v>
      </c>
      <c r="I903" s="10" t="str">
        <f>VLOOKUP(Table1[[#This Row],[Account Manager ID]],Table2[[Employee ID]:[Full Name]],4,FALSE)</f>
        <v>Bagiya Sihombing</v>
      </c>
      <c r="J903" s="10" t="str">
        <f>INDEX(Employee!$D$4:$D$47,MATCH($H$4:$H$1003,Employee!$A$4:$A$47,0))</f>
        <v>Bagiya Sihombing</v>
      </c>
      <c r="K903" s="10" t="s">
        <v>92</v>
      </c>
      <c r="L903" s="10" t="s">
        <v>242</v>
      </c>
      <c r="M903" s="10" t="s">
        <v>81</v>
      </c>
      <c r="N903" s="10" t="s">
        <v>60</v>
      </c>
      <c r="O903" s="10" t="s">
        <v>61</v>
      </c>
      <c r="P903" s="10">
        <v>43806</v>
      </c>
      <c r="Q903" s="15">
        <v>296700</v>
      </c>
      <c r="R903" s="15">
        <v>689850</v>
      </c>
      <c r="S903" s="15">
        <f>Table1[[#This Row],[Retail Price]]-Table1[[#This Row],[Cost Price]]</f>
        <v>393150</v>
      </c>
      <c r="T903" s="10">
        <v>46</v>
      </c>
      <c r="U903" s="15">
        <f>Table1[[#This Row],[Profit Margin]]*Table1[[#This Row],[Order Quantity]]</f>
        <v>18084900</v>
      </c>
      <c r="V903" s="11">
        <v>0.1</v>
      </c>
      <c r="W903" s="15">
        <f t="shared" si="14"/>
        <v>1808490</v>
      </c>
      <c r="X903" s="15">
        <f>Table1[[#This Row],[Sub Total]]-Table1[[#This Row],[Discount Rp]]</f>
        <v>16276410</v>
      </c>
      <c r="Y903" s="15">
        <f ca="1">OFFSET(Helper!$C$3,MATCH(Data!$N$4:$N$1003,Helper!$C$4:$C$9,0),MATCH(Data!$O$4:$O$1003,Helper!$D$3:$F$3,0))</f>
        <v>15000</v>
      </c>
      <c r="Z903" s="16">
        <f ca="1">Table1[[#This Row],[Order Total]]+Table1[[#This Row],[Shipping Cost]]</f>
        <v>16291410</v>
      </c>
    </row>
    <row r="904" spans="1:26" ht="15.75" customHeight="1" x14ac:dyDescent="0.3">
      <c r="A904" s="9" t="s">
        <v>1797</v>
      </c>
      <c r="B904" s="18">
        <v>43806</v>
      </c>
      <c r="C904" s="10">
        <f>YEAR(Table1[[#This Row],[Order Date]])</f>
        <v>2019</v>
      </c>
      <c r="D904" s="10" t="s">
        <v>676</v>
      </c>
      <c r="E904" s="10" t="s">
        <v>445</v>
      </c>
      <c r="F904" s="10" t="s">
        <v>54</v>
      </c>
      <c r="G904" s="10" t="s">
        <v>106</v>
      </c>
      <c r="H904" s="10" t="s">
        <v>56</v>
      </c>
      <c r="I904" s="10" t="str">
        <f>VLOOKUP(Table1[[#This Row],[Account Manager ID]],Table2[[Employee ID]:[Full Name]],4,FALSE)</f>
        <v>Gaduh Pratama</v>
      </c>
      <c r="J904" s="10" t="str">
        <f>INDEX(Employee!$D$4:$D$47,MATCH($H$4:$H$1003,Employee!$A$4:$A$47,0))</f>
        <v>Gaduh Pratama</v>
      </c>
      <c r="K904" s="10" t="s">
        <v>107</v>
      </c>
      <c r="L904" s="10" t="s">
        <v>181</v>
      </c>
      <c r="M904" s="10" t="s">
        <v>59</v>
      </c>
      <c r="N904" s="10" t="s">
        <v>60</v>
      </c>
      <c r="O904" s="10" t="s">
        <v>61</v>
      </c>
      <c r="P904" s="10">
        <v>43809</v>
      </c>
      <c r="Q904" s="15">
        <v>23850</v>
      </c>
      <c r="R904" s="15">
        <v>39150</v>
      </c>
      <c r="S904" s="15">
        <f>Table1[[#This Row],[Retail Price]]-Table1[[#This Row],[Cost Price]]</f>
        <v>15300</v>
      </c>
      <c r="T904" s="10">
        <v>34</v>
      </c>
      <c r="U904" s="15">
        <f>Table1[[#This Row],[Profit Margin]]*Table1[[#This Row],[Order Quantity]]</f>
        <v>520200</v>
      </c>
      <c r="V904" s="11">
        <v>0</v>
      </c>
      <c r="W904" s="15">
        <f t="shared" si="14"/>
        <v>0</v>
      </c>
      <c r="X904" s="15">
        <f>Table1[[#This Row],[Sub Total]]-Table1[[#This Row],[Discount Rp]]</f>
        <v>520200</v>
      </c>
      <c r="Y904" s="15">
        <f ca="1">OFFSET(Helper!$C$3,MATCH(Data!$N$4:$N$1003,Helper!$C$4:$C$9,0),MATCH(Data!$O$4:$O$1003,Helper!$D$3:$F$3,0))</f>
        <v>15000</v>
      </c>
      <c r="Z904" s="16">
        <f ca="1">Table1[[#This Row],[Order Total]]+Table1[[#This Row],[Shipping Cost]]</f>
        <v>535200</v>
      </c>
    </row>
    <row r="905" spans="1:26" ht="15.75" customHeight="1" x14ac:dyDescent="0.3">
      <c r="A905" s="9" t="s">
        <v>1798</v>
      </c>
      <c r="B905" s="18">
        <v>43806</v>
      </c>
      <c r="C905" s="10">
        <f>YEAR(Table1[[#This Row],[Order Date]])</f>
        <v>2019</v>
      </c>
      <c r="D905" s="10" t="s">
        <v>528</v>
      </c>
      <c r="E905" s="10" t="s">
        <v>529</v>
      </c>
      <c r="F905" s="10" t="s">
        <v>261</v>
      </c>
      <c r="G905" s="10" t="s">
        <v>55</v>
      </c>
      <c r="H905" s="10" t="s">
        <v>316</v>
      </c>
      <c r="I905" s="10" t="str">
        <f>VLOOKUP(Table1[[#This Row],[Account Manager ID]],Table2[[Employee ID]:[Full Name]],4,FALSE)</f>
        <v>Sari Winarno</v>
      </c>
      <c r="J905" s="10" t="str">
        <f>INDEX(Employee!$D$4:$D$47,MATCH($H$4:$H$1003,Employee!$A$4:$A$47,0))</f>
        <v>Sari Winarno</v>
      </c>
      <c r="K905" s="10" t="s">
        <v>92</v>
      </c>
      <c r="L905" s="10" t="s">
        <v>751</v>
      </c>
      <c r="M905" s="10" t="s">
        <v>81</v>
      </c>
      <c r="N905" s="10" t="s">
        <v>459</v>
      </c>
      <c r="O905" s="10" t="s">
        <v>61</v>
      </c>
      <c r="P905" s="10">
        <v>43815</v>
      </c>
      <c r="Q905" s="15">
        <v>5669850</v>
      </c>
      <c r="R905" s="15">
        <v>8999850</v>
      </c>
      <c r="S905" s="15">
        <f>Table1[[#This Row],[Retail Price]]-Table1[[#This Row],[Cost Price]]</f>
        <v>3330000</v>
      </c>
      <c r="T905" s="10">
        <v>16</v>
      </c>
      <c r="U905" s="15">
        <f>Table1[[#This Row],[Profit Margin]]*Table1[[#This Row],[Order Quantity]]</f>
        <v>53280000</v>
      </c>
      <c r="V905" s="11">
        <v>0</v>
      </c>
      <c r="W905" s="15">
        <f t="shared" si="14"/>
        <v>0</v>
      </c>
      <c r="X905" s="15">
        <f>Table1[[#This Row],[Sub Total]]-Table1[[#This Row],[Discount Rp]]</f>
        <v>53280000</v>
      </c>
      <c r="Y905" s="15">
        <f ca="1">OFFSET(Helper!$C$3,MATCH(Data!$N$4:$N$1003,Helper!$C$4:$C$9,0),MATCH(Data!$O$4:$O$1003,Helper!$D$3:$F$3,0))</f>
        <v>50000</v>
      </c>
      <c r="Z905" s="16">
        <f ca="1">Table1[[#This Row],[Order Total]]+Table1[[#This Row],[Shipping Cost]]</f>
        <v>53330000</v>
      </c>
    </row>
    <row r="906" spans="1:26" ht="15.75" customHeight="1" x14ac:dyDescent="0.3">
      <c r="A906" s="9" t="s">
        <v>1799</v>
      </c>
      <c r="B906" s="18">
        <v>43806</v>
      </c>
      <c r="C906" s="10">
        <f>YEAR(Table1[[#This Row],[Order Date]])</f>
        <v>2019</v>
      </c>
      <c r="D906" s="10" t="s">
        <v>528</v>
      </c>
      <c r="E906" s="10" t="s">
        <v>529</v>
      </c>
      <c r="F906" s="10" t="s">
        <v>261</v>
      </c>
      <c r="G906" s="10" t="s">
        <v>55</v>
      </c>
      <c r="H906" s="10" t="s">
        <v>316</v>
      </c>
      <c r="I906" s="10" t="str">
        <f>VLOOKUP(Table1[[#This Row],[Account Manager ID]],Table2[[Employee ID]:[Full Name]],4,FALSE)</f>
        <v>Sari Winarno</v>
      </c>
      <c r="J906" s="10" t="str">
        <f>INDEX(Employee!$D$4:$D$47,MATCH($H$4:$H$1003,Employee!$A$4:$A$47,0))</f>
        <v>Sari Winarno</v>
      </c>
      <c r="K906" s="10" t="s">
        <v>92</v>
      </c>
      <c r="L906" s="10" t="s">
        <v>349</v>
      </c>
      <c r="M906" s="10" t="s">
        <v>59</v>
      </c>
      <c r="N906" s="10" t="s">
        <v>67</v>
      </c>
      <c r="O906" s="10" t="s">
        <v>61</v>
      </c>
      <c r="P906" s="10">
        <v>43815</v>
      </c>
      <c r="Q906" s="15">
        <v>166650</v>
      </c>
      <c r="R906" s="15">
        <v>297600</v>
      </c>
      <c r="S906" s="15">
        <f>Table1[[#This Row],[Retail Price]]-Table1[[#This Row],[Cost Price]]</f>
        <v>130950</v>
      </c>
      <c r="T906" s="10">
        <v>39</v>
      </c>
      <c r="U906" s="15">
        <f>Table1[[#This Row],[Profit Margin]]*Table1[[#This Row],[Order Quantity]]</f>
        <v>5107050</v>
      </c>
      <c r="V906" s="11">
        <v>0.01</v>
      </c>
      <c r="W906" s="15">
        <f t="shared" si="14"/>
        <v>51070.5</v>
      </c>
      <c r="X906" s="15">
        <f>Table1[[#This Row],[Sub Total]]-Table1[[#This Row],[Discount Rp]]</f>
        <v>5055979.5</v>
      </c>
      <c r="Y906" s="15">
        <f ca="1">OFFSET(Helper!$C$3,MATCH(Data!$N$4:$N$1003,Helper!$C$4:$C$9,0),MATCH(Data!$O$4:$O$1003,Helper!$D$3:$F$3,0))</f>
        <v>5000</v>
      </c>
      <c r="Z906" s="16">
        <f ca="1">Table1[[#This Row],[Order Total]]+Table1[[#This Row],[Shipping Cost]]</f>
        <v>5060979.5</v>
      </c>
    </row>
    <row r="907" spans="1:26" ht="15.75" customHeight="1" x14ac:dyDescent="0.3">
      <c r="A907" s="9" t="s">
        <v>1800</v>
      </c>
      <c r="B907" s="18">
        <v>43806</v>
      </c>
      <c r="C907" s="10">
        <f>YEAR(Table1[[#This Row],[Order Date]])</f>
        <v>2019</v>
      </c>
      <c r="D907" s="10" t="s">
        <v>1628</v>
      </c>
      <c r="E907" s="10" t="s">
        <v>1363</v>
      </c>
      <c r="F907" s="10" t="s">
        <v>71</v>
      </c>
      <c r="G907" s="10" t="s">
        <v>106</v>
      </c>
      <c r="H907" s="10" t="s">
        <v>122</v>
      </c>
      <c r="I907" s="10" t="str">
        <f>VLOOKUP(Table1[[#This Row],[Account Manager ID]],Table2[[Employee ID]:[Full Name]],4,FALSE)</f>
        <v>Ophelia Mustofa</v>
      </c>
      <c r="J907" s="10" t="str">
        <f>INDEX(Employee!$D$4:$D$47,MATCH($H$4:$H$1003,Employee!$A$4:$A$47,0))</f>
        <v>Ophelia Mustofa</v>
      </c>
      <c r="K907" s="10" t="s">
        <v>117</v>
      </c>
      <c r="L907" s="10" t="s">
        <v>442</v>
      </c>
      <c r="M907" s="10" t="s">
        <v>59</v>
      </c>
      <c r="N907" s="10" t="s">
        <v>67</v>
      </c>
      <c r="O907" s="10" t="s">
        <v>61</v>
      </c>
      <c r="P907" s="10">
        <v>43806</v>
      </c>
      <c r="Q907" s="15">
        <v>22950</v>
      </c>
      <c r="R907" s="15">
        <v>41700</v>
      </c>
      <c r="S907" s="15">
        <f>Table1[[#This Row],[Retail Price]]-Table1[[#This Row],[Cost Price]]</f>
        <v>18750</v>
      </c>
      <c r="T907" s="10">
        <v>23</v>
      </c>
      <c r="U907" s="15">
        <f>Table1[[#This Row],[Profit Margin]]*Table1[[#This Row],[Order Quantity]]</f>
        <v>431250</v>
      </c>
      <c r="V907" s="11">
        <v>0.01</v>
      </c>
      <c r="W907" s="15">
        <f t="shared" si="14"/>
        <v>4312.5</v>
      </c>
      <c r="X907" s="15">
        <f>Table1[[#This Row],[Sub Total]]-Table1[[#This Row],[Discount Rp]]</f>
        <v>426937.5</v>
      </c>
      <c r="Y907" s="15">
        <f ca="1">OFFSET(Helper!$C$3,MATCH(Data!$N$4:$N$1003,Helper!$C$4:$C$9,0),MATCH(Data!$O$4:$O$1003,Helper!$D$3:$F$3,0))</f>
        <v>5000</v>
      </c>
      <c r="Z907" s="16">
        <f ca="1">Table1[[#This Row],[Order Total]]+Table1[[#This Row],[Shipping Cost]]</f>
        <v>431937.5</v>
      </c>
    </row>
    <row r="908" spans="1:26" ht="15.75" customHeight="1" x14ac:dyDescent="0.3">
      <c r="A908" s="12" t="s">
        <v>1801</v>
      </c>
      <c r="B908" s="18">
        <v>43806</v>
      </c>
      <c r="C908" s="10">
        <f>YEAR(Table1[[#This Row],[Order Date]])</f>
        <v>2019</v>
      </c>
      <c r="D908" s="10" t="s">
        <v>188</v>
      </c>
      <c r="E908" s="10" t="s">
        <v>189</v>
      </c>
      <c r="F908" s="10" t="s">
        <v>54</v>
      </c>
      <c r="G908" s="10" t="s">
        <v>72</v>
      </c>
      <c r="H908" s="10" t="s">
        <v>56</v>
      </c>
      <c r="I908" s="10" t="str">
        <f>VLOOKUP(Table1[[#This Row],[Account Manager ID]],Table2[[Employee ID]:[Full Name]],4,FALSE)</f>
        <v>Gaduh Pratama</v>
      </c>
      <c r="J908" s="10" t="str">
        <f>INDEX(Employee!$D$4:$D$47,MATCH($H$4:$H$1003,Employee!$A$4:$A$47,0))</f>
        <v>Gaduh Pratama</v>
      </c>
      <c r="K908" s="10" t="s">
        <v>117</v>
      </c>
      <c r="L908" s="10" t="s">
        <v>371</v>
      </c>
      <c r="M908" s="10" t="s">
        <v>59</v>
      </c>
      <c r="N908" s="10" t="s">
        <v>60</v>
      </c>
      <c r="O908" s="10" t="s">
        <v>61</v>
      </c>
      <c r="P908" s="10">
        <v>43807</v>
      </c>
      <c r="Q908" s="15">
        <v>252750.00000000003</v>
      </c>
      <c r="R908" s="15">
        <v>407700</v>
      </c>
      <c r="S908" s="15">
        <f>Table1[[#This Row],[Retail Price]]-Table1[[#This Row],[Cost Price]]</f>
        <v>154949.99999999997</v>
      </c>
      <c r="T908" s="10">
        <v>50</v>
      </c>
      <c r="U908" s="15">
        <f>Table1[[#This Row],[Profit Margin]]*Table1[[#This Row],[Order Quantity]]</f>
        <v>7747499.9999999981</v>
      </c>
      <c r="V908" s="11">
        <v>0.02</v>
      </c>
      <c r="W908" s="15">
        <f t="shared" si="14"/>
        <v>154949.99999999997</v>
      </c>
      <c r="X908" s="15">
        <f>Table1[[#This Row],[Sub Total]]-Table1[[#This Row],[Discount Rp]]</f>
        <v>7592549.9999999981</v>
      </c>
      <c r="Y908" s="15">
        <f ca="1">OFFSET(Helper!$C$3,MATCH(Data!$N$4:$N$1003,Helper!$C$4:$C$9,0),MATCH(Data!$O$4:$O$1003,Helper!$D$3:$F$3,0))</f>
        <v>15000</v>
      </c>
      <c r="Z908" s="16">
        <f ca="1">Table1[[#This Row],[Order Total]]+Table1[[#This Row],[Shipping Cost]]</f>
        <v>7607549.9999999981</v>
      </c>
    </row>
    <row r="909" spans="1:26" ht="15.75" customHeight="1" x14ac:dyDescent="0.3">
      <c r="A909" s="9" t="s">
        <v>1802</v>
      </c>
      <c r="B909" s="18">
        <v>43809</v>
      </c>
      <c r="C909" s="10">
        <f>YEAR(Table1[[#This Row],[Order Date]])</f>
        <v>2019</v>
      </c>
      <c r="D909" s="10" t="s">
        <v>1435</v>
      </c>
      <c r="E909" s="10" t="s">
        <v>159</v>
      </c>
      <c r="F909" s="10" t="s">
        <v>71</v>
      </c>
      <c r="G909" s="10" t="s">
        <v>72</v>
      </c>
      <c r="H909" s="10" t="s">
        <v>122</v>
      </c>
      <c r="I909" s="10" t="str">
        <f>VLOOKUP(Table1[[#This Row],[Account Manager ID]],Table2[[Employee ID]:[Full Name]],4,FALSE)</f>
        <v>Ophelia Mustofa</v>
      </c>
      <c r="J909" s="10" t="str">
        <f>INDEX(Employee!$D$4:$D$47,MATCH($H$4:$H$1003,Employee!$A$4:$A$47,0))</f>
        <v>Ophelia Mustofa</v>
      </c>
      <c r="K909" s="10" t="s">
        <v>57</v>
      </c>
      <c r="L909" s="10" t="s">
        <v>488</v>
      </c>
      <c r="M909" s="10" t="s">
        <v>59</v>
      </c>
      <c r="N909" s="10" t="s">
        <v>136</v>
      </c>
      <c r="O909" s="10" t="s">
        <v>76</v>
      </c>
      <c r="P909" s="10">
        <v>43810</v>
      </c>
      <c r="Q909" s="15">
        <v>77850</v>
      </c>
      <c r="R909" s="15">
        <v>194700</v>
      </c>
      <c r="S909" s="15">
        <f>Table1[[#This Row],[Retail Price]]-Table1[[#This Row],[Cost Price]]</f>
        <v>116850</v>
      </c>
      <c r="T909" s="10">
        <v>42</v>
      </c>
      <c r="U909" s="15">
        <f>Table1[[#This Row],[Profit Margin]]*Table1[[#This Row],[Order Quantity]]</f>
        <v>4907700</v>
      </c>
      <c r="V909" s="11">
        <v>0.05</v>
      </c>
      <c r="W909" s="15">
        <f t="shared" si="14"/>
        <v>245385</v>
      </c>
      <c r="X909" s="15">
        <f>Table1[[#This Row],[Sub Total]]-Table1[[#This Row],[Discount Rp]]</f>
        <v>4662315</v>
      </c>
      <c r="Y909" s="15">
        <f ca="1">OFFSET(Helper!$C$3,MATCH(Data!$N$4:$N$1003,Helper!$C$4:$C$9,0),MATCH(Data!$O$4:$O$1003,Helper!$D$3:$F$3,0))</f>
        <v>20000</v>
      </c>
      <c r="Z909" s="16">
        <f ca="1">Table1[[#This Row],[Order Total]]+Table1[[#This Row],[Shipping Cost]]</f>
        <v>4682315</v>
      </c>
    </row>
    <row r="910" spans="1:26" ht="15.75" customHeight="1" x14ac:dyDescent="0.3">
      <c r="A910" s="9" t="s">
        <v>1803</v>
      </c>
      <c r="B910" s="18">
        <v>43813</v>
      </c>
      <c r="C910" s="10">
        <f>YEAR(Table1[[#This Row],[Order Date]])</f>
        <v>2019</v>
      </c>
      <c r="D910" s="10" t="s">
        <v>1750</v>
      </c>
      <c r="E910" s="10" t="s">
        <v>1160</v>
      </c>
      <c r="F910" s="10" t="s">
        <v>71</v>
      </c>
      <c r="G910" s="10" t="s">
        <v>87</v>
      </c>
      <c r="H910" s="10" t="s">
        <v>304</v>
      </c>
      <c r="I910" s="10" t="str">
        <f>VLOOKUP(Table1[[#This Row],[Account Manager ID]],Table2[[Employee ID]:[Full Name]],4,FALSE)</f>
        <v>Sutan Tirtayasa Wasita</v>
      </c>
      <c r="J910" s="10" t="str">
        <f>INDEX(Employee!$D$4:$D$47,MATCH($H$4:$H$1003,Employee!$A$4:$A$47,0))</f>
        <v>Sutan Tirtayasa Wasita</v>
      </c>
      <c r="K910" s="10" t="s">
        <v>74</v>
      </c>
      <c r="L910" s="10" t="s">
        <v>510</v>
      </c>
      <c r="M910" s="10" t="s">
        <v>59</v>
      </c>
      <c r="N910" s="10" t="s">
        <v>67</v>
      </c>
      <c r="O910" s="10" t="s">
        <v>61</v>
      </c>
      <c r="P910" s="10">
        <v>43815</v>
      </c>
      <c r="Q910" s="15">
        <v>49800</v>
      </c>
      <c r="R910" s="15">
        <v>77700</v>
      </c>
      <c r="S910" s="15">
        <f>Table1[[#This Row],[Retail Price]]-Table1[[#This Row],[Cost Price]]</f>
        <v>27900</v>
      </c>
      <c r="T910" s="10">
        <v>32</v>
      </c>
      <c r="U910" s="15">
        <f>Table1[[#This Row],[Profit Margin]]*Table1[[#This Row],[Order Quantity]]</f>
        <v>892800</v>
      </c>
      <c r="V910" s="11">
        <v>0.06</v>
      </c>
      <c r="W910" s="15">
        <f t="shared" si="14"/>
        <v>53568</v>
      </c>
      <c r="X910" s="15">
        <f>Table1[[#This Row],[Sub Total]]-Table1[[#This Row],[Discount Rp]]</f>
        <v>839232</v>
      </c>
      <c r="Y910" s="15">
        <f ca="1">OFFSET(Helper!$C$3,MATCH(Data!$N$4:$N$1003,Helper!$C$4:$C$9,0),MATCH(Data!$O$4:$O$1003,Helper!$D$3:$F$3,0))</f>
        <v>5000</v>
      </c>
      <c r="Z910" s="16">
        <f ca="1">Table1[[#This Row],[Order Total]]+Table1[[#This Row],[Shipping Cost]]</f>
        <v>844232</v>
      </c>
    </row>
    <row r="911" spans="1:26" ht="15.75" customHeight="1" x14ac:dyDescent="0.3">
      <c r="A911" s="9" t="s">
        <v>1804</v>
      </c>
      <c r="B911" s="18">
        <v>43816</v>
      </c>
      <c r="C911" s="10">
        <f>YEAR(Table1[[#This Row],[Order Date]])</f>
        <v>2019</v>
      </c>
      <c r="D911" s="10" t="s">
        <v>1805</v>
      </c>
      <c r="E911" s="10" t="s">
        <v>628</v>
      </c>
      <c r="F911" s="10" t="s">
        <v>71</v>
      </c>
      <c r="G911" s="10" t="s">
        <v>72</v>
      </c>
      <c r="H911" s="10" t="s">
        <v>304</v>
      </c>
      <c r="I911" s="10" t="str">
        <f>VLOOKUP(Table1[[#This Row],[Account Manager ID]],Table2[[Employee ID]:[Full Name]],4,FALSE)</f>
        <v>Sutan Tirtayasa Wasita</v>
      </c>
      <c r="J911" s="10" t="str">
        <f>INDEX(Employee!$D$4:$D$47,MATCH($H$4:$H$1003,Employee!$A$4:$A$47,0))</f>
        <v>Sutan Tirtayasa Wasita</v>
      </c>
      <c r="K911" s="10" t="s">
        <v>107</v>
      </c>
      <c r="L911" s="10" t="s">
        <v>197</v>
      </c>
      <c r="M911" s="10" t="s">
        <v>81</v>
      </c>
      <c r="N911" s="10" t="s">
        <v>60</v>
      </c>
      <c r="O911" s="10" t="s">
        <v>61</v>
      </c>
      <c r="P911" s="10">
        <v>43818</v>
      </c>
      <c r="Q911" s="15">
        <v>151050</v>
      </c>
      <c r="R911" s="15">
        <v>239700</v>
      </c>
      <c r="S911" s="15">
        <f>Table1[[#This Row],[Retail Price]]-Table1[[#This Row],[Cost Price]]</f>
        <v>88650</v>
      </c>
      <c r="T911" s="10">
        <v>30</v>
      </c>
      <c r="U911" s="15">
        <f>Table1[[#This Row],[Profit Margin]]*Table1[[#This Row],[Order Quantity]]</f>
        <v>2659500</v>
      </c>
      <c r="V911" s="11">
        <v>0.08</v>
      </c>
      <c r="W911" s="15">
        <f t="shared" si="14"/>
        <v>212760</v>
      </c>
      <c r="X911" s="15">
        <f>Table1[[#This Row],[Sub Total]]-Table1[[#This Row],[Discount Rp]]</f>
        <v>2446740</v>
      </c>
      <c r="Y911" s="15">
        <f ca="1">OFFSET(Helper!$C$3,MATCH(Data!$N$4:$N$1003,Helper!$C$4:$C$9,0),MATCH(Data!$O$4:$O$1003,Helper!$D$3:$F$3,0))</f>
        <v>15000</v>
      </c>
      <c r="Z911" s="16">
        <f ca="1">Table1[[#This Row],[Order Total]]+Table1[[#This Row],[Shipping Cost]]</f>
        <v>2461740</v>
      </c>
    </row>
    <row r="912" spans="1:26" ht="15.75" customHeight="1" x14ac:dyDescent="0.3">
      <c r="A912" s="9" t="s">
        <v>1806</v>
      </c>
      <c r="B912" s="18">
        <v>43817</v>
      </c>
      <c r="C912" s="10">
        <f>YEAR(Table1[[#This Row],[Order Date]])</f>
        <v>2019</v>
      </c>
      <c r="D912" s="10" t="s">
        <v>1807</v>
      </c>
      <c r="E912" s="10" t="s">
        <v>977</v>
      </c>
      <c r="F912" s="10" t="s">
        <v>71</v>
      </c>
      <c r="G912" s="10" t="s">
        <v>106</v>
      </c>
      <c r="H912" s="10" t="s">
        <v>194</v>
      </c>
      <c r="I912" s="10" t="str">
        <f>VLOOKUP(Table1[[#This Row],[Account Manager ID]],Table2[[Employee ID]:[Full Name]],4,FALSE)</f>
        <v>Nabila Prakasa</v>
      </c>
      <c r="J912" s="10" t="str">
        <f>INDEX(Employee!$D$4:$D$47,MATCH($H$4:$H$1003,Employee!$A$4:$A$47,0))</f>
        <v>Nabila Prakasa</v>
      </c>
      <c r="K912" s="10" t="s">
        <v>117</v>
      </c>
      <c r="L912" s="10" t="s">
        <v>272</v>
      </c>
      <c r="M912" s="10" t="s">
        <v>59</v>
      </c>
      <c r="N912" s="10" t="s">
        <v>60</v>
      </c>
      <c r="O912" s="10" t="s">
        <v>61</v>
      </c>
      <c r="P912" s="10">
        <v>43820</v>
      </c>
      <c r="Q912" s="15">
        <v>57600</v>
      </c>
      <c r="R912" s="15">
        <v>94500</v>
      </c>
      <c r="S912" s="15">
        <f>Table1[[#This Row],[Retail Price]]-Table1[[#This Row],[Cost Price]]</f>
        <v>36900</v>
      </c>
      <c r="T912" s="10">
        <v>40</v>
      </c>
      <c r="U912" s="15">
        <f>Table1[[#This Row],[Profit Margin]]*Table1[[#This Row],[Order Quantity]]</f>
        <v>1476000</v>
      </c>
      <c r="V912" s="11">
        <v>0.04</v>
      </c>
      <c r="W912" s="15">
        <f t="shared" si="14"/>
        <v>59040</v>
      </c>
      <c r="X912" s="15">
        <f>Table1[[#This Row],[Sub Total]]-Table1[[#This Row],[Discount Rp]]</f>
        <v>1416960</v>
      </c>
      <c r="Y912" s="15">
        <f ca="1">OFFSET(Helper!$C$3,MATCH(Data!$N$4:$N$1003,Helper!$C$4:$C$9,0),MATCH(Data!$O$4:$O$1003,Helper!$D$3:$F$3,0))</f>
        <v>15000</v>
      </c>
      <c r="Z912" s="16">
        <f ca="1">Table1[[#This Row],[Order Total]]+Table1[[#This Row],[Shipping Cost]]</f>
        <v>1431960</v>
      </c>
    </row>
    <row r="913" spans="1:26" ht="15.75" customHeight="1" x14ac:dyDescent="0.3">
      <c r="A913" s="9" t="s">
        <v>1808</v>
      </c>
      <c r="B913" s="18">
        <v>43818</v>
      </c>
      <c r="C913" s="10">
        <f>YEAR(Table1[[#This Row],[Order Date]])</f>
        <v>2019</v>
      </c>
      <c r="D913" s="10" t="s">
        <v>603</v>
      </c>
      <c r="E913" s="10" t="s">
        <v>587</v>
      </c>
      <c r="F913" s="10" t="s">
        <v>71</v>
      </c>
      <c r="G913" s="10" t="s">
        <v>87</v>
      </c>
      <c r="H913" s="10" t="s">
        <v>194</v>
      </c>
      <c r="I913" s="10" t="str">
        <f>VLOOKUP(Table1[[#This Row],[Account Manager ID]],Table2[[Employee ID]:[Full Name]],4,FALSE)</f>
        <v>Nabila Prakasa</v>
      </c>
      <c r="J913" s="10" t="str">
        <f>INDEX(Employee!$D$4:$D$47,MATCH($H$4:$H$1003,Employee!$A$4:$A$47,0))</f>
        <v>Nabila Prakasa</v>
      </c>
      <c r="K913" s="10" t="s">
        <v>117</v>
      </c>
      <c r="L913" s="10" t="s">
        <v>700</v>
      </c>
      <c r="M913" s="10" t="s">
        <v>59</v>
      </c>
      <c r="N913" s="10" t="s">
        <v>67</v>
      </c>
      <c r="O913" s="10" t="s">
        <v>61</v>
      </c>
      <c r="P913" s="10">
        <v>43820</v>
      </c>
      <c r="Q913" s="15">
        <v>34650</v>
      </c>
      <c r="R913" s="15">
        <v>56700</v>
      </c>
      <c r="S913" s="15">
        <f>Table1[[#This Row],[Retail Price]]-Table1[[#This Row],[Cost Price]]</f>
        <v>22050</v>
      </c>
      <c r="T913" s="10">
        <v>38</v>
      </c>
      <c r="U913" s="15">
        <f>Table1[[#This Row],[Profit Margin]]*Table1[[#This Row],[Order Quantity]]</f>
        <v>837900</v>
      </c>
      <c r="V913" s="11">
        <v>0.03</v>
      </c>
      <c r="W913" s="15">
        <f t="shared" si="14"/>
        <v>25137</v>
      </c>
      <c r="X913" s="15">
        <f>Table1[[#This Row],[Sub Total]]-Table1[[#This Row],[Discount Rp]]</f>
        <v>812763</v>
      </c>
      <c r="Y913" s="15">
        <f ca="1">OFFSET(Helper!$C$3,MATCH(Data!$N$4:$N$1003,Helper!$C$4:$C$9,0),MATCH(Data!$O$4:$O$1003,Helper!$D$3:$F$3,0))</f>
        <v>5000</v>
      </c>
      <c r="Z913" s="16">
        <f ca="1">Table1[[#This Row],[Order Total]]+Table1[[#This Row],[Shipping Cost]]</f>
        <v>817763</v>
      </c>
    </row>
    <row r="914" spans="1:26" ht="15.75" customHeight="1" x14ac:dyDescent="0.3">
      <c r="A914" s="9" t="s">
        <v>1809</v>
      </c>
      <c r="B914" s="18">
        <v>43819</v>
      </c>
      <c r="C914" s="10">
        <f>YEAR(Table1[[#This Row],[Order Date]])</f>
        <v>2019</v>
      </c>
      <c r="D914" s="10" t="s">
        <v>728</v>
      </c>
      <c r="E914" s="10" t="s">
        <v>539</v>
      </c>
      <c r="F914" s="10" t="s">
        <v>71</v>
      </c>
      <c r="G914" s="10" t="s">
        <v>55</v>
      </c>
      <c r="H914" s="10" t="s">
        <v>146</v>
      </c>
      <c r="I914" s="10" t="str">
        <f>VLOOKUP(Table1[[#This Row],[Account Manager ID]],Table2[[Employee ID]:[Full Name]],4,FALSE)</f>
        <v>Kenari Rajasa</v>
      </c>
      <c r="J914" s="10" t="str">
        <f>INDEX(Employee!$D$4:$D$47,MATCH($H$4:$H$1003,Employee!$A$4:$A$47,0))</f>
        <v>Kenari Rajasa</v>
      </c>
      <c r="K914" s="10" t="s">
        <v>117</v>
      </c>
      <c r="L914" s="10" t="s">
        <v>573</v>
      </c>
      <c r="M914" s="10" t="s">
        <v>81</v>
      </c>
      <c r="N914" s="10" t="s">
        <v>60</v>
      </c>
      <c r="O914" s="10" t="s">
        <v>76</v>
      </c>
      <c r="P914" s="10">
        <v>43821</v>
      </c>
      <c r="Q914" s="15">
        <v>936000</v>
      </c>
      <c r="R914" s="15">
        <v>2339850</v>
      </c>
      <c r="S914" s="15">
        <f>Table1[[#This Row],[Retail Price]]-Table1[[#This Row],[Cost Price]]</f>
        <v>1403850</v>
      </c>
      <c r="T914" s="10">
        <v>22</v>
      </c>
      <c r="U914" s="15">
        <f>Table1[[#This Row],[Profit Margin]]*Table1[[#This Row],[Order Quantity]]</f>
        <v>30884700</v>
      </c>
      <c r="V914" s="11">
        <v>0.02</v>
      </c>
      <c r="W914" s="15">
        <f t="shared" si="14"/>
        <v>617694</v>
      </c>
      <c r="X914" s="15">
        <f>Table1[[#This Row],[Sub Total]]-Table1[[#This Row],[Discount Rp]]</f>
        <v>30267006</v>
      </c>
      <c r="Y914" s="15">
        <f ca="1">OFFSET(Helper!$C$3,MATCH(Data!$N$4:$N$1003,Helper!$C$4:$C$9,0),MATCH(Data!$O$4:$O$1003,Helper!$D$3:$F$3,0))</f>
        <v>30000</v>
      </c>
      <c r="Z914" s="16">
        <f ca="1">Table1[[#This Row],[Order Total]]+Table1[[#This Row],[Shipping Cost]]</f>
        <v>30297006</v>
      </c>
    </row>
    <row r="915" spans="1:26" ht="15.75" customHeight="1" x14ac:dyDescent="0.3">
      <c r="A915" s="12" t="s">
        <v>1810</v>
      </c>
      <c r="B915" s="18">
        <v>43819</v>
      </c>
      <c r="C915" s="10">
        <f>YEAR(Table1[[#This Row],[Order Date]])</f>
        <v>2019</v>
      </c>
      <c r="D915" s="10" t="s">
        <v>293</v>
      </c>
      <c r="E915" s="10" t="s">
        <v>145</v>
      </c>
      <c r="F915" s="10" t="s">
        <v>71</v>
      </c>
      <c r="G915" s="10" t="s">
        <v>106</v>
      </c>
      <c r="H915" s="10" t="s">
        <v>146</v>
      </c>
      <c r="I915" s="10" t="str">
        <f>VLOOKUP(Table1[[#This Row],[Account Manager ID]],Table2[[Employee ID]:[Full Name]],4,FALSE)</f>
        <v>Kenari Rajasa</v>
      </c>
      <c r="J915" s="10" t="str">
        <f>INDEX(Employee!$D$4:$D$47,MATCH($H$4:$H$1003,Employee!$A$4:$A$47,0))</f>
        <v>Kenari Rajasa</v>
      </c>
      <c r="K915" s="10" t="s">
        <v>57</v>
      </c>
      <c r="L915" s="10" t="s">
        <v>674</v>
      </c>
      <c r="M915" s="10" t="s">
        <v>59</v>
      </c>
      <c r="N915" s="10" t="s">
        <v>67</v>
      </c>
      <c r="O915" s="10" t="s">
        <v>61</v>
      </c>
      <c r="P915" s="10">
        <v>43821</v>
      </c>
      <c r="Q915" s="15">
        <v>28800</v>
      </c>
      <c r="R915" s="15">
        <v>48900</v>
      </c>
      <c r="S915" s="15">
        <f>Table1[[#This Row],[Retail Price]]-Table1[[#This Row],[Cost Price]]</f>
        <v>20100</v>
      </c>
      <c r="T915" s="10">
        <v>38</v>
      </c>
      <c r="U915" s="15">
        <f>Table1[[#This Row],[Profit Margin]]*Table1[[#This Row],[Order Quantity]]</f>
        <v>763800</v>
      </c>
      <c r="V915" s="11">
        <v>0.02</v>
      </c>
      <c r="W915" s="15">
        <f t="shared" si="14"/>
        <v>15276</v>
      </c>
      <c r="X915" s="15">
        <f>Table1[[#This Row],[Sub Total]]-Table1[[#This Row],[Discount Rp]]</f>
        <v>748524</v>
      </c>
      <c r="Y915" s="15">
        <f ca="1">OFFSET(Helper!$C$3,MATCH(Data!$N$4:$N$1003,Helper!$C$4:$C$9,0),MATCH(Data!$O$4:$O$1003,Helper!$D$3:$F$3,0))</f>
        <v>5000</v>
      </c>
      <c r="Z915" s="16">
        <f ca="1">Table1[[#This Row],[Order Total]]+Table1[[#This Row],[Shipping Cost]]</f>
        <v>753524</v>
      </c>
    </row>
    <row r="916" spans="1:26" ht="15.75" customHeight="1" x14ac:dyDescent="0.3">
      <c r="A916" s="9" t="s">
        <v>1811</v>
      </c>
      <c r="B916" s="18">
        <v>43826</v>
      </c>
      <c r="C916" s="10">
        <f>YEAR(Table1[[#This Row],[Order Date]])</f>
        <v>2019</v>
      </c>
      <c r="D916" s="10" t="s">
        <v>144</v>
      </c>
      <c r="E916" s="10" t="s">
        <v>145</v>
      </c>
      <c r="F916" s="10" t="s">
        <v>71</v>
      </c>
      <c r="G916" s="10" t="s">
        <v>106</v>
      </c>
      <c r="H916" s="10" t="s">
        <v>146</v>
      </c>
      <c r="I916" s="10" t="str">
        <f>VLOOKUP(Table1[[#This Row],[Account Manager ID]],Table2[[Employee ID]:[Full Name]],4,FALSE)</f>
        <v>Kenari Rajasa</v>
      </c>
      <c r="J916" s="10" t="str">
        <f>INDEX(Employee!$D$4:$D$47,MATCH($H$4:$H$1003,Employee!$A$4:$A$47,0))</f>
        <v>Kenari Rajasa</v>
      </c>
      <c r="K916" s="10" t="s">
        <v>92</v>
      </c>
      <c r="L916" s="10" t="s">
        <v>1003</v>
      </c>
      <c r="M916" s="10" t="s">
        <v>59</v>
      </c>
      <c r="N916" s="10" t="s">
        <v>60</v>
      </c>
      <c r="O916" s="10" t="s">
        <v>76</v>
      </c>
      <c r="P916" s="10">
        <v>43833</v>
      </c>
      <c r="Q916" s="15">
        <v>60450.000000000007</v>
      </c>
      <c r="R916" s="15">
        <v>140700</v>
      </c>
      <c r="S916" s="15">
        <f>Table1[[#This Row],[Retail Price]]-Table1[[#This Row],[Cost Price]]</f>
        <v>80250</v>
      </c>
      <c r="T916" s="10">
        <v>46</v>
      </c>
      <c r="U916" s="15">
        <f>Table1[[#This Row],[Profit Margin]]*Table1[[#This Row],[Order Quantity]]</f>
        <v>3691500</v>
      </c>
      <c r="V916" s="11">
        <v>0.09</v>
      </c>
      <c r="W916" s="15">
        <f t="shared" si="14"/>
        <v>332235</v>
      </c>
      <c r="X916" s="15">
        <f>Table1[[#This Row],[Sub Total]]-Table1[[#This Row],[Discount Rp]]</f>
        <v>3359265</v>
      </c>
      <c r="Y916" s="15">
        <f ca="1">OFFSET(Helper!$C$3,MATCH(Data!$N$4:$N$1003,Helper!$C$4:$C$9,0),MATCH(Data!$O$4:$O$1003,Helper!$D$3:$F$3,0))</f>
        <v>30000</v>
      </c>
      <c r="Z916" s="16">
        <f ca="1">Table1[[#This Row],[Order Total]]+Table1[[#This Row],[Shipping Cost]]</f>
        <v>3389265</v>
      </c>
    </row>
    <row r="917" spans="1:26" ht="15.75" customHeight="1" x14ac:dyDescent="0.3">
      <c r="A917" s="9" t="s">
        <v>1812</v>
      </c>
      <c r="B917" s="18">
        <v>43827</v>
      </c>
      <c r="C917" s="10">
        <f>YEAR(Table1[[#This Row],[Order Date]])</f>
        <v>2019</v>
      </c>
      <c r="D917" s="10" t="s">
        <v>1813</v>
      </c>
      <c r="E917" s="10" t="s">
        <v>53</v>
      </c>
      <c r="F917" s="10" t="s">
        <v>54</v>
      </c>
      <c r="G917" s="10" t="s">
        <v>55</v>
      </c>
      <c r="H917" s="10" t="s">
        <v>56</v>
      </c>
      <c r="I917" s="10" t="str">
        <f>VLOOKUP(Table1[[#This Row],[Account Manager ID]],Table2[[Employee ID]:[Full Name]],4,FALSE)</f>
        <v>Gaduh Pratama</v>
      </c>
      <c r="J917" s="10" t="str">
        <f>INDEX(Employee!$D$4:$D$47,MATCH($H$4:$H$1003,Employee!$A$4:$A$47,0))</f>
        <v>Gaduh Pratama</v>
      </c>
      <c r="K917" s="10" t="s">
        <v>57</v>
      </c>
      <c r="L917" s="10" t="s">
        <v>629</v>
      </c>
      <c r="M917" s="10" t="s">
        <v>59</v>
      </c>
      <c r="N917" s="10" t="s">
        <v>67</v>
      </c>
      <c r="O917" s="10" t="s">
        <v>61</v>
      </c>
      <c r="P917" s="10">
        <v>43829</v>
      </c>
      <c r="Q917" s="15">
        <v>26400</v>
      </c>
      <c r="R917" s="15">
        <v>44100</v>
      </c>
      <c r="S917" s="15">
        <f>Table1[[#This Row],[Retail Price]]-Table1[[#This Row],[Cost Price]]</f>
        <v>17700</v>
      </c>
      <c r="T917" s="10">
        <v>26</v>
      </c>
      <c r="U917" s="15">
        <f>Table1[[#This Row],[Profit Margin]]*Table1[[#This Row],[Order Quantity]]</f>
        <v>460200</v>
      </c>
      <c r="V917" s="11">
        <v>0.03</v>
      </c>
      <c r="W917" s="15">
        <f t="shared" si="14"/>
        <v>13806</v>
      </c>
      <c r="X917" s="15">
        <f>Table1[[#This Row],[Sub Total]]-Table1[[#This Row],[Discount Rp]]</f>
        <v>446394</v>
      </c>
      <c r="Y917" s="15">
        <f ca="1">OFFSET(Helper!$C$3,MATCH(Data!$N$4:$N$1003,Helper!$C$4:$C$9,0),MATCH(Data!$O$4:$O$1003,Helper!$D$3:$F$3,0))</f>
        <v>5000</v>
      </c>
      <c r="Z917" s="16">
        <f ca="1">Table1[[#This Row],[Order Total]]+Table1[[#This Row],[Shipping Cost]]</f>
        <v>451394</v>
      </c>
    </row>
    <row r="918" spans="1:26" ht="15.75" customHeight="1" x14ac:dyDescent="0.3">
      <c r="A918" s="9" t="s">
        <v>1814</v>
      </c>
      <c r="B918" s="18">
        <v>43828</v>
      </c>
      <c r="C918" s="10">
        <f>YEAR(Table1[[#This Row],[Order Date]])</f>
        <v>2019</v>
      </c>
      <c r="D918" s="10" t="s">
        <v>742</v>
      </c>
      <c r="E918" s="10" t="s">
        <v>455</v>
      </c>
      <c r="F918" s="10" t="s">
        <v>71</v>
      </c>
      <c r="G918" s="10" t="s">
        <v>106</v>
      </c>
      <c r="H918" s="10" t="s">
        <v>155</v>
      </c>
      <c r="I918" s="10" t="str">
        <f>VLOOKUP(Table1[[#This Row],[Account Manager ID]],Table2[[Employee ID]:[Full Name]],4,FALSE)</f>
        <v>Puti Nadine Prakasa</v>
      </c>
      <c r="J918" s="10" t="str">
        <f>INDEX(Employee!$D$4:$D$47,MATCH($H$4:$H$1003,Employee!$A$4:$A$47,0))</f>
        <v>Puti Nadine Prakasa</v>
      </c>
      <c r="K918" s="10" t="s">
        <v>57</v>
      </c>
      <c r="L918" s="10" t="s">
        <v>718</v>
      </c>
      <c r="M918" s="10" t="s">
        <v>81</v>
      </c>
      <c r="N918" s="10" t="s">
        <v>82</v>
      </c>
      <c r="O918" s="10" t="s">
        <v>83</v>
      </c>
      <c r="P918" s="10">
        <v>43829</v>
      </c>
      <c r="Q918" s="15">
        <v>3294150</v>
      </c>
      <c r="R918" s="15">
        <v>8034600</v>
      </c>
      <c r="S918" s="15">
        <f>Table1[[#This Row],[Retail Price]]-Table1[[#This Row],[Cost Price]]</f>
        <v>4740450</v>
      </c>
      <c r="T918" s="10">
        <v>44</v>
      </c>
      <c r="U918" s="15">
        <f>Table1[[#This Row],[Profit Margin]]*Table1[[#This Row],[Order Quantity]]</f>
        <v>208579800</v>
      </c>
      <c r="V918" s="11">
        <v>0.03</v>
      </c>
      <c r="W918" s="15">
        <f t="shared" si="14"/>
        <v>6257394</v>
      </c>
      <c r="X918" s="15">
        <f>Table1[[#This Row],[Sub Total]]-Table1[[#This Row],[Discount Rp]]</f>
        <v>202322406</v>
      </c>
      <c r="Y918" s="15">
        <f ca="1">OFFSET(Helper!$C$3,MATCH(Data!$N$4:$N$1003,Helper!$C$4:$C$9,0),MATCH(Data!$O$4:$O$1003,Helper!$D$3:$F$3,0))</f>
        <v>500000</v>
      </c>
      <c r="Z918" s="16">
        <f ca="1">Table1[[#This Row],[Order Total]]+Table1[[#This Row],[Shipping Cost]]</f>
        <v>202822406</v>
      </c>
    </row>
    <row r="919" spans="1:26" ht="15.75" customHeight="1" x14ac:dyDescent="0.3">
      <c r="A919" s="9" t="s">
        <v>1815</v>
      </c>
      <c r="B919" s="18">
        <v>43830</v>
      </c>
      <c r="C919" s="10">
        <f>YEAR(Table1[[#This Row],[Order Date]])</f>
        <v>2019</v>
      </c>
      <c r="D919" s="10" t="s">
        <v>1043</v>
      </c>
      <c r="E919" s="10" t="s">
        <v>370</v>
      </c>
      <c r="F919" s="10" t="s">
        <v>71</v>
      </c>
      <c r="G919" s="10" t="s">
        <v>55</v>
      </c>
      <c r="H919" s="10" t="s">
        <v>146</v>
      </c>
      <c r="I919" s="10" t="str">
        <f>VLOOKUP(Table1[[#This Row],[Account Manager ID]],Table2[[Employee ID]:[Full Name]],4,FALSE)</f>
        <v>Kenari Rajasa</v>
      </c>
      <c r="J919" s="10" t="str">
        <f>INDEX(Employee!$D$4:$D$47,MATCH($H$4:$H$1003,Employee!$A$4:$A$47,0))</f>
        <v>Kenari Rajasa</v>
      </c>
      <c r="K919" s="10" t="s">
        <v>92</v>
      </c>
      <c r="L919" s="10" t="s">
        <v>186</v>
      </c>
      <c r="M919" s="10" t="s">
        <v>81</v>
      </c>
      <c r="N919" s="10" t="s">
        <v>60</v>
      </c>
      <c r="O919" s="10" t="s">
        <v>61</v>
      </c>
      <c r="P919" s="10">
        <v>43832</v>
      </c>
      <c r="Q919" s="15">
        <v>95850</v>
      </c>
      <c r="R919" s="15">
        <v>299700</v>
      </c>
      <c r="S919" s="15">
        <f>Table1[[#This Row],[Retail Price]]-Table1[[#This Row],[Cost Price]]</f>
        <v>203850</v>
      </c>
      <c r="T919" s="10">
        <v>44</v>
      </c>
      <c r="U919" s="15">
        <f>Table1[[#This Row],[Profit Margin]]*Table1[[#This Row],[Order Quantity]]</f>
        <v>8969400</v>
      </c>
      <c r="V919" s="11">
        <v>0.03</v>
      </c>
      <c r="W919" s="15">
        <f t="shared" si="14"/>
        <v>269082</v>
      </c>
      <c r="X919" s="15">
        <f>Table1[[#This Row],[Sub Total]]-Table1[[#This Row],[Discount Rp]]</f>
        <v>8700318</v>
      </c>
      <c r="Y919" s="15">
        <f ca="1">OFFSET(Helper!$C$3,MATCH(Data!$N$4:$N$1003,Helper!$C$4:$C$9,0),MATCH(Data!$O$4:$O$1003,Helper!$D$3:$F$3,0))</f>
        <v>15000</v>
      </c>
      <c r="Z919" s="16">
        <f ca="1">Table1[[#This Row],[Order Total]]+Table1[[#This Row],[Shipping Cost]]</f>
        <v>8715318</v>
      </c>
    </row>
    <row r="920" spans="1:26" ht="15.75" customHeight="1" x14ac:dyDescent="0.3">
      <c r="A920" s="9" t="s">
        <v>1816</v>
      </c>
      <c r="B920" s="18">
        <v>43831</v>
      </c>
      <c r="C920" s="10">
        <f>YEAR(Table1[[#This Row],[Order Date]])</f>
        <v>2020</v>
      </c>
      <c r="D920" s="10" t="s">
        <v>492</v>
      </c>
      <c r="E920" s="10" t="s">
        <v>493</v>
      </c>
      <c r="F920" s="10" t="s">
        <v>71</v>
      </c>
      <c r="G920" s="10" t="s">
        <v>87</v>
      </c>
      <c r="H920" s="10" t="s">
        <v>112</v>
      </c>
      <c r="I920" s="10" t="str">
        <f>VLOOKUP(Table1[[#This Row],[Account Manager ID]],Table2[[Employee ID]:[Full Name]],4,FALSE)</f>
        <v>Paiman Firgantoro</v>
      </c>
      <c r="J920" s="10" t="str">
        <f>INDEX(Employee!$D$4:$D$47,MATCH($H$4:$H$1003,Employee!$A$4:$A$47,0))</f>
        <v>Paiman Firgantoro</v>
      </c>
      <c r="K920" s="10" t="s">
        <v>92</v>
      </c>
      <c r="L920" s="10" t="s">
        <v>684</v>
      </c>
      <c r="M920" s="10" t="s">
        <v>59</v>
      </c>
      <c r="N920" s="10" t="s">
        <v>60</v>
      </c>
      <c r="O920" s="10" t="s">
        <v>61</v>
      </c>
      <c r="P920" s="10">
        <v>43831</v>
      </c>
      <c r="Q920" s="15">
        <v>47100</v>
      </c>
      <c r="R920" s="15">
        <v>73650</v>
      </c>
      <c r="S920" s="15">
        <f>Table1[[#This Row],[Retail Price]]-Table1[[#This Row],[Cost Price]]</f>
        <v>26550</v>
      </c>
      <c r="T920" s="10">
        <v>13</v>
      </c>
      <c r="U920" s="15">
        <f>Table1[[#This Row],[Profit Margin]]*Table1[[#This Row],[Order Quantity]]</f>
        <v>345150</v>
      </c>
      <c r="V920" s="11">
        <v>0.01</v>
      </c>
      <c r="W920" s="15">
        <f t="shared" si="14"/>
        <v>3451.5</v>
      </c>
      <c r="X920" s="15">
        <f>Table1[[#This Row],[Sub Total]]-Table1[[#This Row],[Discount Rp]]</f>
        <v>341698.5</v>
      </c>
      <c r="Y920" s="15">
        <f ca="1">OFFSET(Helper!$C$3,MATCH(Data!$N$4:$N$1003,Helper!$C$4:$C$9,0),MATCH(Data!$O$4:$O$1003,Helper!$D$3:$F$3,0))</f>
        <v>15000</v>
      </c>
      <c r="Z920" s="16">
        <f ca="1">Table1[[#This Row],[Order Total]]+Table1[[#This Row],[Shipping Cost]]</f>
        <v>356698.5</v>
      </c>
    </row>
    <row r="921" spans="1:26" ht="15.75" customHeight="1" x14ac:dyDescent="0.3">
      <c r="A921" s="9" t="s">
        <v>1817</v>
      </c>
      <c r="B921" s="18">
        <v>43831</v>
      </c>
      <c r="C921" s="10">
        <f>YEAR(Table1[[#This Row],[Order Date]])</f>
        <v>2020</v>
      </c>
      <c r="D921" s="10" t="s">
        <v>1447</v>
      </c>
      <c r="E921" s="10" t="s">
        <v>1160</v>
      </c>
      <c r="F921" s="10" t="s">
        <v>71</v>
      </c>
      <c r="G921" s="10" t="s">
        <v>106</v>
      </c>
      <c r="H921" s="10" t="s">
        <v>304</v>
      </c>
      <c r="I921" s="10" t="str">
        <f>VLOOKUP(Table1[[#This Row],[Account Manager ID]],Table2[[Employee ID]:[Full Name]],4,FALSE)</f>
        <v>Sutan Tirtayasa Wasita</v>
      </c>
      <c r="J921" s="10" t="str">
        <f>INDEX(Employee!$D$4:$D$47,MATCH($H$4:$H$1003,Employee!$A$4:$A$47,0))</f>
        <v>Sutan Tirtayasa Wasita</v>
      </c>
      <c r="K921" s="10" t="s">
        <v>117</v>
      </c>
      <c r="L921" s="10" t="s">
        <v>113</v>
      </c>
      <c r="M921" s="10" t="s">
        <v>59</v>
      </c>
      <c r="N921" s="10" t="s">
        <v>60</v>
      </c>
      <c r="O921" s="10" t="s">
        <v>61</v>
      </c>
      <c r="P921" s="10">
        <v>43833</v>
      </c>
      <c r="Q921" s="15">
        <v>79950</v>
      </c>
      <c r="R921" s="15">
        <v>129000</v>
      </c>
      <c r="S921" s="15">
        <f>Table1[[#This Row],[Retail Price]]-Table1[[#This Row],[Cost Price]]</f>
        <v>49050</v>
      </c>
      <c r="T921" s="10">
        <v>2</v>
      </c>
      <c r="U921" s="15">
        <f>Table1[[#This Row],[Profit Margin]]*Table1[[#This Row],[Order Quantity]]</f>
        <v>98100</v>
      </c>
      <c r="V921" s="11">
        <v>0.03</v>
      </c>
      <c r="W921" s="15">
        <f t="shared" si="14"/>
        <v>2943</v>
      </c>
      <c r="X921" s="15">
        <f>Table1[[#This Row],[Sub Total]]-Table1[[#This Row],[Discount Rp]]</f>
        <v>95157</v>
      </c>
      <c r="Y921" s="15">
        <f ca="1">OFFSET(Helper!$C$3,MATCH(Data!$N$4:$N$1003,Helper!$C$4:$C$9,0),MATCH(Data!$O$4:$O$1003,Helper!$D$3:$F$3,0))</f>
        <v>15000</v>
      </c>
      <c r="Z921" s="16">
        <f ca="1">Table1[[#This Row],[Order Total]]+Table1[[#This Row],[Shipping Cost]]</f>
        <v>110157</v>
      </c>
    </row>
    <row r="922" spans="1:26" ht="15.75" customHeight="1" x14ac:dyDescent="0.3">
      <c r="A922" s="9" t="s">
        <v>1818</v>
      </c>
      <c r="B922" s="18">
        <v>43831</v>
      </c>
      <c r="C922" s="10">
        <f>YEAR(Table1[[#This Row],[Order Date]])</f>
        <v>2020</v>
      </c>
      <c r="D922" s="10" t="s">
        <v>1447</v>
      </c>
      <c r="E922" s="10" t="s">
        <v>1160</v>
      </c>
      <c r="F922" s="10" t="s">
        <v>71</v>
      </c>
      <c r="G922" s="10" t="s">
        <v>106</v>
      </c>
      <c r="H922" s="10" t="s">
        <v>304</v>
      </c>
      <c r="I922" s="10" t="str">
        <f>VLOOKUP(Table1[[#This Row],[Account Manager ID]],Table2[[Employee ID]:[Full Name]],4,FALSE)</f>
        <v>Sutan Tirtayasa Wasita</v>
      </c>
      <c r="J922" s="10" t="str">
        <f>INDEX(Employee!$D$4:$D$47,MATCH($H$4:$H$1003,Employee!$A$4:$A$47,0))</f>
        <v>Sutan Tirtayasa Wasita</v>
      </c>
      <c r="K922" s="10" t="s">
        <v>117</v>
      </c>
      <c r="L922" s="10" t="s">
        <v>471</v>
      </c>
      <c r="M922" s="10" t="s">
        <v>59</v>
      </c>
      <c r="N922" s="10" t="s">
        <v>60</v>
      </c>
      <c r="O922" s="10" t="s">
        <v>61</v>
      </c>
      <c r="P922" s="10">
        <v>43832</v>
      </c>
      <c r="Q922" s="15">
        <v>1015950.0000000001</v>
      </c>
      <c r="R922" s="15">
        <v>2478000</v>
      </c>
      <c r="S922" s="15">
        <f>Table1[[#This Row],[Retail Price]]-Table1[[#This Row],[Cost Price]]</f>
        <v>1462050</v>
      </c>
      <c r="T922" s="10">
        <v>10</v>
      </c>
      <c r="U922" s="15">
        <f>Table1[[#This Row],[Profit Margin]]*Table1[[#This Row],[Order Quantity]]</f>
        <v>14620500</v>
      </c>
      <c r="V922" s="11">
        <v>0.08</v>
      </c>
      <c r="W922" s="15">
        <f t="shared" si="14"/>
        <v>1169640</v>
      </c>
      <c r="X922" s="15">
        <f>Table1[[#This Row],[Sub Total]]-Table1[[#This Row],[Discount Rp]]</f>
        <v>13450860</v>
      </c>
      <c r="Y922" s="15">
        <f ca="1">OFFSET(Helper!$C$3,MATCH(Data!$N$4:$N$1003,Helper!$C$4:$C$9,0),MATCH(Data!$O$4:$O$1003,Helper!$D$3:$F$3,0))</f>
        <v>15000</v>
      </c>
      <c r="Z922" s="16">
        <f ca="1">Table1[[#This Row],[Order Total]]+Table1[[#This Row],[Shipping Cost]]</f>
        <v>13465860</v>
      </c>
    </row>
    <row r="923" spans="1:26" ht="15.75" customHeight="1" x14ac:dyDescent="0.3">
      <c r="A923" s="9" t="s">
        <v>1819</v>
      </c>
      <c r="B923" s="18">
        <v>43833</v>
      </c>
      <c r="C923" s="10">
        <f>YEAR(Table1[[#This Row],[Order Date]])</f>
        <v>2020</v>
      </c>
      <c r="D923" s="10" t="s">
        <v>709</v>
      </c>
      <c r="E923" s="10" t="s">
        <v>710</v>
      </c>
      <c r="F923" s="10" t="s">
        <v>54</v>
      </c>
      <c r="G923" s="10" t="s">
        <v>106</v>
      </c>
      <c r="H923" s="10" t="s">
        <v>65</v>
      </c>
      <c r="I923" s="10" t="str">
        <f>VLOOKUP(Table1[[#This Row],[Account Manager ID]],Table2[[Employee ID]:[Full Name]],4,FALSE)</f>
        <v>Laras Nuraini</v>
      </c>
      <c r="J923" s="10" t="str">
        <f>INDEX(Employee!$D$4:$D$47,MATCH($H$4:$H$1003,Employee!$A$4:$A$47,0))</f>
        <v>Laras Nuraini</v>
      </c>
      <c r="K923" s="10" t="s">
        <v>92</v>
      </c>
      <c r="L923" s="10" t="s">
        <v>200</v>
      </c>
      <c r="M923" s="10" t="s">
        <v>59</v>
      </c>
      <c r="N923" s="10" t="s">
        <v>136</v>
      </c>
      <c r="O923" s="10" t="s">
        <v>61</v>
      </c>
      <c r="P923" s="10">
        <v>43833</v>
      </c>
      <c r="Q923" s="15">
        <v>71850</v>
      </c>
      <c r="R923" s="15">
        <v>179550</v>
      </c>
      <c r="S923" s="15">
        <f>Table1[[#This Row],[Retail Price]]-Table1[[#This Row],[Cost Price]]</f>
        <v>107700</v>
      </c>
      <c r="T923" s="10">
        <v>38</v>
      </c>
      <c r="U923" s="15">
        <f>Table1[[#This Row],[Profit Margin]]*Table1[[#This Row],[Order Quantity]]</f>
        <v>4092600</v>
      </c>
      <c r="V923" s="11">
        <v>0.02</v>
      </c>
      <c r="W923" s="15">
        <f t="shared" si="14"/>
        <v>81852</v>
      </c>
      <c r="X923" s="15">
        <f>Table1[[#This Row],[Sub Total]]-Table1[[#This Row],[Discount Rp]]</f>
        <v>4010748</v>
      </c>
      <c r="Y923" s="15">
        <f ca="1">OFFSET(Helper!$C$3,MATCH(Data!$N$4:$N$1003,Helper!$C$4:$C$9,0),MATCH(Data!$O$4:$O$1003,Helper!$D$3:$F$3,0))</f>
        <v>10000</v>
      </c>
      <c r="Z923" s="16">
        <f ca="1">Table1[[#This Row],[Order Total]]+Table1[[#This Row],[Shipping Cost]]</f>
        <v>4020748</v>
      </c>
    </row>
    <row r="924" spans="1:26" ht="15.75" customHeight="1" x14ac:dyDescent="0.3">
      <c r="A924" s="9" t="s">
        <v>1820</v>
      </c>
      <c r="B924" s="18">
        <v>43833</v>
      </c>
      <c r="C924" s="10">
        <f>YEAR(Table1[[#This Row],[Order Date]])</f>
        <v>2020</v>
      </c>
      <c r="D924" s="10" t="s">
        <v>1759</v>
      </c>
      <c r="E924" s="10" t="s">
        <v>165</v>
      </c>
      <c r="F924" s="10" t="s">
        <v>71</v>
      </c>
      <c r="G924" s="10" t="s">
        <v>87</v>
      </c>
      <c r="H924" s="10" t="s">
        <v>88</v>
      </c>
      <c r="I924" s="10" t="str">
        <f>VLOOKUP(Table1[[#This Row],[Account Manager ID]],Table2[[Employee ID]:[Full Name]],4,FALSE)</f>
        <v>Bagiya Sihombing</v>
      </c>
      <c r="J924" s="10" t="str">
        <f>INDEX(Employee!$D$4:$D$47,MATCH($H$4:$H$1003,Employee!$A$4:$A$47,0))</f>
        <v>Bagiya Sihombing</v>
      </c>
      <c r="K924" s="10" t="s">
        <v>92</v>
      </c>
      <c r="L924" s="10" t="s">
        <v>297</v>
      </c>
      <c r="M924" s="10" t="s">
        <v>59</v>
      </c>
      <c r="N924" s="10" t="s">
        <v>67</v>
      </c>
      <c r="O924" s="10" t="s">
        <v>61</v>
      </c>
      <c r="P924" s="10">
        <v>43833</v>
      </c>
      <c r="Q924" s="15">
        <v>52200</v>
      </c>
      <c r="R924" s="15">
        <v>81450</v>
      </c>
      <c r="S924" s="15">
        <f>Table1[[#This Row],[Retail Price]]-Table1[[#This Row],[Cost Price]]</f>
        <v>29250</v>
      </c>
      <c r="T924" s="10">
        <v>12</v>
      </c>
      <c r="U924" s="15">
        <f>Table1[[#This Row],[Profit Margin]]*Table1[[#This Row],[Order Quantity]]</f>
        <v>351000</v>
      </c>
      <c r="V924" s="11">
        <v>0.01</v>
      </c>
      <c r="W924" s="15">
        <f t="shared" si="14"/>
        <v>3510</v>
      </c>
      <c r="X924" s="15">
        <f>Table1[[#This Row],[Sub Total]]-Table1[[#This Row],[Discount Rp]]</f>
        <v>347490</v>
      </c>
      <c r="Y924" s="15">
        <f ca="1">OFFSET(Helper!$C$3,MATCH(Data!$N$4:$N$1003,Helper!$C$4:$C$9,0),MATCH(Data!$O$4:$O$1003,Helper!$D$3:$F$3,0))</f>
        <v>5000</v>
      </c>
      <c r="Z924" s="16">
        <f ca="1">Table1[[#This Row],[Order Total]]+Table1[[#This Row],[Shipping Cost]]</f>
        <v>352490</v>
      </c>
    </row>
    <row r="925" spans="1:26" ht="15.75" customHeight="1" x14ac:dyDescent="0.3">
      <c r="A925" s="9" t="s">
        <v>1821</v>
      </c>
      <c r="B925" s="18">
        <v>43834</v>
      </c>
      <c r="C925" s="10">
        <f>YEAR(Table1[[#This Row],[Order Date]])</f>
        <v>2020</v>
      </c>
      <c r="D925" s="10" t="s">
        <v>590</v>
      </c>
      <c r="E925" s="10" t="s">
        <v>579</v>
      </c>
      <c r="F925" s="10" t="s">
        <v>71</v>
      </c>
      <c r="G925" s="10" t="s">
        <v>72</v>
      </c>
      <c r="H925" s="10" t="s">
        <v>73</v>
      </c>
      <c r="I925" s="10" t="str">
        <f>VLOOKUP(Table1[[#This Row],[Account Manager ID]],Table2[[Employee ID]:[Full Name]],4,FALSE)</f>
        <v>Cinthia Gunawan</v>
      </c>
      <c r="J925" s="10" t="str">
        <f>INDEX(Employee!$D$4:$D$47,MATCH($H$4:$H$1003,Employee!$A$4:$A$47,0))</f>
        <v>Cinthia Gunawan</v>
      </c>
      <c r="K925" s="10" t="s">
        <v>117</v>
      </c>
      <c r="L925" s="10" t="s">
        <v>500</v>
      </c>
      <c r="M925" s="10" t="s">
        <v>59</v>
      </c>
      <c r="N925" s="10" t="s">
        <v>60</v>
      </c>
      <c r="O925" s="10" t="s">
        <v>61</v>
      </c>
      <c r="P925" s="10">
        <v>43834</v>
      </c>
      <c r="Q925" s="15">
        <v>36750</v>
      </c>
      <c r="R925" s="15">
        <v>58350</v>
      </c>
      <c r="S925" s="15">
        <f>Table1[[#This Row],[Retail Price]]-Table1[[#This Row],[Cost Price]]</f>
        <v>21600</v>
      </c>
      <c r="T925" s="10">
        <v>50</v>
      </c>
      <c r="U925" s="15">
        <f>Table1[[#This Row],[Profit Margin]]*Table1[[#This Row],[Order Quantity]]</f>
        <v>1080000</v>
      </c>
      <c r="V925" s="11">
        <v>0.08</v>
      </c>
      <c r="W925" s="15">
        <f t="shared" si="14"/>
        <v>86400</v>
      </c>
      <c r="X925" s="15">
        <f>Table1[[#This Row],[Sub Total]]-Table1[[#This Row],[Discount Rp]]</f>
        <v>993600</v>
      </c>
      <c r="Y925" s="15">
        <f ca="1">OFFSET(Helper!$C$3,MATCH(Data!$N$4:$N$1003,Helper!$C$4:$C$9,0),MATCH(Data!$O$4:$O$1003,Helper!$D$3:$F$3,0))</f>
        <v>15000</v>
      </c>
      <c r="Z925" s="16">
        <f ca="1">Table1[[#This Row],[Order Total]]+Table1[[#This Row],[Shipping Cost]]</f>
        <v>1008600</v>
      </c>
    </row>
    <row r="926" spans="1:26" ht="15.75" customHeight="1" x14ac:dyDescent="0.3">
      <c r="A926" s="9" t="s">
        <v>1822</v>
      </c>
      <c r="B926" s="18">
        <v>43835</v>
      </c>
      <c r="C926" s="10">
        <f>YEAR(Table1[[#This Row],[Order Date]])</f>
        <v>2020</v>
      </c>
      <c r="D926" s="10" t="s">
        <v>1375</v>
      </c>
      <c r="E926" s="10" t="s">
        <v>340</v>
      </c>
      <c r="F926" s="10" t="s">
        <v>54</v>
      </c>
      <c r="G926" s="10" t="s">
        <v>106</v>
      </c>
      <c r="H926" s="10" t="s">
        <v>65</v>
      </c>
      <c r="I926" s="10" t="str">
        <f>VLOOKUP(Table1[[#This Row],[Account Manager ID]],Table2[[Employee ID]:[Full Name]],4,FALSE)</f>
        <v>Laras Nuraini</v>
      </c>
      <c r="J926" s="10" t="str">
        <f>INDEX(Employee!$D$4:$D$47,MATCH($H$4:$H$1003,Employee!$A$4:$A$47,0))</f>
        <v>Laras Nuraini</v>
      </c>
      <c r="K926" s="10" t="s">
        <v>117</v>
      </c>
      <c r="L926" s="10" t="s">
        <v>173</v>
      </c>
      <c r="M926" s="10" t="s">
        <v>59</v>
      </c>
      <c r="N926" s="10" t="s">
        <v>67</v>
      </c>
      <c r="O926" s="10" t="s">
        <v>61</v>
      </c>
      <c r="P926" s="10">
        <v>43836</v>
      </c>
      <c r="Q926" s="15">
        <v>37800</v>
      </c>
      <c r="R926" s="15">
        <v>60000</v>
      </c>
      <c r="S926" s="15">
        <f>Table1[[#This Row],[Retail Price]]-Table1[[#This Row],[Cost Price]]</f>
        <v>22200</v>
      </c>
      <c r="T926" s="10">
        <v>22</v>
      </c>
      <c r="U926" s="15">
        <f>Table1[[#This Row],[Profit Margin]]*Table1[[#This Row],[Order Quantity]]</f>
        <v>488400</v>
      </c>
      <c r="V926" s="11">
        <v>0.09</v>
      </c>
      <c r="W926" s="15">
        <f t="shared" si="14"/>
        <v>43956</v>
      </c>
      <c r="X926" s="15">
        <f>Table1[[#This Row],[Sub Total]]-Table1[[#This Row],[Discount Rp]]</f>
        <v>444444</v>
      </c>
      <c r="Y926" s="15">
        <f ca="1">OFFSET(Helper!$C$3,MATCH(Data!$N$4:$N$1003,Helper!$C$4:$C$9,0),MATCH(Data!$O$4:$O$1003,Helper!$D$3:$F$3,0))</f>
        <v>5000</v>
      </c>
      <c r="Z926" s="16">
        <f ca="1">Table1[[#This Row],[Order Total]]+Table1[[#This Row],[Shipping Cost]]</f>
        <v>449444</v>
      </c>
    </row>
    <row r="927" spans="1:26" ht="15.75" customHeight="1" x14ac:dyDescent="0.3">
      <c r="A927" s="9" t="s">
        <v>1823</v>
      </c>
      <c r="B927" s="18">
        <v>43836</v>
      </c>
      <c r="C927" s="10">
        <f>YEAR(Table1[[#This Row],[Order Date]])</f>
        <v>2020</v>
      </c>
      <c r="D927" s="10" t="s">
        <v>1824</v>
      </c>
      <c r="E927" s="10" t="s">
        <v>222</v>
      </c>
      <c r="F927" s="10" t="s">
        <v>71</v>
      </c>
      <c r="G927" s="10" t="s">
        <v>106</v>
      </c>
      <c r="H927" s="10" t="s">
        <v>155</v>
      </c>
      <c r="I927" s="10" t="str">
        <f>VLOOKUP(Table1[[#This Row],[Account Manager ID]],Table2[[Employee ID]:[Full Name]],4,FALSE)</f>
        <v>Puti Nadine Prakasa</v>
      </c>
      <c r="J927" s="10" t="str">
        <f>INDEX(Employee!$D$4:$D$47,MATCH($H$4:$H$1003,Employee!$A$4:$A$47,0))</f>
        <v>Puti Nadine Prakasa</v>
      </c>
      <c r="K927" s="10" t="s">
        <v>117</v>
      </c>
      <c r="L927" s="10" t="s">
        <v>345</v>
      </c>
      <c r="M927" s="10" t="s">
        <v>59</v>
      </c>
      <c r="N927" s="10" t="s">
        <v>60</v>
      </c>
      <c r="O927" s="10" t="s">
        <v>61</v>
      </c>
      <c r="P927" s="10">
        <v>43839</v>
      </c>
      <c r="Q927" s="15">
        <v>51000</v>
      </c>
      <c r="R927" s="15">
        <v>81000</v>
      </c>
      <c r="S927" s="15">
        <f>Table1[[#This Row],[Retail Price]]-Table1[[#This Row],[Cost Price]]</f>
        <v>30000</v>
      </c>
      <c r="T927" s="10">
        <v>38</v>
      </c>
      <c r="U927" s="15">
        <f>Table1[[#This Row],[Profit Margin]]*Table1[[#This Row],[Order Quantity]]</f>
        <v>1140000</v>
      </c>
      <c r="V927" s="11">
        <v>0.03</v>
      </c>
      <c r="W927" s="15">
        <f t="shared" si="14"/>
        <v>34200</v>
      </c>
      <c r="X927" s="15">
        <f>Table1[[#This Row],[Sub Total]]-Table1[[#This Row],[Discount Rp]]</f>
        <v>1105800</v>
      </c>
      <c r="Y927" s="15">
        <f ca="1">OFFSET(Helper!$C$3,MATCH(Data!$N$4:$N$1003,Helper!$C$4:$C$9,0),MATCH(Data!$O$4:$O$1003,Helper!$D$3:$F$3,0))</f>
        <v>15000</v>
      </c>
      <c r="Z927" s="16">
        <f ca="1">Table1[[#This Row],[Order Total]]+Table1[[#This Row],[Shipping Cost]]</f>
        <v>1120800</v>
      </c>
    </row>
    <row r="928" spans="1:26" ht="15.75" customHeight="1" x14ac:dyDescent="0.3">
      <c r="A928" s="9" t="s">
        <v>1825</v>
      </c>
      <c r="B928" s="18">
        <v>43838</v>
      </c>
      <c r="C928" s="10">
        <f>YEAR(Table1[[#This Row],[Order Date]])</f>
        <v>2020</v>
      </c>
      <c r="D928" s="10" t="s">
        <v>476</v>
      </c>
      <c r="E928" s="10" t="s">
        <v>477</v>
      </c>
      <c r="F928" s="10" t="s">
        <v>261</v>
      </c>
      <c r="G928" s="10" t="s">
        <v>72</v>
      </c>
      <c r="H928" s="10" t="s">
        <v>146</v>
      </c>
      <c r="I928" s="10" t="str">
        <f>VLOOKUP(Table1[[#This Row],[Account Manager ID]],Table2[[Employee ID]:[Full Name]],4,FALSE)</f>
        <v>Kenari Rajasa</v>
      </c>
      <c r="J928" s="10" t="str">
        <f>INDEX(Employee!$D$4:$D$47,MATCH($H$4:$H$1003,Employee!$A$4:$A$47,0))</f>
        <v>Kenari Rajasa</v>
      </c>
      <c r="K928" s="10" t="s">
        <v>74</v>
      </c>
      <c r="L928" s="10" t="s">
        <v>419</v>
      </c>
      <c r="M928" s="10" t="s">
        <v>59</v>
      </c>
      <c r="N928" s="10" t="s">
        <v>60</v>
      </c>
      <c r="O928" s="10" t="s">
        <v>61</v>
      </c>
      <c r="P928" s="10">
        <v>43839</v>
      </c>
      <c r="Q928" s="15">
        <v>66900</v>
      </c>
      <c r="R928" s="15">
        <v>163350</v>
      </c>
      <c r="S928" s="15">
        <f>Table1[[#This Row],[Retail Price]]-Table1[[#This Row],[Cost Price]]</f>
        <v>96450</v>
      </c>
      <c r="T928" s="10">
        <v>19</v>
      </c>
      <c r="U928" s="15">
        <f>Table1[[#This Row],[Profit Margin]]*Table1[[#This Row],[Order Quantity]]</f>
        <v>1832550</v>
      </c>
      <c r="V928" s="11">
        <v>7.0000000000000007E-2</v>
      </c>
      <c r="W928" s="15">
        <f t="shared" si="14"/>
        <v>128278.50000000001</v>
      </c>
      <c r="X928" s="15">
        <f>Table1[[#This Row],[Sub Total]]-Table1[[#This Row],[Discount Rp]]</f>
        <v>1704271.5</v>
      </c>
      <c r="Y928" s="15">
        <f ca="1">OFFSET(Helper!$C$3,MATCH(Data!$N$4:$N$1003,Helper!$C$4:$C$9,0),MATCH(Data!$O$4:$O$1003,Helper!$D$3:$F$3,0))</f>
        <v>15000</v>
      </c>
      <c r="Z928" s="16">
        <f ca="1">Table1[[#This Row],[Order Total]]+Table1[[#This Row],[Shipping Cost]]</f>
        <v>1719271.5</v>
      </c>
    </row>
    <row r="929" spans="1:26" ht="15.75" customHeight="1" x14ac:dyDescent="0.3">
      <c r="A929" s="9" t="s">
        <v>1826</v>
      </c>
      <c r="B929" s="18">
        <v>43839</v>
      </c>
      <c r="C929" s="10">
        <f>YEAR(Table1[[#This Row],[Order Date]])</f>
        <v>2020</v>
      </c>
      <c r="D929" s="10" t="s">
        <v>896</v>
      </c>
      <c r="E929" s="10" t="s">
        <v>1827</v>
      </c>
      <c r="F929" s="10" t="s">
        <v>261</v>
      </c>
      <c r="G929" s="10" t="s">
        <v>106</v>
      </c>
      <c r="H929" s="10" t="s">
        <v>146</v>
      </c>
      <c r="I929" s="10" t="str">
        <f>VLOOKUP(Table1[[#This Row],[Account Manager ID]],Table2[[Employee ID]:[Full Name]],4,FALSE)</f>
        <v>Kenari Rajasa</v>
      </c>
      <c r="J929" s="10" t="str">
        <f>INDEX(Employee!$D$4:$D$47,MATCH($H$4:$H$1003,Employee!$A$4:$A$47,0))</f>
        <v>Kenari Rajasa</v>
      </c>
      <c r="K929" s="10" t="s">
        <v>117</v>
      </c>
      <c r="L929" s="10" t="s">
        <v>234</v>
      </c>
      <c r="M929" s="10" t="s">
        <v>59</v>
      </c>
      <c r="N929" s="10" t="s">
        <v>60</v>
      </c>
      <c r="O929" s="10" t="s">
        <v>61</v>
      </c>
      <c r="P929" s="10">
        <v>43841</v>
      </c>
      <c r="Q929" s="15">
        <v>208200</v>
      </c>
      <c r="R929" s="15">
        <v>335700</v>
      </c>
      <c r="S929" s="15">
        <f>Table1[[#This Row],[Retail Price]]-Table1[[#This Row],[Cost Price]]</f>
        <v>127500</v>
      </c>
      <c r="T929" s="10">
        <v>34</v>
      </c>
      <c r="U929" s="15">
        <f>Table1[[#This Row],[Profit Margin]]*Table1[[#This Row],[Order Quantity]]</f>
        <v>4335000</v>
      </c>
      <c r="V929" s="11">
        <v>7.0000000000000007E-2</v>
      </c>
      <c r="W929" s="15">
        <f t="shared" si="14"/>
        <v>303450</v>
      </c>
      <c r="X929" s="15">
        <f>Table1[[#This Row],[Sub Total]]-Table1[[#This Row],[Discount Rp]]</f>
        <v>4031550</v>
      </c>
      <c r="Y929" s="15">
        <f ca="1">OFFSET(Helper!$C$3,MATCH(Data!$N$4:$N$1003,Helper!$C$4:$C$9,0),MATCH(Data!$O$4:$O$1003,Helper!$D$3:$F$3,0))</f>
        <v>15000</v>
      </c>
      <c r="Z929" s="16">
        <f ca="1">Table1[[#This Row],[Order Total]]+Table1[[#This Row],[Shipping Cost]]</f>
        <v>4046550</v>
      </c>
    </row>
    <row r="930" spans="1:26" ht="15.75" customHeight="1" x14ac:dyDescent="0.3">
      <c r="A930" s="9" t="s">
        <v>1828</v>
      </c>
      <c r="B930" s="18">
        <v>43839</v>
      </c>
      <c r="C930" s="10">
        <f>YEAR(Table1[[#This Row],[Order Date]])</f>
        <v>2020</v>
      </c>
      <c r="D930" s="10" t="s">
        <v>896</v>
      </c>
      <c r="E930" s="10" t="s">
        <v>1829</v>
      </c>
      <c r="F930" s="10" t="s">
        <v>261</v>
      </c>
      <c r="G930" s="10" t="s">
        <v>106</v>
      </c>
      <c r="H930" s="10" t="s">
        <v>146</v>
      </c>
      <c r="I930" s="10" t="str">
        <f>VLOOKUP(Table1[[#This Row],[Account Manager ID]],Table2[[Employee ID]:[Full Name]],4,FALSE)</f>
        <v>Kenari Rajasa</v>
      </c>
      <c r="J930" s="10" t="str">
        <f>INDEX(Employee!$D$4:$D$47,MATCH($H$4:$H$1003,Employee!$A$4:$A$47,0))</f>
        <v>Kenari Rajasa</v>
      </c>
      <c r="K930" s="10" t="s">
        <v>117</v>
      </c>
      <c r="L930" s="10" t="s">
        <v>942</v>
      </c>
      <c r="M930" s="10" t="s">
        <v>81</v>
      </c>
      <c r="N930" s="10" t="s">
        <v>60</v>
      </c>
      <c r="O930" s="10" t="s">
        <v>76</v>
      </c>
      <c r="P930" s="10">
        <v>43840</v>
      </c>
      <c r="Q930" s="15">
        <v>220500</v>
      </c>
      <c r="R930" s="15">
        <v>449850</v>
      </c>
      <c r="S930" s="15">
        <f>Table1[[#This Row],[Retail Price]]-Table1[[#This Row],[Cost Price]]</f>
        <v>229350</v>
      </c>
      <c r="T930" s="10">
        <v>36</v>
      </c>
      <c r="U930" s="15">
        <f>Table1[[#This Row],[Profit Margin]]*Table1[[#This Row],[Order Quantity]]</f>
        <v>8256600</v>
      </c>
      <c r="V930" s="11">
        <v>0.03</v>
      </c>
      <c r="W930" s="15">
        <f t="shared" si="14"/>
        <v>247698</v>
      </c>
      <c r="X930" s="15">
        <f>Table1[[#This Row],[Sub Total]]-Table1[[#This Row],[Discount Rp]]</f>
        <v>8008902</v>
      </c>
      <c r="Y930" s="15">
        <f ca="1">OFFSET(Helper!$C$3,MATCH(Data!$N$4:$N$1003,Helper!$C$4:$C$9,0),MATCH(Data!$O$4:$O$1003,Helper!$D$3:$F$3,0))</f>
        <v>30000</v>
      </c>
      <c r="Z930" s="16">
        <f ca="1">Table1[[#This Row],[Order Total]]+Table1[[#This Row],[Shipping Cost]]</f>
        <v>8038902</v>
      </c>
    </row>
    <row r="931" spans="1:26" ht="15.75" customHeight="1" x14ac:dyDescent="0.3">
      <c r="A931" s="9" t="s">
        <v>1830</v>
      </c>
      <c r="B931" s="18">
        <v>43839</v>
      </c>
      <c r="C931" s="10">
        <f>YEAR(Table1[[#This Row],[Order Date]])</f>
        <v>2020</v>
      </c>
      <c r="D931" s="10" t="s">
        <v>835</v>
      </c>
      <c r="E931" s="10" t="s">
        <v>169</v>
      </c>
      <c r="F931" s="10" t="s">
        <v>54</v>
      </c>
      <c r="G931" s="10" t="s">
        <v>72</v>
      </c>
      <c r="H931" s="10" t="s">
        <v>65</v>
      </c>
      <c r="I931" s="10" t="str">
        <f>VLOOKUP(Table1[[#This Row],[Account Manager ID]],Table2[[Employee ID]:[Full Name]],4,FALSE)</f>
        <v>Laras Nuraini</v>
      </c>
      <c r="J931" s="10" t="str">
        <f>INDEX(Employee!$D$4:$D$47,MATCH($H$4:$H$1003,Employee!$A$4:$A$47,0))</f>
        <v>Laras Nuraini</v>
      </c>
      <c r="K931" s="10" t="s">
        <v>92</v>
      </c>
      <c r="L931" s="10" t="s">
        <v>810</v>
      </c>
      <c r="M931" s="10" t="s">
        <v>59</v>
      </c>
      <c r="N931" s="10" t="s">
        <v>60</v>
      </c>
      <c r="O931" s="10" t="s">
        <v>61</v>
      </c>
      <c r="P931" s="10">
        <v>43848</v>
      </c>
      <c r="Q931" s="15">
        <v>329550</v>
      </c>
      <c r="R931" s="15">
        <v>531600</v>
      </c>
      <c r="S931" s="15">
        <f>Table1[[#This Row],[Retail Price]]-Table1[[#This Row],[Cost Price]]</f>
        <v>202050</v>
      </c>
      <c r="T931" s="10">
        <v>44</v>
      </c>
      <c r="U931" s="15">
        <f>Table1[[#This Row],[Profit Margin]]*Table1[[#This Row],[Order Quantity]]</f>
        <v>8890200</v>
      </c>
      <c r="V931" s="11">
        <v>0.01</v>
      </c>
      <c r="W931" s="15">
        <f t="shared" si="14"/>
        <v>88902</v>
      </c>
      <c r="X931" s="15">
        <f>Table1[[#This Row],[Sub Total]]-Table1[[#This Row],[Discount Rp]]</f>
        <v>8801298</v>
      </c>
      <c r="Y931" s="15">
        <f ca="1">OFFSET(Helper!$C$3,MATCH(Data!$N$4:$N$1003,Helper!$C$4:$C$9,0),MATCH(Data!$O$4:$O$1003,Helper!$D$3:$F$3,0))</f>
        <v>15000</v>
      </c>
      <c r="Z931" s="16">
        <f ca="1">Table1[[#This Row],[Order Total]]+Table1[[#This Row],[Shipping Cost]]</f>
        <v>8816298</v>
      </c>
    </row>
    <row r="932" spans="1:26" ht="15.75" customHeight="1" x14ac:dyDescent="0.3">
      <c r="A932" s="9" t="s">
        <v>1831</v>
      </c>
      <c r="B932" s="18">
        <v>43841</v>
      </c>
      <c r="C932" s="10">
        <f>YEAR(Table1[[#This Row],[Order Date]])</f>
        <v>2020</v>
      </c>
      <c r="D932" s="10" t="s">
        <v>205</v>
      </c>
      <c r="E932" s="10" t="s">
        <v>206</v>
      </c>
      <c r="F932" s="10" t="s">
        <v>71</v>
      </c>
      <c r="G932" s="10" t="s">
        <v>106</v>
      </c>
      <c r="H932" s="10" t="s">
        <v>155</v>
      </c>
      <c r="I932" s="10" t="str">
        <f>VLOOKUP(Table1[[#This Row],[Account Manager ID]],Table2[[Employee ID]:[Full Name]],4,FALSE)</f>
        <v>Puti Nadine Prakasa</v>
      </c>
      <c r="J932" s="10" t="str">
        <f>INDEX(Employee!$D$4:$D$47,MATCH($H$4:$H$1003,Employee!$A$4:$A$47,0))</f>
        <v>Puti Nadine Prakasa</v>
      </c>
      <c r="K932" s="10" t="s">
        <v>57</v>
      </c>
      <c r="L932" s="10" t="s">
        <v>326</v>
      </c>
      <c r="M932" s="10" t="s">
        <v>59</v>
      </c>
      <c r="N932" s="10" t="s">
        <v>60</v>
      </c>
      <c r="O932" s="10" t="s">
        <v>61</v>
      </c>
      <c r="P932" s="10">
        <v>43843</v>
      </c>
      <c r="Q932" s="15">
        <v>297450</v>
      </c>
      <c r="R932" s="15">
        <v>464700</v>
      </c>
      <c r="S932" s="15">
        <f>Table1[[#This Row],[Retail Price]]-Table1[[#This Row],[Cost Price]]</f>
        <v>167250</v>
      </c>
      <c r="T932" s="10">
        <v>30</v>
      </c>
      <c r="U932" s="15">
        <f>Table1[[#This Row],[Profit Margin]]*Table1[[#This Row],[Order Quantity]]</f>
        <v>5017500</v>
      </c>
      <c r="V932" s="11">
        <v>0.03</v>
      </c>
      <c r="W932" s="15">
        <f t="shared" si="14"/>
        <v>150525</v>
      </c>
      <c r="X932" s="15">
        <f>Table1[[#This Row],[Sub Total]]-Table1[[#This Row],[Discount Rp]]</f>
        <v>4866975</v>
      </c>
      <c r="Y932" s="15">
        <f ca="1">OFFSET(Helper!$C$3,MATCH(Data!$N$4:$N$1003,Helper!$C$4:$C$9,0),MATCH(Data!$O$4:$O$1003,Helper!$D$3:$F$3,0))</f>
        <v>15000</v>
      </c>
      <c r="Z932" s="16">
        <f ca="1">Table1[[#This Row],[Order Total]]+Table1[[#This Row],[Shipping Cost]]</f>
        <v>4881975</v>
      </c>
    </row>
    <row r="933" spans="1:26" ht="15.75" customHeight="1" x14ac:dyDescent="0.3">
      <c r="A933" s="9" t="s">
        <v>1832</v>
      </c>
      <c r="B933" s="18">
        <v>43843</v>
      </c>
      <c r="C933" s="10">
        <f>YEAR(Table1[[#This Row],[Order Date]])</f>
        <v>2020</v>
      </c>
      <c r="D933" s="10" t="s">
        <v>171</v>
      </c>
      <c r="E933" s="10" t="s">
        <v>172</v>
      </c>
      <c r="F933" s="10" t="s">
        <v>54</v>
      </c>
      <c r="G933" s="10" t="s">
        <v>106</v>
      </c>
      <c r="H933" s="10" t="s">
        <v>65</v>
      </c>
      <c r="I933" s="10" t="str">
        <f>VLOOKUP(Table1[[#This Row],[Account Manager ID]],Table2[[Employee ID]:[Full Name]],4,FALSE)</f>
        <v>Laras Nuraini</v>
      </c>
      <c r="J933" s="10" t="str">
        <f>INDEX(Employee!$D$4:$D$47,MATCH($H$4:$H$1003,Employee!$A$4:$A$47,0))</f>
        <v>Laras Nuraini</v>
      </c>
      <c r="K933" s="10" t="s">
        <v>57</v>
      </c>
      <c r="L933" s="10" t="s">
        <v>142</v>
      </c>
      <c r="M933" s="10" t="s">
        <v>59</v>
      </c>
      <c r="N933" s="10" t="s">
        <v>60</v>
      </c>
      <c r="O933" s="10" t="s">
        <v>61</v>
      </c>
      <c r="P933" s="10">
        <v>43845</v>
      </c>
      <c r="Q933" s="15">
        <v>68850</v>
      </c>
      <c r="R933" s="15">
        <v>109200</v>
      </c>
      <c r="S933" s="15">
        <f>Table1[[#This Row],[Retail Price]]-Table1[[#This Row],[Cost Price]]</f>
        <v>40350</v>
      </c>
      <c r="T933" s="10">
        <v>50</v>
      </c>
      <c r="U933" s="15">
        <f>Table1[[#This Row],[Profit Margin]]*Table1[[#This Row],[Order Quantity]]</f>
        <v>2017500</v>
      </c>
      <c r="V933" s="11">
        <v>0.01</v>
      </c>
      <c r="W933" s="15">
        <f t="shared" si="14"/>
        <v>20175</v>
      </c>
      <c r="X933" s="15">
        <f>Table1[[#This Row],[Sub Total]]-Table1[[#This Row],[Discount Rp]]</f>
        <v>1997325</v>
      </c>
      <c r="Y933" s="15">
        <f ca="1">OFFSET(Helper!$C$3,MATCH(Data!$N$4:$N$1003,Helper!$C$4:$C$9,0),MATCH(Data!$O$4:$O$1003,Helper!$D$3:$F$3,0))</f>
        <v>15000</v>
      </c>
      <c r="Z933" s="16">
        <f ca="1">Table1[[#This Row],[Order Total]]+Table1[[#This Row],[Shipping Cost]]</f>
        <v>2012325</v>
      </c>
    </row>
    <row r="934" spans="1:26" ht="15.75" customHeight="1" x14ac:dyDescent="0.3">
      <c r="A934" s="9" t="s">
        <v>1833</v>
      </c>
      <c r="B934" s="18">
        <v>43844</v>
      </c>
      <c r="C934" s="10">
        <f>YEAR(Table1[[#This Row],[Order Date]])</f>
        <v>2020</v>
      </c>
      <c r="D934" s="10" t="s">
        <v>638</v>
      </c>
      <c r="E934" s="10" t="s">
        <v>165</v>
      </c>
      <c r="F934" s="10" t="s">
        <v>71</v>
      </c>
      <c r="G934" s="10" t="s">
        <v>106</v>
      </c>
      <c r="H934" s="10" t="s">
        <v>88</v>
      </c>
      <c r="I934" s="10" t="str">
        <f>VLOOKUP(Table1[[#This Row],[Account Manager ID]],Table2[[Employee ID]:[Full Name]],4,FALSE)</f>
        <v>Bagiya Sihombing</v>
      </c>
      <c r="J934" s="10" t="str">
        <f>INDEX(Employee!$D$4:$D$47,MATCH($H$4:$H$1003,Employee!$A$4:$A$47,0))</f>
        <v>Bagiya Sihombing</v>
      </c>
      <c r="K934" s="10" t="s">
        <v>117</v>
      </c>
      <c r="L934" s="10" t="s">
        <v>326</v>
      </c>
      <c r="M934" s="10" t="s">
        <v>59</v>
      </c>
      <c r="N934" s="10" t="s">
        <v>60</v>
      </c>
      <c r="O934" s="10" t="s">
        <v>61</v>
      </c>
      <c r="P934" s="10">
        <v>43845</v>
      </c>
      <c r="Q934" s="15">
        <v>297450</v>
      </c>
      <c r="R934" s="15">
        <v>464700</v>
      </c>
      <c r="S934" s="15">
        <f>Table1[[#This Row],[Retail Price]]-Table1[[#This Row],[Cost Price]]</f>
        <v>167250</v>
      </c>
      <c r="T934" s="10">
        <v>37</v>
      </c>
      <c r="U934" s="15">
        <f>Table1[[#This Row],[Profit Margin]]*Table1[[#This Row],[Order Quantity]]</f>
        <v>6188250</v>
      </c>
      <c r="V934" s="11">
        <v>0.01</v>
      </c>
      <c r="W934" s="15">
        <f t="shared" si="14"/>
        <v>61882.5</v>
      </c>
      <c r="X934" s="15">
        <f>Table1[[#This Row],[Sub Total]]-Table1[[#This Row],[Discount Rp]]</f>
        <v>6126367.5</v>
      </c>
      <c r="Y934" s="15">
        <f ca="1">OFFSET(Helper!$C$3,MATCH(Data!$N$4:$N$1003,Helper!$C$4:$C$9,0),MATCH(Data!$O$4:$O$1003,Helper!$D$3:$F$3,0))</f>
        <v>15000</v>
      </c>
      <c r="Z934" s="16">
        <f ca="1">Table1[[#This Row],[Order Total]]+Table1[[#This Row],[Shipping Cost]]</f>
        <v>6141367.5</v>
      </c>
    </row>
    <row r="935" spans="1:26" ht="15.75" customHeight="1" x14ac:dyDescent="0.3">
      <c r="A935" s="9" t="s">
        <v>1834</v>
      </c>
      <c r="B935" s="18">
        <v>43844</v>
      </c>
      <c r="C935" s="10">
        <f>YEAR(Table1[[#This Row],[Order Date]])</f>
        <v>2020</v>
      </c>
      <c r="D935" s="10" t="s">
        <v>1835</v>
      </c>
      <c r="E935" s="10" t="s">
        <v>521</v>
      </c>
      <c r="F935" s="10" t="s">
        <v>71</v>
      </c>
      <c r="G935" s="10" t="s">
        <v>55</v>
      </c>
      <c r="H935" s="10" t="s">
        <v>88</v>
      </c>
      <c r="I935" s="10" t="str">
        <f>VLOOKUP(Table1[[#This Row],[Account Manager ID]],Table2[[Employee ID]:[Full Name]],4,FALSE)</f>
        <v>Bagiya Sihombing</v>
      </c>
      <c r="J935" s="10" t="str">
        <f>INDEX(Employee!$D$4:$D$47,MATCH($H$4:$H$1003,Employee!$A$4:$A$47,0))</f>
        <v>Bagiya Sihombing</v>
      </c>
      <c r="K935" s="10" t="s">
        <v>117</v>
      </c>
      <c r="L935" s="10" t="s">
        <v>147</v>
      </c>
      <c r="M935" s="10" t="s">
        <v>59</v>
      </c>
      <c r="N935" s="10" t="s">
        <v>67</v>
      </c>
      <c r="O935" s="10" t="s">
        <v>61</v>
      </c>
      <c r="P935" s="10">
        <v>43845</v>
      </c>
      <c r="Q935" s="15">
        <v>19500</v>
      </c>
      <c r="R935" s="15">
        <v>43200</v>
      </c>
      <c r="S935" s="15">
        <f>Table1[[#This Row],[Retail Price]]-Table1[[#This Row],[Cost Price]]</f>
        <v>23700</v>
      </c>
      <c r="T935" s="10">
        <v>46</v>
      </c>
      <c r="U935" s="15">
        <f>Table1[[#This Row],[Profit Margin]]*Table1[[#This Row],[Order Quantity]]</f>
        <v>1090200</v>
      </c>
      <c r="V935" s="11">
        <v>0.05</v>
      </c>
      <c r="W935" s="15">
        <f t="shared" si="14"/>
        <v>54510</v>
      </c>
      <c r="X935" s="15">
        <f>Table1[[#This Row],[Sub Total]]-Table1[[#This Row],[Discount Rp]]</f>
        <v>1035690</v>
      </c>
      <c r="Y935" s="15">
        <f ca="1">OFFSET(Helper!$C$3,MATCH(Data!$N$4:$N$1003,Helper!$C$4:$C$9,0),MATCH(Data!$O$4:$O$1003,Helper!$D$3:$F$3,0))</f>
        <v>5000</v>
      </c>
      <c r="Z935" s="16">
        <f ca="1">Table1[[#This Row],[Order Total]]+Table1[[#This Row],[Shipping Cost]]</f>
        <v>1040690</v>
      </c>
    </row>
    <row r="936" spans="1:26" ht="15.75" customHeight="1" x14ac:dyDescent="0.3">
      <c r="A936" s="9" t="s">
        <v>1836</v>
      </c>
      <c r="B936" s="18">
        <v>43849</v>
      </c>
      <c r="C936" s="10">
        <f>YEAR(Table1[[#This Row],[Order Date]])</f>
        <v>2020</v>
      </c>
      <c r="D936" s="10" t="s">
        <v>120</v>
      </c>
      <c r="E936" s="10" t="s">
        <v>121</v>
      </c>
      <c r="F936" s="10" t="s">
        <v>71</v>
      </c>
      <c r="G936" s="10" t="s">
        <v>72</v>
      </c>
      <c r="H936" s="10" t="s">
        <v>122</v>
      </c>
      <c r="I936" s="10" t="str">
        <f>VLOOKUP(Table1[[#This Row],[Account Manager ID]],Table2[[Employee ID]:[Full Name]],4,FALSE)</f>
        <v>Ophelia Mustofa</v>
      </c>
      <c r="J936" s="10" t="str">
        <f>INDEX(Employee!$D$4:$D$47,MATCH($H$4:$H$1003,Employee!$A$4:$A$47,0))</f>
        <v>Ophelia Mustofa</v>
      </c>
      <c r="K936" s="10" t="s">
        <v>57</v>
      </c>
      <c r="L936" s="10" t="s">
        <v>162</v>
      </c>
      <c r="M936" s="10" t="s">
        <v>59</v>
      </c>
      <c r="N936" s="10" t="s">
        <v>60</v>
      </c>
      <c r="O936" s="10" t="s">
        <v>61</v>
      </c>
      <c r="P936" s="10">
        <v>43851</v>
      </c>
      <c r="Q936" s="15">
        <v>52800</v>
      </c>
      <c r="R936" s="15">
        <v>85200</v>
      </c>
      <c r="S936" s="15">
        <f>Table1[[#This Row],[Retail Price]]-Table1[[#This Row],[Cost Price]]</f>
        <v>32400</v>
      </c>
      <c r="T936" s="10">
        <v>23</v>
      </c>
      <c r="U936" s="15">
        <f>Table1[[#This Row],[Profit Margin]]*Table1[[#This Row],[Order Quantity]]</f>
        <v>745200</v>
      </c>
      <c r="V936" s="11">
        <v>0.02</v>
      </c>
      <c r="W936" s="15">
        <f t="shared" si="14"/>
        <v>14904</v>
      </c>
      <c r="X936" s="15">
        <f>Table1[[#This Row],[Sub Total]]-Table1[[#This Row],[Discount Rp]]</f>
        <v>730296</v>
      </c>
      <c r="Y936" s="15">
        <f ca="1">OFFSET(Helper!$C$3,MATCH(Data!$N$4:$N$1003,Helper!$C$4:$C$9,0),MATCH(Data!$O$4:$O$1003,Helper!$D$3:$F$3,0))</f>
        <v>15000</v>
      </c>
      <c r="Z936" s="16">
        <f ca="1">Table1[[#This Row],[Order Total]]+Table1[[#This Row],[Shipping Cost]]</f>
        <v>745296</v>
      </c>
    </row>
    <row r="937" spans="1:26" ht="15.75" customHeight="1" x14ac:dyDescent="0.3">
      <c r="A937" s="9" t="s">
        <v>1837</v>
      </c>
      <c r="B937" s="18">
        <v>43851</v>
      </c>
      <c r="C937" s="10">
        <f>YEAR(Table1[[#This Row],[Order Date]])</f>
        <v>2020</v>
      </c>
      <c r="D937" s="10" t="s">
        <v>571</v>
      </c>
      <c r="E937" s="10" t="s">
        <v>572</v>
      </c>
      <c r="F937" s="10" t="s">
        <v>261</v>
      </c>
      <c r="G937" s="10" t="s">
        <v>72</v>
      </c>
      <c r="H937" s="10" t="s">
        <v>146</v>
      </c>
      <c r="I937" s="10" t="str">
        <f>VLOOKUP(Table1[[#This Row],[Account Manager ID]],Table2[[Employee ID]:[Full Name]],4,FALSE)</f>
        <v>Kenari Rajasa</v>
      </c>
      <c r="J937" s="10" t="str">
        <f>INDEX(Employee!$D$4:$D$47,MATCH($H$4:$H$1003,Employee!$A$4:$A$47,0))</f>
        <v>Kenari Rajasa</v>
      </c>
      <c r="K937" s="10" t="s">
        <v>57</v>
      </c>
      <c r="L937" s="10" t="s">
        <v>591</v>
      </c>
      <c r="M937" s="10" t="s">
        <v>59</v>
      </c>
      <c r="N937" s="10" t="s">
        <v>60</v>
      </c>
      <c r="O937" s="10" t="s">
        <v>61</v>
      </c>
      <c r="P937" s="10">
        <v>43851</v>
      </c>
      <c r="Q937" s="15">
        <v>165600</v>
      </c>
      <c r="R937" s="15">
        <v>254700</v>
      </c>
      <c r="S937" s="15">
        <f>Table1[[#This Row],[Retail Price]]-Table1[[#This Row],[Cost Price]]</f>
        <v>89100</v>
      </c>
      <c r="T937" s="10">
        <v>43</v>
      </c>
      <c r="U937" s="15">
        <f>Table1[[#This Row],[Profit Margin]]*Table1[[#This Row],[Order Quantity]]</f>
        <v>3831300</v>
      </c>
      <c r="V937" s="11">
        <v>0.09</v>
      </c>
      <c r="W937" s="15">
        <f t="shared" si="14"/>
        <v>344817</v>
      </c>
      <c r="X937" s="15">
        <f>Table1[[#This Row],[Sub Total]]-Table1[[#This Row],[Discount Rp]]</f>
        <v>3486483</v>
      </c>
      <c r="Y937" s="15">
        <f ca="1">OFFSET(Helper!$C$3,MATCH(Data!$N$4:$N$1003,Helper!$C$4:$C$9,0),MATCH(Data!$O$4:$O$1003,Helper!$D$3:$F$3,0))</f>
        <v>15000</v>
      </c>
      <c r="Z937" s="16">
        <f ca="1">Table1[[#This Row],[Order Total]]+Table1[[#This Row],[Shipping Cost]]</f>
        <v>3501483</v>
      </c>
    </row>
    <row r="938" spans="1:26" ht="15.75" customHeight="1" x14ac:dyDescent="0.3">
      <c r="A938" s="9" t="s">
        <v>1838</v>
      </c>
      <c r="B938" s="18">
        <v>43854</v>
      </c>
      <c r="C938" s="10">
        <f>YEAR(Table1[[#This Row],[Order Date]])</f>
        <v>2020</v>
      </c>
      <c r="D938" s="10" t="s">
        <v>458</v>
      </c>
      <c r="E938" s="10" t="s">
        <v>189</v>
      </c>
      <c r="F938" s="10" t="s">
        <v>54</v>
      </c>
      <c r="G938" s="10" t="s">
        <v>106</v>
      </c>
      <c r="H938" s="10" t="s">
        <v>56</v>
      </c>
      <c r="I938" s="10" t="str">
        <f>VLOOKUP(Table1[[#This Row],[Account Manager ID]],Table2[[Employee ID]:[Full Name]],4,FALSE)</f>
        <v>Gaduh Pratama</v>
      </c>
      <c r="J938" s="10" t="str">
        <f>INDEX(Employee!$D$4:$D$47,MATCH($H$4:$H$1003,Employee!$A$4:$A$47,0))</f>
        <v>Gaduh Pratama</v>
      </c>
      <c r="K938" s="10" t="s">
        <v>92</v>
      </c>
      <c r="L938" s="10" t="s">
        <v>700</v>
      </c>
      <c r="M938" s="10" t="s">
        <v>59</v>
      </c>
      <c r="N938" s="10" t="s">
        <v>67</v>
      </c>
      <c r="O938" s="10" t="s">
        <v>61</v>
      </c>
      <c r="P938" s="10">
        <v>43858</v>
      </c>
      <c r="Q938" s="15">
        <v>34650</v>
      </c>
      <c r="R938" s="15">
        <v>56700</v>
      </c>
      <c r="S938" s="15">
        <f>Table1[[#This Row],[Retail Price]]-Table1[[#This Row],[Cost Price]]</f>
        <v>22050</v>
      </c>
      <c r="T938" s="10">
        <v>22</v>
      </c>
      <c r="U938" s="15">
        <f>Table1[[#This Row],[Profit Margin]]*Table1[[#This Row],[Order Quantity]]</f>
        <v>485100</v>
      </c>
      <c r="V938" s="11">
        <v>0.1</v>
      </c>
      <c r="W938" s="15">
        <f t="shared" si="14"/>
        <v>48510</v>
      </c>
      <c r="X938" s="15">
        <f>Table1[[#This Row],[Sub Total]]-Table1[[#This Row],[Discount Rp]]</f>
        <v>436590</v>
      </c>
      <c r="Y938" s="15">
        <f ca="1">OFFSET(Helper!$C$3,MATCH(Data!$N$4:$N$1003,Helper!$C$4:$C$9,0),MATCH(Data!$O$4:$O$1003,Helper!$D$3:$F$3,0))</f>
        <v>5000</v>
      </c>
      <c r="Z938" s="16">
        <f ca="1">Table1[[#This Row],[Order Total]]+Table1[[#This Row],[Shipping Cost]]</f>
        <v>441590</v>
      </c>
    </row>
    <row r="939" spans="1:26" ht="15.75" customHeight="1" x14ac:dyDescent="0.3">
      <c r="A939" s="9" t="s">
        <v>1839</v>
      </c>
      <c r="B939" s="18">
        <v>43855</v>
      </c>
      <c r="C939" s="10">
        <f>YEAR(Table1[[#This Row],[Order Date]])</f>
        <v>2020</v>
      </c>
      <c r="D939" s="10" t="s">
        <v>1768</v>
      </c>
      <c r="E939" s="10" t="s">
        <v>233</v>
      </c>
      <c r="F939" s="10" t="s">
        <v>54</v>
      </c>
      <c r="G939" s="10" t="s">
        <v>55</v>
      </c>
      <c r="H939" s="10" t="s">
        <v>65</v>
      </c>
      <c r="I939" s="10" t="str">
        <f>VLOOKUP(Table1[[#This Row],[Account Manager ID]],Table2[[Employee ID]:[Full Name]],4,FALSE)</f>
        <v>Laras Nuraini</v>
      </c>
      <c r="J939" s="10" t="str">
        <f>INDEX(Employee!$D$4:$D$47,MATCH($H$4:$H$1003,Employee!$A$4:$A$47,0))</f>
        <v>Laras Nuraini</v>
      </c>
      <c r="K939" s="10" t="s">
        <v>107</v>
      </c>
      <c r="L939" s="10" t="s">
        <v>108</v>
      </c>
      <c r="M939" s="10" t="s">
        <v>59</v>
      </c>
      <c r="N939" s="10" t="s">
        <v>60</v>
      </c>
      <c r="O939" s="10" t="s">
        <v>61</v>
      </c>
      <c r="P939" s="10">
        <v>43857</v>
      </c>
      <c r="Q939" s="15">
        <v>814350</v>
      </c>
      <c r="R939" s="15">
        <v>1357200</v>
      </c>
      <c r="S939" s="15">
        <f>Table1[[#This Row],[Retail Price]]-Table1[[#This Row],[Cost Price]]</f>
        <v>542850</v>
      </c>
      <c r="T939" s="10">
        <v>25</v>
      </c>
      <c r="U939" s="15">
        <f>Table1[[#This Row],[Profit Margin]]*Table1[[#This Row],[Order Quantity]]</f>
        <v>13571250</v>
      </c>
      <c r="V939" s="11">
        <v>0.02</v>
      </c>
      <c r="W939" s="15">
        <f t="shared" si="14"/>
        <v>271425</v>
      </c>
      <c r="X939" s="15">
        <f>Table1[[#This Row],[Sub Total]]-Table1[[#This Row],[Discount Rp]]</f>
        <v>13299825</v>
      </c>
      <c r="Y939" s="15">
        <f ca="1">OFFSET(Helper!$C$3,MATCH(Data!$N$4:$N$1003,Helper!$C$4:$C$9,0),MATCH(Data!$O$4:$O$1003,Helper!$D$3:$F$3,0))</f>
        <v>15000</v>
      </c>
      <c r="Z939" s="16">
        <f ca="1">Table1[[#This Row],[Order Total]]+Table1[[#This Row],[Shipping Cost]]</f>
        <v>13314825</v>
      </c>
    </row>
    <row r="940" spans="1:26" ht="15.75" customHeight="1" x14ac:dyDescent="0.3">
      <c r="A940" s="9" t="s">
        <v>1840</v>
      </c>
      <c r="B940" s="18">
        <v>43856</v>
      </c>
      <c r="C940" s="10">
        <f>YEAR(Table1[[#This Row],[Order Date]])</f>
        <v>2020</v>
      </c>
      <c r="D940" s="10" t="s">
        <v>1483</v>
      </c>
      <c r="E940" s="10" t="s">
        <v>358</v>
      </c>
      <c r="F940" s="10" t="s">
        <v>71</v>
      </c>
      <c r="G940" s="10" t="s">
        <v>72</v>
      </c>
      <c r="H940" s="10" t="s">
        <v>73</v>
      </c>
      <c r="I940" s="10" t="str">
        <f>VLOOKUP(Table1[[#This Row],[Account Manager ID]],Table2[[Employee ID]:[Full Name]],4,FALSE)</f>
        <v>Cinthia Gunawan</v>
      </c>
      <c r="J940" s="10" t="str">
        <f>INDEX(Employee!$D$4:$D$47,MATCH($H$4:$H$1003,Employee!$A$4:$A$47,0))</f>
        <v>Cinthia Gunawan</v>
      </c>
      <c r="K940" s="10" t="s">
        <v>92</v>
      </c>
      <c r="L940" s="10" t="s">
        <v>371</v>
      </c>
      <c r="M940" s="10" t="s">
        <v>59</v>
      </c>
      <c r="N940" s="10" t="s">
        <v>60</v>
      </c>
      <c r="O940" s="10" t="s">
        <v>61</v>
      </c>
      <c r="P940" s="10">
        <v>43861</v>
      </c>
      <c r="Q940" s="15">
        <v>252750.00000000003</v>
      </c>
      <c r="R940" s="15">
        <v>407700</v>
      </c>
      <c r="S940" s="15">
        <f>Table1[[#This Row],[Retail Price]]-Table1[[#This Row],[Cost Price]]</f>
        <v>154949.99999999997</v>
      </c>
      <c r="T940" s="10">
        <v>38</v>
      </c>
      <c r="U940" s="15">
        <f>Table1[[#This Row],[Profit Margin]]*Table1[[#This Row],[Order Quantity]]</f>
        <v>5888099.9999999991</v>
      </c>
      <c r="V940" s="11">
        <v>0.01</v>
      </c>
      <c r="W940" s="15">
        <f t="shared" si="14"/>
        <v>58880.999999999993</v>
      </c>
      <c r="X940" s="15">
        <f>Table1[[#This Row],[Sub Total]]-Table1[[#This Row],[Discount Rp]]</f>
        <v>5829218.9999999991</v>
      </c>
      <c r="Y940" s="15">
        <f ca="1">OFFSET(Helper!$C$3,MATCH(Data!$N$4:$N$1003,Helper!$C$4:$C$9,0),MATCH(Data!$O$4:$O$1003,Helper!$D$3:$F$3,0))</f>
        <v>15000</v>
      </c>
      <c r="Z940" s="16">
        <f ca="1">Table1[[#This Row],[Order Total]]+Table1[[#This Row],[Shipping Cost]]</f>
        <v>5844218.9999999991</v>
      </c>
    </row>
    <row r="941" spans="1:26" ht="15.75" customHeight="1" x14ac:dyDescent="0.3">
      <c r="A941" s="9" t="s">
        <v>1841</v>
      </c>
      <c r="B941" s="18">
        <v>43857</v>
      </c>
      <c r="C941" s="10">
        <f>YEAR(Table1[[#This Row],[Order Date]])</f>
        <v>2020</v>
      </c>
      <c r="D941" s="10" t="s">
        <v>482</v>
      </c>
      <c r="E941" s="10" t="s">
        <v>370</v>
      </c>
      <c r="F941" s="10" t="s">
        <v>71</v>
      </c>
      <c r="G941" s="10" t="s">
        <v>106</v>
      </c>
      <c r="H941" s="10" t="s">
        <v>146</v>
      </c>
      <c r="I941" s="10" t="str">
        <f>VLOOKUP(Table1[[#This Row],[Account Manager ID]],Table2[[Employee ID]:[Full Name]],4,FALSE)</f>
        <v>Kenari Rajasa</v>
      </c>
      <c r="J941" s="10" t="str">
        <f>INDEX(Employee!$D$4:$D$47,MATCH($H$4:$H$1003,Employee!$A$4:$A$47,0))</f>
        <v>Kenari Rajasa</v>
      </c>
      <c r="K941" s="10" t="s">
        <v>117</v>
      </c>
      <c r="L941" s="10" t="s">
        <v>186</v>
      </c>
      <c r="M941" s="10" t="s">
        <v>81</v>
      </c>
      <c r="N941" s="10" t="s">
        <v>60</v>
      </c>
      <c r="O941" s="10" t="s">
        <v>61</v>
      </c>
      <c r="P941" s="10">
        <v>43860</v>
      </c>
      <c r="Q941" s="15">
        <v>95850</v>
      </c>
      <c r="R941" s="15">
        <v>299700</v>
      </c>
      <c r="S941" s="15">
        <f>Table1[[#This Row],[Retail Price]]-Table1[[#This Row],[Cost Price]]</f>
        <v>203850</v>
      </c>
      <c r="T941" s="10">
        <v>9</v>
      </c>
      <c r="U941" s="15">
        <f>Table1[[#This Row],[Profit Margin]]*Table1[[#This Row],[Order Quantity]]</f>
        <v>1834650</v>
      </c>
      <c r="V941" s="11">
        <v>0.06</v>
      </c>
      <c r="W941" s="15">
        <f t="shared" si="14"/>
        <v>110079</v>
      </c>
      <c r="X941" s="15">
        <f>Table1[[#This Row],[Sub Total]]-Table1[[#This Row],[Discount Rp]]</f>
        <v>1724571</v>
      </c>
      <c r="Y941" s="15">
        <f ca="1">OFFSET(Helper!$C$3,MATCH(Data!$N$4:$N$1003,Helper!$C$4:$C$9,0),MATCH(Data!$O$4:$O$1003,Helper!$D$3:$F$3,0))</f>
        <v>15000</v>
      </c>
      <c r="Z941" s="16">
        <f ca="1">Table1[[#This Row],[Order Total]]+Table1[[#This Row],[Shipping Cost]]</f>
        <v>1739571</v>
      </c>
    </row>
    <row r="942" spans="1:26" ht="15.75" customHeight="1" x14ac:dyDescent="0.3">
      <c r="A942" s="9" t="s">
        <v>1842</v>
      </c>
      <c r="B942" s="18">
        <v>43858</v>
      </c>
      <c r="C942" s="10">
        <f>YEAR(Table1[[#This Row],[Order Date]])</f>
        <v>2020</v>
      </c>
      <c r="D942" s="10" t="s">
        <v>1072</v>
      </c>
      <c r="E942" s="10" t="s">
        <v>1073</v>
      </c>
      <c r="F942" s="10" t="s">
        <v>54</v>
      </c>
      <c r="G942" s="10" t="s">
        <v>72</v>
      </c>
      <c r="H942" s="10" t="s">
        <v>56</v>
      </c>
      <c r="I942" s="10" t="str">
        <f>VLOOKUP(Table1[[#This Row],[Account Manager ID]],Table2[[Employee ID]:[Full Name]],4,FALSE)</f>
        <v>Gaduh Pratama</v>
      </c>
      <c r="J942" s="10" t="str">
        <f>INDEX(Employee!$D$4:$D$47,MATCH($H$4:$H$1003,Employee!$A$4:$A$47,0))</f>
        <v>Gaduh Pratama</v>
      </c>
      <c r="K942" s="10" t="s">
        <v>107</v>
      </c>
      <c r="L942" s="10" t="s">
        <v>480</v>
      </c>
      <c r="M942" s="10" t="s">
        <v>253</v>
      </c>
      <c r="N942" s="10" t="s">
        <v>459</v>
      </c>
      <c r="O942" s="10" t="s">
        <v>61</v>
      </c>
      <c r="P942" s="10">
        <v>43858</v>
      </c>
      <c r="Q942" s="15">
        <v>842400</v>
      </c>
      <c r="R942" s="15">
        <v>2054699.9999999998</v>
      </c>
      <c r="S942" s="15">
        <f>Table1[[#This Row],[Retail Price]]-Table1[[#This Row],[Cost Price]]</f>
        <v>1212299.9999999998</v>
      </c>
      <c r="T942" s="10">
        <v>27</v>
      </c>
      <c r="U942" s="15">
        <f>Table1[[#This Row],[Profit Margin]]*Table1[[#This Row],[Order Quantity]]</f>
        <v>32732099.999999993</v>
      </c>
      <c r="V942" s="11">
        <v>0.09</v>
      </c>
      <c r="W942" s="15">
        <f t="shared" si="14"/>
        <v>2945888.9999999991</v>
      </c>
      <c r="X942" s="15">
        <f>Table1[[#This Row],[Sub Total]]-Table1[[#This Row],[Discount Rp]]</f>
        <v>29786210.999999993</v>
      </c>
      <c r="Y942" s="15">
        <f ca="1">OFFSET(Helper!$C$3,MATCH(Data!$N$4:$N$1003,Helper!$C$4:$C$9,0),MATCH(Data!$O$4:$O$1003,Helper!$D$3:$F$3,0))</f>
        <v>50000</v>
      </c>
      <c r="Z942" s="16">
        <f ca="1">Table1[[#This Row],[Order Total]]+Table1[[#This Row],[Shipping Cost]]</f>
        <v>29836210.999999993</v>
      </c>
    </row>
    <row r="943" spans="1:26" ht="15.75" customHeight="1" x14ac:dyDescent="0.3">
      <c r="A943" s="12" t="s">
        <v>1843</v>
      </c>
      <c r="B943" s="18">
        <v>43858</v>
      </c>
      <c r="C943" s="10">
        <f>YEAR(Table1[[#This Row],[Order Date]])</f>
        <v>2020</v>
      </c>
      <c r="D943" s="10" t="s">
        <v>1844</v>
      </c>
      <c r="E943" s="10" t="s">
        <v>1433</v>
      </c>
      <c r="F943" s="10" t="s">
        <v>71</v>
      </c>
      <c r="G943" s="10" t="s">
        <v>87</v>
      </c>
      <c r="H943" s="10" t="s">
        <v>194</v>
      </c>
      <c r="I943" s="10" t="str">
        <f>VLOOKUP(Table1[[#This Row],[Account Manager ID]],Table2[[Employee ID]:[Full Name]],4,FALSE)</f>
        <v>Nabila Prakasa</v>
      </c>
      <c r="J943" s="10" t="str">
        <f>INDEX(Employee!$D$4:$D$47,MATCH($H$4:$H$1003,Employee!$A$4:$A$47,0))</f>
        <v>Nabila Prakasa</v>
      </c>
      <c r="K943" s="10" t="s">
        <v>92</v>
      </c>
      <c r="L943" s="10" t="s">
        <v>938</v>
      </c>
      <c r="M943" s="10" t="s">
        <v>59</v>
      </c>
      <c r="N943" s="10" t="s">
        <v>67</v>
      </c>
      <c r="O943" s="10" t="s">
        <v>76</v>
      </c>
      <c r="P943" s="10">
        <v>43858</v>
      </c>
      <c r="Q943" s="15">
        <v>22950</v>
      </c>
      <c r="R943" s="15">
        <v>37050</v>
      </c>
      <c r="S943" s="15">
        <f>Table1[[#This Row],[Retail Price]]-Table1[[#This Row],[Cost Price]]</f>
        <v>14100</v>
      </c>
      <c r="T943" s="10">
        <v>45</v>
      </c>
      <c r="U943" s="15">
        <f>Table1[[#This Row],[Profit Margin]]*Table1[[#This Row],[Order Quantity]]</f>
        <v>634500</v>
      </c>
      <c r="V943" s="11">
        <v>7.0000000000000007E-2</v>
      </c>
      <c r="W943" s="15">
        <f t="shared" si="14"/>
        <v>44415.000000000007</v>
      </c>
      <c r="X943" s="15">
        <f>Table1[[#This Row],[Sub Total]]-Table1[[#This Row],[Discount Rp]]</f>
        <v>590085</v>
      </c>
      <c r="Y943" s="15">
        <f ca="1">OFFSET(Helper!$C$3,MATCH(Data!$N$4:$N$1003,Helper!$C$4:$C$9,0),MATCH(Data!$O$4:$O$1003,Helper!$D$3:$F$3,0))</f>
        <v>10000</v>
      </c>
      <c r="Z943" s="16">
        <f ca="1">Table1[[#This Row],[Order Total]]+Table1[[#This Row],[Shipping Cost]]</f>
        <v>600085</v>
      </c>
    </row>
    <row r="944" spans="1:26" ht="15.75" customHeight="1" x14ac:dyDescent="0.3">
      <c r="A944" s="12" t="s">
        <v>1845</v>
      </c>
      <c r="B944" s="18">
        <v>43858</v>
      </c>
      <c r="C944" s="10">
        <f>YEAR(Table1[[#This Row],[Order Date]])</f>
        <v>2020</v>
      </c>
      <c r="D944" s="10" t="s">
        <v>1844</v>
      </c>
      <c r="E944" s="10" t="s">
        <v>1433</v>
      </c>
      <c r="F944" s="10" t="s">
        <v>71</v>
      </c>
      <c r="G944" s="10" t="s">
        <v>87</v>
      </c>
      <c r="H944" s="10" t="s">
        <v>194</v>
      </c>
      <c r="I944" s="10" t="str">
        <f>VLOOKUP(Table1[[#This Row],[Account Manager ID]],Table2[[Employee ID]:[Full Name]],4,FALSE)</f>
        <v>Nabila Prakasa</v>
      </c>
      <c r="J944" s="10" t="str">
        <f>INDEX(Employee!$D$4:$D$47,MATCH($H$4:$H$1003,Employee!$A$4:$A$47,0))</f>
        <v>Nabila Prakasa</v>
      </c>
      <c r="K944" s="10" t="s">
        <v>92</v>
      </c>
      <c r="L944" s="10" t="s">
        <v>297</v>
      </c>
      <c r="M944" s="10" t="s">
        <v>59</v>
      </c>
      <c r="N944" s="10" t="s">
        <v>67</v>
      </c>
      <c r="O944" s="10" t="s">
        <v>61</v>
      </c>
      <c r="P944" s="10">
        <v>43862</v>
      </c>
      <c r="Q944" s="15">
        <v>52200</v>
      </c>
      <c r="R944" s="15">
        <v>81450</v>
      </c>
      <c r="S944" s="15">
        <f>Table1[[#This Row],[Retail Price]]-Table1[[#This Row],[Cost Price]]</f>
        <v>29250</v>
      </c>
      <c r="T944" s="10">
        <v>11</v>
      </c>
      <c r="U944" s="15">
        <f>Table1[[#This Row],[Profit Margin]]*Table1[[#This Row],[Order Quantity]]</f>
        <v>321750</v>
      </c>
      <c r="V944" s="11">
        <v>0</v>
      </c>
      <c r="W944" s="15">
        <f t="shared" si="14"/>
        <v>0</v>
      </c>
      <c r="X944" s="15">
        <f>Table1[[#This Row],[Sub Total]]-Table1[[#This Row],[Discount Rp]]</f>
        <v>321750</v>
      </c>
      <c r="Y944" s="15">
        <f ca="1">OFFSET(Helper!$C$3,MATCH(Data!$N$4:$N$1003,Helper!$C$4:$C$9,0),MATCH(Data!$O$4:$O$1003,Helper!$D$3:$F$3,0))</f>
        <v>5000</v>
      </c>
      <c r="Z944" s="16">
        <f ca="1">Table1[[#This Row],[Order Total]]+Table1[[#This Row],[Shipping Cost]]</f>
        <v>326750</v>
      </c>
    </row>
    <row r="945" spans="1:26" ht="15.75" customHeight="1" x14ac:dyDescent="0.3">
      <c r="A945" s="9" t="s">
        <v>1846</v>
      </c>
      <c r="B945" s="18">
        <v>43859</v>
      </c>
      <c r="C945" s="10">
        <f>YEAR(Table1[[#This Row],[Order Date]])</f>
        <v>2020</v>
      </c>
      <c r="D945" s="10" t="s">
        <v>1016</v>
      </c>
      <c r="E945" s="10" t="s">
        <v>154</v>
      </c>
      <c r="F945" s="10" t="s">
        <v>71</v>
      </c>
      <c r="G945" s="10" t="s">
        <v>106</v>
      </c>
      <c r="H945" s="10" t="s">
        <v>155</v>
      </c>
      <c r="I945" s="10" t="str">
        <f>VLOOKUP(Table1[[#This Row],[Account Manager ID]],Table2[[Employee ID]:[Full Name]],4,FALSE)</f>
        <v>Puti Nadine Prakasa</v>
      </c>
      <c r="J945" s="10" t="str">
        <f>INDEX(Employee!$D$4:$D$47,MATCH($H$4:$H$1003,Employee!$A$4:$A$47,0))</f>
        <v>Puti Nadine Prakasa</v>
      </c>
      <c r="K945" s="10" t="s">
        <v>117</v>
      </c>
      <c r="L945" s="10" t="s">
        <v>93</v>
      </c>
      <c r="M945" s="10" t="s">
        <v>59</v>
      </c>
      <c r="N945" s="10" t="s">
        <v>67</v>
      </c>
      <c r="O945" s="10" t="s">
        <v>61</v>
      </c>
      <c r="P945" s="10">
        <v>43861</v>
      </c>
      <c r="Q945" s="15">
        <v>16350.000000000002</v>
      </c>
      <c r="R945" s="15">
        <v>39000</v>
      </c>
      <c r="S945" s="15">
        <f>Table1[[#This Row],[Retail Price]]-Table1[[#This Row],[Cost Price]]</f>
        <v>22650</v>
      </c>
      <c r="T945" s="10">
        <v>12</v>
      </c>
      <c r="U945" s="15">
        <f>Table1[[#This Row],[Profit Margin]]*Table1[[#This Row],[Order Quantity]]</f>
        <v>271800</v>
      </c>
      <c r="V945" s="11">
        <v>0.05</v>
      </c>
      <c r="W945" s="15">
        <f t="shared" si="14"/>
        <v>13590</v>
      </c>
      <c r="X945" s="15">
        <f>Table1[[#This Row],[Sub Total]]-Table1[[#This Row],[Discount Rp]]</f>
        <v>258210</v>
      </c>
      <c r="Y945" s="15">
        <f ca="1">OFFSET(Helper!$C$3,MATCH(Data!$N$4:$N$1003,Helper!$C$4:$C$9,0),MATCH(Data!$O$4:$O$1003,Helper!$D$3:$F$3,0))</f>
        <v>5000</v>
      </c>
      <c r="Z945" s="16">
        <f ca="1">Table1[[#This Row],[Order Total]]+Table1[[#This Row],[Shipping Cost]]</f>
        <v>263210</v>
      </c>
    </row>
    <row r="946" spans="1:26" ht="15.75" customHeight="1" x14ac:dyDescent="0.3">
      <c r="A946" s="9" t="s">
        <v>1847</v>
      </c>
      <c r="B946" s="18">
        <v>43861</v>
      </c>
      <c r="C946" s="10">
        <f>YEAR(Table1[[#This Row],[Order Date]])</f>
        <v>2020</v>
      </c>
      <c r="D946" s="10" t="s">
        <v>1189</v>
      </c>
      <c r="E946" s="10" t="s">
        <v>551</v>
      </c>
      <c r="F946" s="10" t="s">
        <v>71</v>
      </c>
      <c r="G946" s="10" t="s">
        <v>55</v>
      </c>
      <c r="H946" s="10" t="s">
        <v>112</v>
      </c>
      <c r="I946" s="10" t="str">
        <f>VLOOKUP(Table1[[#This Row],[Account Manager ID]],Table2[[Employee ID]:[Full Name]],4,FALSE)</f>
        <v>Paiman Firgantoro</v>
      </c>
      <c r="J946" s="10" t="str">
        <f>INDEX(Employee!$D$4:$D$47,MATCH($H$4:$H$1003,Employee!$A$4:$A$47,0))</f>
        <v>Paiman Firgantoro</v>
      </c>
      <c r="K946" s="10" t="s">
        <v>117</v>
      </c>
      <c r="L946" s="10" t="s">
        <v>480</v>
      </c>
      <c r="M946" s="10" t="s">
        <v>253</v>
      </c>
      <c r="N946" s="10" t="s">
        <v>459</v>
      </c>
      <c r="O946" s="10" t="s">
        <v>61</v>
      </c>
      <c r="P946" s="10">
        <v>43864</v>
      </c>
      <c r="Q946" s="15">
        <v>842400</v>
      </c>
      <c r="R946" s="15">
        <v>2054699.9999999998</v>
      </c>
      <c r="S946" s="15">
        <f>Table1[[#This Row],[Retail Price]]-Table1[[#This Row],[Cost Price]]</f>
        <v>1212299.9999999998</v>
      </c>
      <c r="T946" s="10">
        <v>21</v>
      </c>
      <c r="U946" s="15">
        <f>Table1[[#This Row],[Profit Margin]]*Table1[[#This Row],[Order Quantity]]</f>
        <v>25458299.999999996</v>
      </c>
      <c r="V946" s="11">
        <v>0.05</v>
      </c>
      <c r="W946" s="15">
        <f t="shared" si="14"/>
        <v>1272915</v>
      </c>
      <c r="X946" s="15">
        <f>Table1[[#This Row],[Sub Total]]-Table1[[#This Row],[Discount Rp]]</f>
        <v>24185384.999999996</v>
      </c>
      <c r="Y946" s="15">
        <f ca="1">OFFSET(Helper!$C$3,MATCH(Data!$N$4:$N$1003,Helper!$C$4:$C$9,0),MATCH(Data!$O$4:$O$1003,Helper!$D$3:$F$3,0))</f>
        <v>50000</v>
      </c>
      <c r="Z946" s="16">
        <f ca="1">Table1[[#This Row],[Order Total]]+Table1[[#This Row],[Shipping Cost]]</f>
        <v>24235384.999999996</v>
      </c>
    </row>
    <row r="947" spans="1:26" ht="15.75" customHeight="1" x14ac:dyDescent="0.3">
      <c r="A947" s="9" t="s">
        <v>1848</v>
      </c>
      <c r="B947" s="18">
        <v>43862</v>
      </c>
      <c r="C947" s="10">
        <f>YEAR(Table1[[#This Row],[Order Date]])</f>
        <v>2020</v>
      </c>
      <c r="D947" s="10" t="s">
        <v>1315</v>
      </c>
      <c r="E947" s="10" t="s">
        <v>572</v>
      </c>
      <c r="F947" s="10" t="s">
        <v>261</v>
      </c>
      <c r="G947" s="10" t="s">
        <v>72</v>
      </c>
      <c r="H947" s="10" t="s">
        <v>146</v>
      </c>
      <c r="I947" s="10" t="str">
        <f>VLOOKUP(Table1[[#This Row],[Account Manager ID]],Table2[[Employee ID]:[Full Name]],4,FALSE)</f>
        <v>Kenari Rajasa</v>
      </c>
      <c r="J947" s="10" t="str">
        <f>INDEX(Employee!$D$4:$D$47,MATCH($H$4:$H$1003,Employee!$A$4:$A$47,0))</f>
        <v>Kenari Rajasa</v>
      </c>
      <c r="K947" s="10" t="s">
        <v>74</v>
      </c>
      <c r="L947" s="10" t="s">
        <v>488</v>
      </c>
      <c r="M947" s="10" t="s">
        <v>59</v>
      </c>
      <c r="N947" s="10" t="s">
        <v>136</v>
      </c>
      <c r="O947" s="10" t="s">
        <v>61</v>
      </c>
      <c r="P947" s="10">
        <v>43864</v>
      </c>
      <c r="Q947" s="15">
        <v>77850</v>
      </c>
      <c r="R947" s="15">
        <v>194700</v>
      </c>
      <c r="S947" s="15">
        <f>Table1[[#This Row],[Retail Price]]-Table1[[#This Row],[Cost Price]]</f>
        <v>116850</v>
      </c>
      <c r="T947" s="10">
        <v>49</v>
      </c>
      <c r="U947" s="15">
        <f>Table1[[#This Row],[Profit Margin]]*Table1[[#This Row],[Order Quantity]]</f>
        <v>5725650</v>
      </c>
      <c r="V947" s="11">
        <v>0.09</v>
      </c>
      <c r="W947" s="15">
        <f t="shared" si="14"/>
        <v>515308.5</v>
      </c>
      <c r="X947" s="15">
        <f>Table1[[#This Row],[Sub Total]]-Table1[[#This Row],[Discount Rp]]</f>
        <v>5210341.5</v>
      </c>
      <c r="Y947" s="15">
        <f ca="1">OFFSET(Helper!$C$3,MATCH(Data!$N$4:$N$1003,Helper!$C$4:$C$9,0),MATCH(Data!$O$4:$O$1003,Helper!$D$3:$F$3,0))</f>
        <v>10000</v>
      </c>
      <c r="Z947" s="16">
        <f ca="1">Table1[[#This Row],[Order Total]]+Table1[[#This Row],[Shipping Cost]]</f>
        <v>5220341.5</v>
      </c>
    </row>
    <row r="948" spans="1:26" ht="15.75" customHeight="1" x14ac:dyDescent="0.3">
      <c r="A948" s="9" t="s">
        <v>1849</v>
      </c>
      <c r="B948" s="18">
        <v>43863</v>
      </c>
      <c r="C948" s="10">
        <f>YEAR(Table1[[#This Row],[Order Date]])</f>
        <v>2020</v>
      </c>
      <c r="D948" s="10" t="s">
        <v>792</v>
      </c>
      <c r="E948" s="10" t="s">
        <v>740</v>
      </c>
      <c r="F948" s="10" t="s">
        <v>71</v>
      </c>
      <c r="G948" s="10" t="s">
        <v>55</v>
      </c>
      <c r="H948" s="10" t="s">
        <v>97</v>
      </c>
      <c r="I948" s="10" t="str">
        <f>VLOOKUP(Table1[[#This Row],[Account Manager ID]],Table2[[Employee ID]:[Full Name]],4,FALSE)</f>
        <v>Violet Mentari</v>
      </c>
      <c r="J948" s="10" t="str">
        <f>INDEX(Employee!$D$4:$D$47,MATCH($H$4:$H$1003,Employee!$A$4:$A$47,0))</f>
        <v>Violet Mentari</v>
      </c>
      <c r="K948" s="10" t="s">
        <v>107</v>
      </c>
      <c r="L948" s="10" t="s">
        <v>446</v>
      </c>
      <c r="M948" s="10" t="s">
        <v>59</v>
      </c>
      <c r="N948" s="10" t="s">
        <v>60</v>
      </c>
      <c r="O948" s="10" t="s">
        <v>61</v>
      </c>
      <c r="P948" s="10">
        <v>43863</v>
      </c>
      <c r="Q948" s="15">
        <v>33900</v>
      </c>
      <c r="R948" s="15">
        <v>53700</v>
      </c>
      <c r="S948" s="15">
        <f>Table1[[#This Row],[Retail Price]]-Table1[[#This Row],[Cost Price]]</f>
        <v>19800</v>
      </c>
      <c r="T948" s="10">
        <v>34</v>
      </c>
      <c r="U948" s="15">
        <f>Table1[[#This Row],[Profit Margin]]*Table1[[#This Row],[Order Quantity]]</f>
        <v>673200</v>
      </c>
      <c r="V948" s="11">
        <v>7.0000000000000007E-2</v>
      </c>
      <c r="W948" s="15">
        <f t="shared" si="14"/>
        <v>47124.000000000007</v>
      </c>
      <c r="X948" s="15">
        <f>Table1[[#This Row],[Sub Total]]-Table1[[#This Row],[Discount Rp]]</f>
        <v>626076</v>
      </c>
      <c r="Y948" s="15">
        <f ca="1">OFFSET(Helper!$C$3,MATCH(Data!$N$4:$N$1003,Helper!$C$4:$C$9,0),MATCH(Data!$O$4:$O$1003,Helper!$D$3:$F$3,0))</f>
        <v>15000</v>
      </c>
      <c r="Z948" s="16">
        <f ca="1">Table1[[#This Row],[Order Total]]+Table1[[#This Row],[Shipping Cost]]</f>
        <v>641076</v>
      </c>
    </row>
    <row r="949" spans="1:26" ht="15.75" customHeight="1" x14ac:dyDescent="0.3">
      <c r="A949" s="9" t="s">
        <v>1850</v>
      </c>
      <c r="B949" s="18">
        <v>43865</v>
      </c>
      <c r="C949" s="10">
        <f>YEAR(Table1[[#This Row],[Order Date]])</f>
        <v>2020</v>
      </c>
      <c r="D949" s="10" t="s">
        <v>1152</v>
      </c>
      <c r="E949" s="10" t="s">
        <v>628</v>
      </c>
      <c r="F949" s="10" t="s">
        <v>71</v>
      </c>
      <c r="G949" s="10" t="s">
        <v>106</v>
      </c>
      <c r="H949" s="10" t="s">
        <v>304</v>
      </c>
      <c r="I949" s="10" t="str">
        <f>VLOOKUP(Table1[[#This Row],[Account Manager ID]],Table2[[Employee ID]:[Full Name]],4,FALSE)</f>
        <v>Sutan Tirtayasa Wasita</v>
      </c>
      <c r="J949" s="10" t="str">
        <f>INDEX(Employee!$D$4:$D$47,MATCH($H$4:$H$1003,Employee!$A$4:$A$47,0))</f>
        <v>Sutan Tirtayasa Wasita</v>
      </c>
      <c r="K949" s="10" t="s">
        <v>107</v>
      </c>
      <c r="L949" s="10" t="s">
        <v>181</v>
      </c>
      <c r="M949" s="10" t="s">
        <v>59</v>
      </c>
      <c r="N949" s="10" t="s">
        <v>60</v>
      </c>
      <c r="O949" s="10" t="s">
        <v>61</v>
      </c>
      <c r="P949" s="10">
        <v>43867</v>
      </c>
      <c r="Q949" s="15">
        <v>23850</v>
      </c>
      <c r="R949" s="15">
        <v>39150</v>
      </c>
      <c r="S949" s="15">
        <f>Table1[[#This Row],[Retail Price]]-Table1[[#This Row],[Cost Price]]</f>
        <v>15300</v>
      </c>
      <c r="T949" s="10">
        <v>44</v>
      </c>
      <c r="U949" s="15">
        <f>Table1[[#This Row],[Profit Margin]]*Table1[[#This Row],[Order Quantity]]</f>
        <v>673200</v>
      </c>
      <c r="V949" s="11">
        <v>7.0000000000000007E-2</v>
      </c>
      <c r="W949" s="15">
        <f t="shared" si="14"/>
        <v>47124.000000000007</v>
      </c>
      <c r="X949" s="15">
        <f>Table1[[#This Row],[Sub Total]]-Table1[[#This Row],[Discount Rp]]</f>
        <v>626076</v>
      </c>
      <c r="Y949" s="15">
        <f ca="1">OFFSET(Helper!$C$3,MATCH(Data!$N$4:$N$1003,Helper!$C$4:$C$9,0),MATCH(Data!$O$4:$O$1003,Helper!$D$3:$F$3,0))</f>
        <v>15000</v>
      </c>
      <c r="Z949" s="16">
        <f ca="1">Table1[[#This Row],[Order Total]]+Table1[[#This Row],[Shipping Cost]]</f>
        <v>641076</v>
      </c>
    </row>
    <row r="950" spans="1:26" ht="15.75" customHeight="1" x14ac:dyDescent="0.3">
      <c r="A950" s="9" t="s">
        <v>1851</v>
      </c>
      <c r="B950" s="18">
        <v>43866</v>
      </c>
      <c r="C950" s="10">
        <f>YEAR(Table1[[#This Row],[Order Date]])</f>
        <v>2020</v>
      </c>
      <c r="D950" s="10" t="s">
        <v>1245</v>
      </c>
      <c r="E950" s="10" t="s">
        <v>279</v>
      </c>
      <c r="F950" s="10" t="s">
        <v>71</v>
      </c>
      <c r="G950" s="10" t="s">
        <v>87</v>
      </c>
      <c r="H950" s="10" t="s">
        <v>155</v>
      </c>
      <c r="I950" s="10" t="str">
        <f>VLOOKUP(Table1[[#This Row],[Account Manager ID]],Table2[[Employee ID]:[Full Name]],4,FALSE)</f>
        <v>Puti Nadine Prakasa</v>
      </c>
      <c r="J950" s="10" t="str">
        <f>INDEX(Employee!$D$4:$D$47,MATCH($H$4:$H$1003,Employee!$A$4:$A$47,0))</f>
        <v>Puti Nadine Prakasa</v>
      </c>
      <c r="K950" s="10" t="s">
        <v>74</v>
      </c>
      <c r="L950" s="10" t="s">
        <v>226</v>
      </c>
      <c r="M950" s="10" t="s">
        <v>81</v>
      </c>
      <c r="N950" s="10" t="s">
        <v>227</v>
      </c>
      <c r="O950" s="10" t="s">
        <v>61</v>
      </c>
      <c r="P950" s="10">
        <v>43868</v>
      </c>
      <c r="Q950" s="15">
        <v>132300</v>
      </c>
      <c r="R950" s="15">
        <v>314850</v>
      </c>
      <c r="S950" s="15">
        <f>Table1[[#This Row],[Retail Price]]-Table1[[#This Row],[Cost Price]]</f>
        <v>182550</v>
      </c>
      <c r="T950" s="10">
        <v>17</v>
      </c>
      <c r="U950" s="15">
        <f>Table1[[#This Row],[Profit Margin]]*Table1[[#This Row],[Order Quantity]]</f>
        <v>3103350</v>
      </c>
      <c r="V950" s="11">
        <v>0</v>
      </c>
      <c r="W950" s="15">
        <f t="shared" si="14"/>
        <v>0</v>
      </c>
      <c r="X950" s="15">
        <f>Table1[[#This Row],[Sub Total]]-Table1[[#This Row],[Discount Rp]]</f>
        <v>3103350</v>
      </c>
      <c r="Y950" s="15">
        <f ca="1">OFFSET(Helper!$C$3,MATCH(Data!$N$4:$N$1003,Helper!$C$4:$C$9,0),MATCH(Data!$O$4:$O$1003,Helper!$D$3:$F$3,0))</f>
        <v>20000</v>
      </c>
      <c r="Z950" s="16">
        <f ca="1">Table1[[#This Row],[Order Total]]+Table1[[#This Row],[Shipping Cost]]</f>
        <v>3123350</v>
      </c>
    </row>
    <row r="951" spans="1:26" ht="15.75" customHeight="1" x14ac:dyDescent="0.3">
      <c r="A951" s="9" t="s">
        <v>1852</v>
      </c>
      <c r="B951" s="18">
        <v>43866</v>
      </c>
      <c r="C951" s="10">
        <f>YEAR(Table1[[#This Row],[Order Date]])</f>
        <v>2020</v>
      </c>
      <c r="D951" s="10" t="s">
        <v>128</v>
      </c>
      <c r="E951" s="10" t="s">
        <v>129</v>
      </c>
      <c r="F951" s="10" t="s">
        <v>54</v>
      </c>
      <c r="G951" s="10" t="s">
        <v>72</v>
      </c>
      <c r="H951" s="10" t="s">
        <v>56</v>
      </c>
      <c r="I951" s="10" t="str">
        <f>VLOOKUP(Table1[[#This Row],[Account Manager ID]],Table2[[Employee ID]:[Full Name]],4,FALSE)</f>
        <v>Gaduh Pratama</v>
      </c>
      <c r="J951" s="10" t="str">
        <f>INDEX(Employee!$D$4:$D$47,MATCH($H$4:$H$1003,Employee!$A$4:$A$47,0))</f>
        <v>Gaduh Pratama</v>
      </c>
      <c r="K951" s="10" t="s">
        <v>92</v>
      </c>
      <c r="L951" s="10" t="s">
        <v>480</v>
      </c>
      <c r="M951" s="10" t="s">
        <v>253</v>
      </c>
      <c r="N951" s="10" t="s">
        <v>459</v>
      </c>
      <c r="O951" s="10" t="s">
        <v>61</v>
      </c>
      <c r="P951" s="10">
        <v>43873</v>
      </c>
      <c r="Q951" s="15">
        <v>842400</v>
      </c>
      <c r="R951" s="15">
        <v>2054699.9999999998</v>
      </c>
      <c r="S951" s="15">
        <f>Table1[[#This Row],[Retail Price]]-Table1[[#This Row],[Cost Price]]</f>
        <v>1212299.9999999998</v>
      </c>
      <c r="T951" s="10">
        <v>3</v>
      </c>
      <c r="U951" s="15">
        <f>Table1[[#This Row],[Profit Margin]]*Table1[[#This Row],[Order Quantity]]</f>
        <v>3636899.9999999991</v>
      </c>
      <c r="V951" s="11">
        <v>0.1</v>
      </c>
      <c r="W951" s="15">
        <f t="shared" si="14"/>
        <v>363689.99999999994</v>
      </c>
      <c r="X951" s="15">
        <f>Table1[[#This Row],[Sub Total]]-Table1[[#This Row],[Discount Rp]]</f>
        <v>3273209.9999999991</v>
      </c>
      <c r="Y951" s="15">
        <f ca="1">OFFSET(Helper!$C$3,MATCH(Data!$N$4:$N$1003,Helper!$C$4:$C$9,0),MATCH(Data!$O$4:$O$1003,Helper!$D$3:$F$3,0))</f>
        <v>50000</v>
      </c>
      <c r="Z951" s="16">
        <f ca="1">Table1[[#This Row],[Order Total]]+Table1[[#This Row],[Shipping Cost]]</f>
        <v>3323209.9999999991</v>
      </c>
    </row>
    <row r="952" spans="1:26" ht="15.75" customHeight="1" x14ac:dyDescent="0.3">
      <c r="A952" s="9" t="s">
        <v>1853</v>
      </c>
      <c r="B952" s="18">
        <v>43866</v>
      </c>
      <c r="C952" s="10">
        <f>YEAR(Table1[[#This Row],[Order Date]])</f>
        <v>2020</v>
      </c>
      <c r="D952" s="10" t="s">
        <v>825</v>
      </c>
      <c r="E952" s="10" t="s">
        <v>826</v>
      </c>
      <c r="F952" s="10" t="s">
        <v>71</v>
      </c>
      <c r="G952" s="10" t="s">
        <v>87</v>
      </c>
      <c r="H952" s="10" t="s">
        <v>304</v>
      </c>
      <c r="I952" s="10" t="str">
        <f>VLOOKUP(Table1[[#This Row],[Account Manager ID]],Table2[[Employee ID]:[Full Name]],4,FALSE)</f>
        <v>Sutan Tirtayasa Wasita</v>
      </c>
      <c r="J952" s="10" t="str">
        <f>INDEX(Employee!$D$4:$D$47,MATCH($H$4:$H$1003,Employee!$A$4:$A$47,0))</f>
        <v>Sutan Tirtayasa Wasita</v>
      </c>
      <c r="K952" s="10" t="s">
        <v>117</v>
      </c>
      <c r="L952" s="10" t="s">
        <v>437</v>
      </c>
      <c r="M952" s="10" t="s">
        <v>59</v>
      </c>
      <c r="N952" s="10" t="s">
        <v>60</v>
      </c>
      <c r="O952" s="10" t="s">
        <v>61</v>
      </c>
      <c r="P952" s="10">
        <v>43868</v>
      </c>
      <c r="Q952" s="15">
        <v>27600</v>
      </c>
      <c r="R952" s="15">
        <v>43200</v>
      </c>
      <c r="S952" s="15">
        <f>Table1[[#This Row],[Retail Price]]-Table1[[#This Row],[Cost Price]]</f>
        <v>15600</v>
      </c>
      <c r="T952" s="10">
        <v>32</v>
      </c>
      <c r="U952" s="15">
        <f>Table1[[#This Row],[Profit Margin]]*Table1[[#This Row],[Order Quantity]]</f>
        <v>499200</v>
      </c>
      <c r="V952" s="11">
        <v>0.01</v>
      </c>
      <c r="W952" s="15">
        <f t="shared" si="14"/>
        <v>4992</v>
      </c>
      <c r="X952" s="15">
        <f>Table1[[#This Row],[Sub Total]]-Table1[[#This Row],[Discount Rp]]</f>
        <v>494208</v>
      </c>
      <c r="Y952" s="15">
        <f ca="1">OFFSET(Helper!$C$3,MATCH(Data!$N$4:$N$1003,Helper!$C$4:$C$9,0),MATCH(Data!$O$4:$O$1003,Helper!$D$3:$F$3,0))</f>
        <v>15000</v>
      </c>
      <c r="Z952" s="16">
        <f ca="1">Table1[[#This Row],[Order Total]]+Table1[[#This Row],[Shipping Cost]]</f>
        <v>509208</v>
      </c>
    </row>
    <row r="953" spans="1:26" ht="15.75" customHeight="1" x14ac:dyDescent="0.3">
      <c r="A953" s="9" t="s">
        <v>1854</v>
      </c>
      <c r="B953" s="18">
        <v>43868</v>
      </c>
      <c r="C953" s="10">
        <f>YEAR(Table1[[#This Row],[Order Date]])</f>
        <v>2020</v>
      </c>
      <c r="D953" s="10" t="s">
        <v>652</v>
      </c>
      <c r="E953" s="10" t="s">
        <v>445</v>
      </c>
      <c r="F953" s="10" t="s">
        <v>54</v>
      </c>
      <c r="G953" s="10" t="s">
        <v>72</v>
      </c>
      <c r="H953" s="10" t="s">
        <v>56</v>
      </c>
      <c r="I953" s="10" t="str">
        <f>VLOOKUP(Table1[[#This Row],[Account Manager ID]],Table2[[Employee ID]:[Full Name]],4,FALSE)</f>
        <v>Gaduh Pratama</v>
      </c>
      <c r="J953" s="10" t="str">
        <f>INDEX(Employee!$D$4:$D$47,MATCH($H$4:$H$1003,Employee!$A$4:$A$47,0))</f>
        <v>Gaduh Pratama</v>
      </c>
      <c r="K953" s="10" t="s">
        <v>74</v>
      </c>
      <c r="L953" s="10" t="s">
        <v>181</v>
      </c>
      <c r="M953" s="10" t="s">
        <v>59</v>
      </c>
      <c r="N953" s="10" t="s">
        <v>60</v>
      </c>
      <c r="O953" s="10" t="s">
        <v>76</v>
      </c>
      <c r="P953" s="10">
        <v>43870</v>
      </c>
      <c r="Q953" s="15">
        <v>23850</v>
      </c>
      <c r="R953" s="15">
        <v>39150</v>
      </c>
      <c r="S953" s="15">
        <f>Table1[[#This Row],[Retail Price]]-Table1[[#This Row],[Cost Price]]</f>
        <v>15300</v>
      </c>
      <c r="T953" s="10">
        <v>25</v>
      </c>
      <c r="U953" s="15">
        <f>Table1[[#This Row],[Profit Margin]]*Table1[[#This Row],[Order Quantity]]</f>
        <v>382500</v>
      </c>
      <c r="V953" s="11">
        <v>0.04</v>
      </c>
      <c r="W953" s="15">
        <f t="shared" si="14"/>
        <v>15300</v>
      </c>
      <c r="X953" s="15">
        <f>Table1[[#This Row],[Sub Total]]-Table1[[#This Row],[Discount Rp]]</f>
        <v>367200</v>
      </c>
      <c r="Y953" s="15">
        <f ca="1">OFFSET(Helper!$C$3,MATCH(Data!$N$4:$N$1003,Helper!$C$4:$C$9,0),MATCH(Data!$O$4:$O$1003,Helper!$D$3:$F$3,0))</f>
        <v>30000</v>
      </c>
      <c r="Z953" s="16">
        <f ca="1">Table1[[#This Row],[Order Total]]+Table1[[#This Row],[Shipping Cost]]</f>
        <v>397200</v>
      </c>
    </row>
    <row r="954" spans="1:26" ht="15.75" customHeight="1" x14ac:dyDescent="0.3">
      <c r="A954" s="9" t="s">
        <v>1855</v>
      </c>
      <c r="B954" s="18">
        <v>43868</v>
      </c>
      <c r="C954" s="10">
        <f>YEAR(Table1[[#This Row],[Order Date]])</f>
        <v>2020</v>
      </c>
      <c r="D954" s="10" t="s">
        <v>1082</v>
      </c>
      <c r="E954" s="10" t="s">
        <v>96</v>
      </c>
      <c r="F954" s="10" t="s">
        <v>71</v>
      </c>
      <c r="G954" s="10" t="s">
        <v>72</v>
      </c>
      <c r="H954" s="10" t="s">
        <v>97</v>
      </c>
      <c r="I954" s="10" t="str">
        <f>VLOOKUP(Table1[[#This Row],[Account Manager ID]],Table2[[Employee ID]:[Full Name]],4,FALSE)</f>
        <v>Violet Mentari</v>
      </c>
      <c r="J954" s="10" t="str">
        <f>INDEX(Employee!$D$4:$D$47,MATCH($H$4:$H$1003,Employee!$A$4:$A$47,0))</f>
        <v>Violet Mentari</v>
      </c>
      <c r="K954" s="10" t="s">
        <v>57</v>
      </c>
      <c r="L954" s="10" t="s">
        <v>89</v>
      </c>
      <c r="M954" s="10" t="s">
        <v>59</v>
      </c>
      <c r="N954" s="10" t="s">
        <v>67</v>
      </c>
      <c r="O954" s="10" t="s">
        <v>61</v>
      </c>
      <c r="P954" s="10">
        <v>43870</v>
      </c>
      <c r="Q954" s="15">
        <v>13500</v>
      </c>
      <c r="R954" s="15">
        <v>31500</v>
      </c>
      <c r="S954" s="15">
        <f>Table1[[#This Row],[Retail Price]]-Table1[[#This Row],[Cost Price]]</f>
        <v>18000</v>
      </c>
      <c r="T954" s="10">
        <v>33</v>
      </c>
      <c r="U954" s="15">
        <f>Table1[[#This Row],[Profit Margin]]*Table1[[#This Row],[Order Quantity]]</f>
        <v>594000</v>
      </c>
      <c r="V954" s="11">
        <v>0.05</v>
      </c>
      <c r="W954" s="15">
        <f t="shared" si="14"/>
        <v>29700</v>
      </c>
      <c r="X954" s="15">
        <f>Table1[[#This Row],[Sub Total]]-Table1[[#This Row],[Discount Rp]]</f>
        <v>564300</v>
      </c>
      <c r="Y954" s="15">
        <f ca="1">OFFSET(Helper!$C$3,MATCH(Data!$N$4:$N$1003,Helper!$C$4:$C$9,0),MATCH(Data!$O$4:$O$1003,Helper!$D$3:$F$3,0))</f>
        <v>5000</v>
      </c>
      <c r="Z954" s="16">
        <f ca="1">Table1[[#This Row],[Order Total]]+Table1[[#This Row],[Shipping Cost]]</f>
        <v>569300</v>
      </c>
    </row>
    <row r="955" spans="1:26" ht="15.75" customHeight="1" x14ac:dyDescent="0.3">
      <c r="A955" s="9" t="s">
        <v>1856</v>
      </c>
      <c r="B955" s="18">
        <v>43870</v>
      </c>
      <c r="C955" s="10">
        <f>YEAR(Table1[[#This Row],[Order Date]])</f>
        <v>2020</v>
      </c>
      <c r="D955" s="10" t="s">
        <v>52</v>
      </c>
      <c r="E955" s="10" t="s">
        <v>53</v>
      </c>
      <c r="F955" s="10" t="s">
        <v>54</v>
      </c>
      <c r="G955" s="10" t="s">
        <v>55</v>
      </c>
      <c r="H955" s="10" t="s">
        <v>56</v>
      </c>
      <c r="I955" s="10" t="str">
        <f>VLOOKUP(Table1[[#This Row],[Account Manager ID]],Table2[[Employee ID]:[Full Name]],4,FALSE)</f>
        <v>Gaduh Pratama</v>
      </c>
      <c r="J955" s="10" t="str">
        <f>INDEX(Employee!$D$4:$D$47,MATCH($H$4:$H$1003,Employee!$A$4:$A$47,0))</f>
        <v>Gaduh Pratama</v>
      </c>
      <c r="K955" s="10" t="s">
        <v>117</v>
      </c>
      <c r="L955" s="10" t="s">
        <v>398</v>
      </c>
      <c r="M955" s="10" t="s">
        <v>81</v>
      </c>
      <c r="N955" s="10" t="s">
        <v>60</v>
      </c>
      <c r="O955" s="10" t="s">
        <v>61</v>
      </c>
      <c r="P955" s="10">
        <v>43871</v>
      </c>
      <c r="Q955" s="15">
        <v>817800</v>
      </c>
      <c r="R955" s="15">
        <v>1514550</v>
      </c>
      <c r="S955" s="15">
        <f>Table1[[#This Row],[Retail Price]]-Table1[[#This Row],[Cost Price]]</f>
        <v>696750</v>
      </c>
      <c r="T955" s="10">
        <v>29</v>
      </c>
      <c r="U955" s="15">
        <f>Table1[[#This Row],[Profit Margin]]*Table1[[#This Row],[Order Quantity]]</f>
        <v>20205750</v>
      </c>
      <c r="V955" s="11">
        <v>0.05</v>
      </c>
      <c r="W955" s="15">
        <f t="shared" si="14"/>
        <v>1010287.5</v>
      </c>
      <c r="X955" s="15">
        <f>Table1[[#This Row],[Sub Total]]-Table1[[#This Row],[Discount Rp]]</f>
        <v>19195462.5</v>
      </c>
      <c r="Y955" s="15">
        <f ca="1">OFFSET(Helper!$C$3,MATCH(Data!$N$4:$N$1003,Helper!$C$4:$C$9,0),MATCH(Data!$O$4:$O$1003,Helper!$D$3:$F$3,0))</f>
        <v>15000</v>
      </c>
      <c r="Z955" s="16">
        <f ca="1">Table1[[#This Row],[Order Total]]+Table1[[#This Row],[Shipping Cost]]</f>
        <v>19210462.5</v>
      </c>
    </row>
    <row r="956" spans="1:26" ht="15.75" customHeight="1" x14ac:dyDescent="0.3">
      <c r="A956" s="9" t="s">
        <v>1857</v>
      </c>
      <c r="B956" s="18">
        <v>43870</v>
      </c>
      <c r="C956" s="10">
        <f>YEAR(Table1[[#This Row],[Order Date]])</f>
        <v>2020</v>
      </c>
      <c r="D956" s="10" t="s">
        <v>52</v>
      </c>
      <c r="E956" s="10" t="s">
        <v>53</v>
      </c>
      <c r="F956" s="10" t="s">
        <v>54</v>
      </c>
      <c r="G956" s="10" t="s">
        <v>55</v>
      </c>
      <c r="H956" s="10" t="s">
        <v>56</v>
      </c>
      <c r="I956" s="10" t="str">
        <f>VLOOKUP(Table1[[#This Row],[Account Manager ID]],Table2[[Employee ID]:[Full Name]],4,FALSE)</f>
        <v>Gaduh Pratama</v>
      </c>
      <c r="J956" s="10" t="str">
        <f>INDEX(Employee!$D$4:$D$47,MATCH($H$4:$H$1003,Employee!$A$4:$A$47,0))</f>
        <v>Gaduh Pratama</v>
      </c>
      <c r="K956" s="10" t="s">
        <v>117</v>
      </c>
      <c r="L956" s="10" t="s">
        <v>753</v>
      </c>
      <c r="M956" s="10" t="s">
        <v>59</v>
      </c>
      <c r="N956" s="10" t="s">
        <v>67</v>
      </c>
      <c r="O956" s="10" t="s">
        <v>61</v>
      </c>
      <c r="P956" s="10">
        <v>43870</v>
      </c>
      <c r="Q956" s="15">
        <v>38850</v>
      </c>
      <c r="R956" s="15">
        <v>59700</v>
      </c>
      <c r="S956" s="15">
        <f>Table1[[#This Row],[Retail Price]]-Table1[[#This Row],[Cost Price]]</f>
        <v>20850</v>
      </c>
      <c r="T956" s="10">
        <v>4</v>
      </c>
      <c r="U956" s="15">
        <f>Table1[[#This Row],[Profit Margin]]*Table1[[#This Row],[Order Quantity]]</f>
        <v>83400</v>
      </c>
      <c r="V956" s="11">
        <v>0.09</v>
      </c>
      <c r="W956" s="15">
        <f t="shared" si="14"/>
        <v>7506</v>
      </c>
      <c r="X956" s="15">
        <f>Table1[[#This Row],[Sub Total]]-Table1[[#This Row],[Discount Rp]]</f>
        <v>75894</v>
      </c>
      <c r="Y956" s="15">
        <f ca="1">OFFSET(Helper!$C$3,MATCH(Data!$N$4:$N$1003,Helper!$C$4:$C$9,0),MATCH(Data!$O$4:$O$1003,Helper!$D$3:$F$3,0))</f>
        <v>5000</v>
      </c>
      <c r="Z956" s="16">
        <f ca="1">Table1[[#This Row],[Order Total]]+Table1[[#This Row],[Shipping Cost]]</f>
        <v>80894</v>
      </c>
    </row>
    <row r="957" spans="1:26" ht="15.75" customHeight="1" x14ac:dyDescent="0.3">
      <c r="A957" s="9" t="s">
        <v>1858</v>
      </c>
      <c r="B957" s="18">
        <v>43871</v>
      </c>
      <c r="C957" s="10">
        <f>YEAR(Table1[[#This Row],[Order Date]])</f>
        <v>2020</v>
      </c>
      <c r="D957" s="10" t="s">
        <v>1859</v>
      </c>
      <c r="E957" s="10" t="s">
        <v>180</v>
      </c>
      <c r="F957" s="10" t="s">
        <v>54</v>
      </c>
      <c r="G957" s="10" t="s">
        <v>55</v>
      </c>
      <c r="H957" s="10" t="s">
        <v>65</v>
      </c>
      <c r="I957" s="10" t="str">
        <f>VLOOKUP(Table1[[#This Row],[Account Manager ID]],Table2[[Employee ID]:[Full Name]],4,FALSE)</f>
        <v>Laras Nuraini</v>
      </c>
      <c r="J957" s="10" t="str">
        <f>INDEX(Employee!$D$4:$D$47,MATCH($H$4:$H$1003,Employee!$A$4:$A$47,0))</f>
        <v>Laras Nuraini</v>
      </c>
      <c r="K957" s="10" t="s">
        <v>92</v>
      </c>
      <c r="L957" s="10" t="s">
        <v>419</v>
      </c>
      <c r="M957" s="10" t="s">
        <v>59</v>
      </c>
      <c r="N957" s="10" t="s">
        <v>60</v>
      </c>
      <c r="O957" s="10" t="s">
        <v>76</v>
      </c>
      <c r="P957" s="10">
        <v>43880</v>
      </c>
      <c r="Q957" s="15">
        <v>66900</v>
      </c>
      <c r="R957" s="15">
        <v>163350</v>
      </c>
      <c r="S957" s="15">
        <f>Table1[[#This Row],[Retail Price]]-Table1[[#This Row],[Cost Price]]</f>
        <v>96450</v>
      </c>
      <c r="T957" s="10">
        <v>30</v>
      </c>
      <c r="U957" s="15">
        <f>Table1[[#This Row],[Profit Margin]]*Table1[[#This Row],[Order Quantity]]</f>
        <v>2893500</v>
      </c>
      <c r="V957" s="11">
        <v>0.08</v>
      </c>
      <c r="W957" s="15">
        <f t="shared" si="14"/>
        <v>231480</v>
      </c>
      <c r="X957" s="15">
        <f>Table1[[#This Row],[Sub Total]]-Table1[[#This Row],[Discount Rp]]</f>
        <v>2662020</v>
      </c>
      <c r="Y957" s="15">
        <f ca="1">OFFSET(Helper!$C$3,MATCH(Data!$N$4:$N$1003,Helper!$C$4:$C$9,0),MATCH(Data!$O$4:$O$1003,Helper!$D$3:$F$3,0))</f>
        <v>30000</v>
      </c>
      <c r="Z957" s="16">
        <f ca="1">Table1[[#This Row],[Order Total]]+Table1[[#This Row],[Shipping Cost]]</f>
        <v>2692020</v>
      </c>
    </row>
    <row r="958" spans="1:26" ht="15.75" customHeight="1" x14ac:dyDescent="0.3">
      <c r="A958" s="9" t="s">
        <v>1860</v>
      </c>
      <c r="B958" s="18">
        <v>43871</v>
      </c>
      <c r="C958" s="10">
        <f>YEAR(Table1[[#This Row],[Order Date]])</f>
        <v>2020</v>
      </c>
      <c r="D958" s="10" t="s">
        <v>749</v>
      </c>
      <c r="E958" s="10" t="s">
        <v>750</v>
      </c>
      <c r="F958" s="10" t="s">
        <v>54</v>
      </c>
      <c r="G958" s="10" t="s">
        <v>72</v>
      </c>
      <c r="H958" s="10" t="s">
        <v>56</v>
      </c>
      <c r="I958" s="10" t="str">
        <f>VLOOKUP(Table1[[#This Row],[Account Manager ID]],Table2[[Employee ID]:[Full Name]],4,FALSE)</f>
        <v>Gaduh Pratama</v>
      </c>
      <c r="J958" s="10" t="str">
        <f>INDEX(Employee!$D$4:$D$47,MATCH($H$4:$H$1003,Employee!$A$4:$A$47,0))</f>
        <v>Gaduh Pratama</v>
      </c>
      <c r="K958" s="10" t="s">
        <v>74</v>
      </c>
      <c r="L958" s="10" t="s">
        <v>367</v>
      </c>
      <c r="M958" s="10" t="s">
        <v>59</v>
      </c>
      <c r="N958" s="10" t="s">
        <v>60</v>
      </c>
      <c r="O958" s="10" t="s">
        <v>61</v>
      </c>
      <c r="P958" s="10">
        <v>43873</v>
      </c>
      <c r="Q958" s="15">
        <v>29700</v>
      </c>
      <c r="R958" s="15">
        <v>47250</v>
      </c>
      <c r="S958" s="15">
        <f>Table1[[#This Row],[Retail Price]]-Table1[[#This Row],[Cost Price]]</f>
        <v>17550</v>
      </c>
      <c r="T958" s="10">
        <v>24</v>
      </c>
      <c r="U958" s="15">
        <f>Table1[[#This Row],[Profit Margin]]*Table1[[#This Row],[Order Quantity]]</f>
        <v>421200</v>
      </c>
      <c r="V958" s="11">
        <v>0.02</v>
      </c>
      <c r="W958" s="15">
        <f t="shared" si="14"/>
        <v>8424</v>
      </c>
      <c r="X958" s="15">
        <f>Table1[[#This Row],[Sub Total]]-Table1[[#This Row],[Discount Rp]]</f>
        <v>412776</v>
      </c>
      <c r="Y958" s="15">
        <f ca="1">OFFSET(Helper!$C$3,MATCH(Data!$N$4:$N$1003,Helper!$C$4:$C$9,0),MATCH(Data!$O$4:$O$1003,Helper!$D$3:$F$3,0))</f>
        <v>15000</v>
      </c>
      <c r="Z958" s="16">
        <f ca="1">Table1[[#This Row],[Order Total]]+Table1[[#This Row],[Shipping Cost]]</f>
        <v>427776</v>
      </c>
    </row>
    <row r="959" spans="1:26" ht="15.75" customHeight="1" x14ac:dyDescent="0.3">
      <c r="A959" s="9" t="s">
        <v>1861</v>
      </c>
      <c r="B959" s="18">
        <v>43872</v>
      </c>
      <c r="C959" s="10">
        <f>YEAR(Table1[[#This Row],[Order Date]])</f>
        <v>2020</v>
      </c>
      <c r="D959" s="10" t="s">
        <v>1862</v>
      </c>
      <c r="E959" s="10" t="s">
        <v>977</v>
      </c>
      <c r="F959" s="10" t="s">
        <v>71</v>
      </c>
      <c r="G959" s="10" t="s">
        <v>55</v>
      </c>
      <c r="H959" s="10" t="s">
        <v>194</v>
      </c>
      <c r="I959" s="10" t="str">
        <f>VLOOKUP(Table1[[#This Row],[Account Manager ID]],Table2[[Employee ID]:[Full Name]],4,FALSE)</f>
        <v>Nabila Prakasa</v>
      </c>
      <c r="J959" s="10" t="str">
        <f>INDEX(Employee!$D$4:$D$47,MATCH($H$4:$H$1003,Employee!$A$4:$A$47,0))</f>
        <v>Nabila Prakasa</v>
      </c>
      <c r="K959" s="10" t="s">
        <v>74</v>
      </c>
      <c r="L959" s="10" t="s">
        <v>186</v>
      </c>
      <c r="M959" s="10" t="s">
        <v>81</v>
      </c>
      <c r="N959" s="10" t="s">
        <v>60</v>
      </c>
      <c r="O959" s="10" t="s">
        <v>61</v>
      </c>
      <c r="P959" s="10">
        <v>43873</v>
      </c>
      <c r="Q959" s="15">
        <v>95850</v>
      </c>
      <c r="R959" s="15">
        <v>299700</v>
      </c>
      <c r="S959" s="15">
        <f>Table1[[#This Row],[Retail Price]]-Table1[[#This Row],[Cost Price]]</f>
        <v>203850</v>
      </c>
      <c r="T959" s="10">
        <v>9</v>
      </c>
      <c r="U959" s="15">
        <f>Table1[[#This Row],[Profit Margin]]*Table1[[#This Row],[Order Quantity]]</f>
        <v>1834650</v>
      </c>
      <c r="V959" s="11">
        <v>0.09</v>
      </c>
      <c r="W959" s="15">
        <f t="shared" si="14"/>
        <v>165118.5</v>
      </c>
      <c r="X959" s="15">
        <f>Table1[[#This Row],[Sub Total]]-Table1[[#This Row],[Discount Rp]]</f>
        <v>1669531.5</v>
      </c>
      <c r="Y959" s="15">
        <f ca="1">OFFSET(Helper!$C$3,MATCH(Data!$N$4:$N$1003,Helper!$C$4:$C$9,0),MATCH(Data!$O$4:$O$1003,Helper!$D$3:$F$3,0))</f>
        <v>15000</v>
      </c>
      <c r="Z959" s="16">
        <f ca="1">Table1[[#This Row],[Order Total]]+Table1[[#This Row],[Shipping Cost]]</f>
        <v>1684531.5</v>
      </c>
    </row>
    <row r="960" spans="1:26" ht="15.75" customHeight="1" x14ac:dyDescent="0.3">
      <c r="A960" s="9" t="s">
        <v>1863</v>
      </c>
      <c r="B960" s="18">
        <v>43874</v>
      </c>
      <c r="C960" s="10">
        <f>YEAR(Table1[[#This Row],[Order Date]])</f>
        <v>2020</v>
      </c>
      <c r="D960" s="10" t="s">
        <v>1864</v>
      </c>
      <c r="E960" s="10" t="s">
        <v>393</v>
      </c>
      <c r="F960" s="10" t="s">
        <v>71</v>
      </c>
      <c r="G960" s="10" t="s">
        <v>72</v>
      </c>
      <c r="H960" s="10" t="s">
        <v>122</v>
      </c>
      <c r="I960" s="10" t="str">
        <f>VLOOKUP(Table1[[#This Row],[Account Manager ID]],Table2[[Employee ID]:[Full Name]],4,FALSE)</f>
        <v>Ophelia Mustofa</v>
      </c>
      <c r="J960" s="10" t="str">
        <f>INDEX(Employee!$D$4:$D$47,MATCH($H$4:$H$1003,Employee!$A$4:$A$47,0))</f>
        <v>Ophelia Mustofa</v>
      </c>
      <c r="K960" s="10" t="s">
        <v>117</v>
      </c>
      <c r="L960" s="10" t="s">
        <v>246</v>
      </c>
      <c r="M960" s="10" t="s">
        <v>81</v>
      </c>
      <c r="N960" s="10" t="s">
        <v>227</v>
      </c>
      <c r="O960" s="10" t="s">
        <v>61</v>
      </c>
      <c r="P960" s="10">
        <v>43874</v>
      </c>
      <c r="Q960" s="15">
        <v>148650</v>
      </c>
      <c r="R960" s="15">
        <v>239850</v>
      </c>
      <c r="S960" s="15">
        <f>Table1[[#This Row],[Retail Price]]-Table1[[#This Row],[Cost Price]]</f>
        <v>91200</v>
      </c>
      <c r="T960" s="10">
        <v>33</v>
      </c>
      <c r="U960" s="15">
        <f>Table1[[#This Row],[Profit Margin]]*Table1[[#This Row],[Order Quantity]]</f>
        <v>3009600</v>
      </c>
      <c r="V960" s="11">
        <v>0.01</v>
      </c>
      <c r="W960" s="15">
        <f t="shared" si="14"/>
        <v>30096</v>
      </c>
      <c r="X960" s="15">
        <f>Table1[[#This Row],[Sub Total]]-Table1[[#This Row],[Discount Rp]]</f>
        <v>2979504</v>
      </c>
      <c r="Y960" s="15">
        <f ca="1">OFFSET(Helper!$C$3,MATCH(Data!$N$4:$N$1003,Helper!$C$4:$C$9,0),MATCH(Data!$O$4:$O$1003,Helper!$D$3:$F$3,0))</f>
        <v>20000</v>
      </c>
      <c r="Z960" s="16">
        <f ca="1">Table1[[#This Row],[Order Total]]+Table1[[#This Row],[Shipping Cost]]</f>
        <v>2999504</v>
      </c>
    </row>
    <row r="961" spans="1:26" ht="15.75" customHeight="1" x14ac:dyDescent="0.3">
      <c r="A961" s="9" t="s">
        <v>1865</v>
      </c>
      <c r="B961" s="18">
        <v>43874</v>
      </c>
      <c r="C961" s="10">
        <f>YEAR(Table1[[#This Row],[Order Date]])</f>
        <v>2020</v>
      </c>
      <c r="D961" s="10" t="s">
        <v>1496</v>
      </c>
      <c r="E961" s="10" t="s">
        <v>813</v>
      </c>
      <c r="F961" s="10" t="s">
        <v>54</v>
      </c>
      <c r="G961" s="10" t="s">
        <v>72</v>
      </c>
      <c r="H961" s="10" t="s">
        <v>65</v>
      </c>
      <c r="I961" s="10" t="str">
        <f>VLOOKUP(Table1[[#This Row],[Account Manager ID]],Table2[[Employee ID]:[Full Name]],4,FALSE)</f>
        <v>Laras Nuraini</v>
      </c>
      <c r="J961" s="10" t="str">
        <f>INDEX(Employee!$D$4:$D$47,MATCH($H$4:$H$1003,Employee!$A$4:$A$47,0))</f>
        <v>Laras Nuraini</v>
      </c>
      <c r="K961" s="10" t="s">
        <v>117</v>
      </c>
      <c r="L961" s="10" t="s">
        <v>415</v>
      </c>
      <c r="M961" s="10" t="s">
        <v>59</v>
      </c>
      <c r="N961" s="10" t="s">
        <v>60</v>
      </c>
      <c r="O961" s="10" t="s">
        <v>61</v>
      </c>
      <c r="P961" s="10">
        <v>43875</v>
      </c>
      <c r="Q961" s="15">
        <v>54750</v>
      </c>
      <c r="R961" s="15">
        <v>89700</v>
      </c>
      <c r="S961" s="15">
        <f>Table1[[#This Row],[Retail Price]]-Table1[[#This Row],[Cost Price]]</f>
        <v>34950</v>
      </c>
      <c r="T961" s="10">
        <v>23</v>
      </c>
      <c r="U961" s="15">
        <f>Table1[[#This Row],[Profit Margin]]*Table1[[#This Row],[Order Quantity]]</f>
        <v>803850</v>
      </c>
      <c r="V961" s="11">
        <v>0.01</v>
      </c>
      <c r="W961" s="15">
        <f t="shared" si="14"/>
        <v>8038.5</v>
      </c>
      <c r="X961" s="15">
        <f>Table1[[#This Row],[Sub Total]]-Table1[[#This Row],[Discount Rp]]</f>
        <v>795811.5</v>
      </c>
      <c r="Y961" s="15">
        <f ca="1">OFFSET(Helper!$C$3,MATCH(Data!$N$4:$N$1003,Helper!$C$4:$C$9,0),MATCH(Data!$O$4:$O$1003,Helper!$D$3:$F$3,0))</f>
        <v>15000</v>
      </c>
      <c r="Z961" s="16">
        <f ca="1">Table1[[#This Row],[Order Total]]+Table1[[#This Row],[Shipping Cost]]</f>
        <v>810811.5</v>
      </c>
    </row>
    <row r="962" spans="1:26" ht="15.75" customHeight="1" x14ac:dyDescent="0.3">
      <c r="A962" s="9" t="s">
        <v>1866</v>
      </c>
      <c r="B962" s="18">
        <v>43874</v>
      </c>
      <c r="C962" s="10">
        <f>YEAR(Table1[[#This Row],[Order Date]])</f>
        <v>2020</v>
      </c>
      <c r="D962" s="10" t="s">
        <v>392</v>
      </c>
      <c r="E962" s="10" t="s">
        <v>393</v>
      </c>
      <c r="F962" s="10" t="s">
        <v>71</v>
      </c>
      <c r="G962" s="10" t="s">
        <v>55</v>
      </c>
      <c r="H962" s="10" t="s">
        <v>122</v>
      </c>
      <c r="I962" s="10" t="str">
        <f>VLOOKUP(Table1[[#This Row],[Account Manager ID]],Table2[[Employee ID]:[Full Name]],4,FALSE)</f>
        <v>Ophelia Mustofa</v>
      </c>
      <c r="J962" s="10" t="str">
        <f>INDEX(Employee!$D$4:$D$47,MATCH($H$4:$H$1003,Employee!$A$4:$A$47,0))</f>
        <v>Ophelia Mustofa</v>
      </c>
      <c r="K962" s="10" t="s">
        <v>107</v>
      </c>
      <c r="L962" s="10" t="s">
        <v>465</v>
      </c>
      <c r="M962" s="10" t="s">
        <v>59</v>
      </c>
      <c r="N962" s="10" t="s">
        <v>60</v>
      </c>
      <c r="O962" s="10" t="s">
        <v>61</v>
      </c>
      <c r="P962" s="10">
        <v>43877</v>
      </c>
      <c r="Q962" s="15">
        <v>52500</v>
      </c>
      <c r="R962" s="15">
        <v>86100</v>
      </c>
      <c r="S962" s="15">
        <f>Table1[[#This Row],[Retail Price]]-Table1[[#This Row],[Cost Price]]</f>
        <v>33600</v>
      </c>
      <c r="T962" s="10">
        <v>48</v>
      </c>
      <c r="U962" s="15">
        <f>Table1[[#This Row],[Profit Margin]]*Table1[[#This Row],[Order Quantity]]</f>
        <v>1612800</v>
      </c>
      <c r="V962" s="11">
        <v>0.05</v>
      </c>
      <c r="W962" s="15">
        <f t="shared" si="14"/>
        <v>80640</v>
      </c>
      <c r="X962" s="15">
        <f>Table1[[#This Row],[Sub Total]]-Table1[[#This Row],[Discount Rp]]</f>
        <v>1532160</v>
      </c>
      <c r="Y962" s="15">
        <f ca="1">OFFSET(Helper!$C$3,MATCH(Data!$N$4:$N$1003,Helper!$C$4:$C$9,0),MATCH(Data!$O$4:$O$1003,Helper!$D$3:$F$3,0))</f>
        <v>15000</v>
      </c>
      <c r="Z962" s="16">
        <f ca="1">Table1[[#This Row],[Order Total]]+Table1[[#This Row],[Shipping Cost]]</f>
        <v>1547160</v>
      </c>
    </row>
    <row r="963" spans="1:26" ht="15.75" customHeight="1" x14ac:dyDescent="0.3">
      <c r="A963" s="9" t="s">
        <v>1867</v>
      </c>
      <c r="B963" s="18">
        <v>43876</v>
      </c>
      <c r="C963" s="10">
        <f>YEAR(Table1[[#This Row],[Order Date]])</f>
        <v>2020</v>
      </c>
      <c r="D963" s="10" t="s">
        <v>613</v>
      </c>
      <c r="E963" s="10" t="s">
        <v>614</v>
      </c>
      <c r="F963" s="10" t="s">
        <v>71</v>
      </c>
      <c r="G963" s="10" t="s">
        <v>72</v>
      </c>
      <c r="H963" s="10" t="s">
        <v>97</v>
      </c>
      <c r="I963" s="10" t="str">
        <f>VLOOKUP(Table1[[#This Row],[Account Manager ID]],Table2[[Employee ID]:[Full Name]],4,FALSE)</f>
        <v>Violet Mentari</v>
      </c>
      <c r="J963" s="10" t="str">
        <f>INDEX(Employee!$D$4:$D$47,MATCH($H$4:$H$1003,Employee!$A$4:$A$47,0))</f>
        <v>Violet Mentari</v>
      </c>
      <c r="K963" s="10" t="s">
        <v>74</v>
      </c>
      <c r="L963" s="10" t="s">
        <v>190</v>
      </c>
      <c r="M963" s="10" t="s">
        <v>81</v>
      </c>
      <c r="N963" s="10" t="s">
        <v>60</v>
      </c>
      <c r="O963" s="10" t="s">
        <v>61</v>
      </c>
      <c r="P963" s="10">
        <v>43877</v>
      </c>
      <c r="Q963" s="15">
        <v>594600</v>
      </c>
      <c r="R963" s="15">
        <v>2287200</v>
      </c>
      <c r="S963" s="15">
        <f>Table1[[#This Row],[Retail Price]]-Table1[[#This Row],[Cost Price]]</f>
        <v>1692600</v>
      </c>
      <c r="T963" s="10">
        <v>44</v>
      </c>
      <c r="U963" s="15">
        <f>Table1[[#This Row],[Profit Margin]]*Table1[[#This Row],[Order Quantity]]</f>
        <v>74474400</v>
      </c>
      <c r="V963" s="11">
        <v>0.03</v>
      </c>
      <c r="W963" s="15">
        <f t="shared" si="14"/>
        <v>2234232</v>
      </c>
      <c r="X963" s="15">
        <f>Table1[[#This Row],[Sub Total]]-Table1[[#This Row],[Discount Rp]]</f>
        <v>72240168</v>
      </c>
      <c r="Y963" s="15">
        <f ca="1">OFFSET(Helper!$C$3,MATCH(Data!$N$4:$N$1003,Helper!$C$4:$C$9,0),MATCH(Data!$O$4:$O$1003,Helper!$D$3:$F$3,0))</f>
        <v>15000</v>
      </c>
      <c r="Z963" s="16">
        <f ca="1">Table1[[#This Row],[Order Total]]+Table1[[#This Row],[Shipping Cost]]</f>
        <v>72255168</v>
      </c>
    </row>
    <row r="964" spans="1:26" ht="15.75" customHeight="1" x14ac:dyDescent="0.3">
      <c r="A964" s="9" t="s">
        <v>1868</v>
      </c>
      <c r="B964" s="18">
        <v>43876</v>
      </c>
      <c r="C964" s="10">
        <f>YEAR(Table1[[#This Row],[Order Date]])</f>
        <v>2020</v>
      </c>
      <c r="D964" s="10" t="s">
        <v>1869</v>
      </c>
      <c r="E964" s="10" t="s">
        <v>358</v>
      </c>
      <c r="F964" s="10" t="s">
        <v>71</v>
      </c>
      <c r="G964" s="10" t="s">
        <v>55</v>
      </c>
      <c r="H964" s="10" t="s">
        <v>73</v>
      </c>
      <c r="I964" s="10" t="str">
        <f>VLOOKUP(Table1[[#This Row],[Account Manager ID]],Table2[[Employee ID]:[Full Name]],4,FALSE)</f>
        <v>Cinthia Gunawan</v>
      </c>
      <c r="J964" s="10" t="str">
        <f>INDEX(Employee!$D$4:$D$47,MATCH($H$4:$H$1003,Employee!$A$4:$A$47,0))</f>
        <v>Cinthia Gunawan</v>
      </c>
      <c r="K964" s="10" t="s">
        <v>107</v>
      </c>
      <c r="L964" s="10" t="s">
        <v>530</v>
      </c>
      <c r="M964" s="10" t="s">
        <v>59</v>
      </c>
      <c r="N964" s="10" t="s">
        <v>136</v>
      </c>
      <c r="O964" s="10" t="s">
        <v>61</v>
      </c>
      <c r="P964" s="10">
        <v>43877</v>
      </c>
      <c r="Q964" s="15">
        <v>37500</v>
      </c>
      <c r="R964" s="15">
        <v>85200</v>
      </c>
      <c r="S964" s="15">
        <f>Table1[[#This Row],[Retail Price]]-Table1[[#This Row],[Cost Price]]</f>
        <v>47700</v>
      </c>
      <c r="T964" s="10">
        <v>34</v>
      </c>
      <c r="U964" s="15">
        <f>Table1[[#This Row],[Profit Margin]]*Table1[[#This Row],[Order Quantity]]</f>
        <v>1621800</v>
      </c>
      <c r="V964" s="11">
        <v>0</v>
      </c>
      <c r="W964" s="15">
        <f t="shared" ref="W964:W1003" si="15">V964*U964</f>
        <v>0</v>
      </c>
      <c r="X964" s="15">
        <f>Table1[[#This Row],[Sub Total]]-Table1[[#This Row],[Discount Rp]]</f>
        <v>1621800</v>
      </c>
      <c r="Y964" s="15">
        <f ca="1">OFFSET(Helper!$C$3,MATCH(Data!$N$4:$N$1003,Helper!$C$4:$C$9,0),MATCH(Data!$O$4:$O$1003,Helper!$D$3:$F$3,0))</f>
        <v>10000</v>
      </c>
      <c r="Z964" s="16">
        <f ca="1">Table1[[#This Row],[Order Total]]+Table1[[#This Row],[Shipping Cost]]</f>
        <v>1631800</v>
      </c>
    </row>
    <row r="965" spans="1:26" ht="15.75" customHeight="1" x14ac:dyDescent="0.3">
      <c r="A965" s="9" t="s">
        <v>1870</v>
      </c>
      <c r="B965" s="18">
        <v>43876</v>
      </c>
      <c r="C965" s="10">
        <f>YEAR(Table1[[#This Row],[Order Date]])</f>
        <v>2020</v>
      </c>
      <c r="D965" s="10" t="s">
        <v>1278</v>
      </c>
      <c r="E965" s="10" t="s">
        <v>610</v>
      </c>
      <c r="F965" s="10" t="s">
        <v>261</v>
      </c>
      <c r="G965" s="10" t="s">
        <v>55</v>
      </c>
      <c r="H965" s="10" t="s">
        <v>112</v>
      </c>
      <c r="I965" s="10" t="str">
        <f>VLOOKUP(Table1[[#This Row],[Account Manager ID]],Table2[[Employee ID]:[Full Name]],4,FALSE)</f>
        <v>Paiman Firgantoro</v>
      </c>
      <c r="J965" s="10" t="str">
        <f>INDEX(Employee!$D$4:$D$47,MATCH($H$4:$H$1003,Employee!$A$4:$A$47,0))</f>
        <v>Paiman Firgantoro</v>
      </c>
      <c r="K965" s="10" t="s">
        <v>107</v>
      </c>
      <c r="L965" s="10" t="s">
        <v>598</v>
      </c>
      <c r="M965" s="10" t="s">
        <v>59</v>
      </c>
      <c r="N965" s="10" t="s">
        <v>136</v>
      </c>
      <c r="O965" s="10" t="s">
        <v>61</v>
      </c>
      <c r="P965" s="10">
        <v>43878</v>
      </c>
      <c r="Q965" s="15">
        <v>252000</v>
      </c>
      <c r="R965" s="15">
        <v>614550</v>
      </c>
      <c r="S965" s="15">
        <f>Table1[[#This Row],[Retail Price]]-Table1[[#This Row],[Cost Price]]</f>
        <v>362550</v>
      </c>
      <c r="T965" s="10">
        <v>26</v>
      </c>
      <c r="U965" s="15">
        <f>Table1[[#This Row],[Profit Margin]]*Table1[[#This Row],[Order Quantity]]</f>
        <v>9426300</v>
      </c>
      <c r="V965" s="11">
        <v>0.06</v>
      </c>
      <c r="W965" s="15">
        <f t="shared" si="15"/>
        <v>565578</v>
      </c>
      <c r="X965" s="15">
        <f>Table1[[#This Row],[Sub Total]]-Table1[[#This Row],[Discount Rp]]</f>
        <v>8860722</v>
      </c>
      <c r="Y965" s="15">
        <f ca="1">OFFSET(Helper!$C$3,MATCH(Data!$N$4:$N$1003,Helper!$C$4:$C$9,0),MATCH(Data!$O$4:$O$1003,Helper!$D$3:$F$3,0))</f>
        <v>10000</v>
      </c>
      <c r="Z965" s="16">
        <f ca="1">Table1[[#This Row],[Order Total]]+Table1[[#This Row],[Shipping Cost]]</f>
        <v>8870722</v>
      </c>
    </row>
    <row r="966" spans="1:26" ht="15.75" customHeight="1" x14ac:dyDescent="0.3">
      <c r="A966" s="9" t="s">
        <v>1871</v>
      </c>
      <c r="B966" s="18">
        <v>43876</v>
      </c>
      <c r="C966" s="10">
        <f>YEAR(Table1[[#This Row],[Order Date]])</f>
        <v>2020</v>
      </c>
      <c r="D966" s="10" t="s">
        <v>820</v>
      </c>
      <c r="E966" s="10" t="s">
        <v>521</v>
      </c>
      <c r="F966" s="10" t="s">
        <v>71</v>
      </c>
      <c r="G966" s="10" t="s">
        <v>55</v>
      </c>
      <c r="H966" s="10" t="s">
        <v>88</v>
      </c>
      <c r="I966" s="10" t="str">
        <f>VLOOKUP(Table1[[#This Row],[Account Manager ID]],Table2[[Employee ID]:[Full Name]],4,FALSE)</f>
        <v>Bagiya Sihombing</v>
      </c>
      <c r="J966" s="10" t="str">
        <f>INDEX(Employee!$D$4:$D$47,MATCH($H$4:$H$1003,Employee!$A$4:$A$47,0))</f>
        <v>Bagiya Sihombing</v>
      </c>
      <c r="K966" s="10" t="s">
        <v>92</v>
      </c>
      <c r="L966" s="10" t="s">
        <v>147</v>
      </c>
      <c r="M966" s="10" t="s">
        <v>59</v>
      </c>
      <c r="N966" s="10" t="s">
        <v>67</v>
      </c>
      <c r="O966" s="10" t="s">
        <v>61</v>
      </c>
      <c r="P966" s="10">
        <v>43880</v>
      </c>
      <c r="Q966" s="15">
        <v>19500</v>
      </c>
      <c r="R966" s="15">
        <v>43200</v>
      </c>
      <c r="S966" s="15">
        <f>Table1[[#This Row],[Retail Price]]-Table1[[#This Row],[Cost Price]]</f>
        <v>23700</v>
      </c>
      <c r="T966" s="10">
        <v>41</v>
      </c>
      <c r="U966" s="15">
        <f>Table1[[#This Row],[Profit Margin]]*Table1[[#This Row],[Order Quantity]]</f>
        <v>971700</v>
      </c>
      <c r="V966" s="11">
        <v>0.1</v>
      </c>
      <c r="W966" s="15">
        <f t="shared" si="15"/>
        <v>97170</v>
      </c>
      <c r="X966" s="15">
        <f>Table1[[#This Row],[Sub Total]]-Table1[[#This Row],[Discount Rp]]</f>
        <v>874530</v>
      </c>
      <c r="Y966" s="15">
        <f ca="1">OFFSET(Helper!$C$3,MATCH(Data!$N$4:$N$1003,Helper!$C$4:$C$9,0),MATCH(Data!$O$4:$O$1003,Helper!$D$3:$F$3,0))</f>
        <v>5000</v>
      </c>
      <c r="Z966" s="16">
        <f ca="1">Table1[[#This Row],[Order Total]]+Table1[[#This Row],[Shipping Cost]]</f>
        <v>879530</v>
      </c>
    </row>
    <row r="967" spans="1:26" ht="15.75" customHeight="1" x14ac:dyDescent="0.3">
      <c r="A967" s="9" t="s">
        <v>1872</v>
      </c>
      <c r="B967" s="18">
        <v>43877</v>
      </c>
      <c r="C967" s="10">
        <f>YEAR(Table1[[#This Row],[Order Date]])</f>
        <v>2020</v>
      </c>
      <c r="D967" s="10" t="s">
        <v>1873</v>
      </c>
      <c r="E967" s="10" t="s">
        <v>245</v>
      </c>
      <c r="F967" s="10" t="s">
        <v>71</v>
      </c>
      <c r="G967" s="10" t="s">
        <v>72</v>
      </c>
      <c r="H967" s="10" t="s">
        <v>146</v>
      </c>
      <c r="I967" s="10" t="str">
        <f>VLOOKUP(Table1[[#This Row],[Account Manager ID]],Table2[[Employee ID]:[Full Name]],4,FALSE)</f>
        <v>Kenari Rajasa</v>
      </c>
      <c r="J967" s="10" t="str">
        <f>INDEX(Employee!$D$4:$D$47,MATCH($H$4:$H$1003,Employee!$A$4:$A$47,0))</f>
        <v>Kenari Rajasa</v>
      </c>
      <c r="K967" s="10" t="s">
        <v>107</v>
      </c>
      <c r="L967" s="10" t="s">
        <v>272</v>
      </c>
      <c r="M967" s="10" t="s">
        <v>59</v>
      </c>
      <c r="N967" s="10" t="s">
        <v>60</v>
      </c>
      <c r="O967" s="10" t="s">
        <v>61</v>
      </c>
      <c r="P967" s="10">
        <v>43878</v>
      </c>
      <c r="Q967" s="15">
        <v>57600</v>
      </c>
      <c r="R967" s="15">
        <v>94500</v>
      </c>
      <c r="S967" s="15">
        <f>Table1[[#This Row],[Retail Price]]-Table1[[#This Row],[Cost Price]]</f>
        <v>36900</v>
      </c>
      <c r="T967" s="10">
        <v>35</v>
      </c>
      <c r="U967" s="15">
        <f>Table1[[#This Row],[Profit Margin]]*Table1[[#This Row],[Order Quantity]]</f>
        <v>1291500</v>
      </c>
      <c r="V967" s="11">
        <v>0.03</v>
      </c>
      <c r="W967" s="15">
        <f t="shared" si="15"/>
        <v>38745</v>
      </c>
      <c r="X967" s="15">
        <f>Table1[[#This Row],[Sub Total]]-Table1[[#This Row],[Discount Rp]]</f>
        <v>1252755</v>
      </c>
      <c r="Y967" s="15">
        <f ca="1">OFFSET(Helper!$C$3,MATCH(Data!$N$4:$N$1003,Helper!$C$4:$C$9,0),MATCH(Data!$O$4:$O$1003,Helper!$D$3:$F$3,0))</f>
        <v>15000</v>
      </c>
      <c r="Z967" s="16">
        <f ca="1">Table1[[#This Row],[Order Total]]+Table1[[#This Row],[Shipping Cost]]</f>
        <v>1267755</v>
      </c>
    </row>
    <row r="968" spans="1:26" ht="15.75" customHeight="1" x14ac:dyDescent="0.3">
      <c r="A968" s="9" t="s">
        <v>1874</v>
      </c>
      <c r="B968" s="18">
        <v>43879</v>
      </c>
      <c r="C968" s="10">
        <f>YEAR(Table1[[#This Row],[Order Date]])</f>
        <v>2020</v>
      </c>
      <c r="D968" s="10" t="s">
        <v>1875</v>
      </c>
      <c r="E968" s="10" t="s">
        <v>733</v>
      </c>
      <c r="F968" s="10" t="s">
        <v>71</v>
      </c>
      <c r="G968" s="10" t="s">
        <v>106</v>
      </c>
      <c r="H968" s="10" t="s">
        <v>112</v>
      </c>
      <c r="I968" s="10" t="str">
        <f>VLOOKUP(Table1[[#This Row],[Account Manager ID]],Table2[[Employee ID]:[Full Name]],4,FALSE)</f>
        <v>Paiman Firgantoro</v>
      </c>
      <c r="J968" s="10" t="str">
        <f>INDEX(Employee!$D$4:$D$47,MATCH($H$4:$H$1003,Employee!$A$4:$A$47,0))</f>
        <v>Paiman Firgantoro</v>
      </c>
      <c r="K968" s="10" t="s">
        <v>92</v>
      </c>
      <c r="L968" s="10" t="s">
        <v>465</v>
      </c>
      <c r="M968" s="10" t="s">
        <v>59</v>
      </c>
      <c r="N968" s="10" t="s">
        <v>60</v>
      </c>
      <c r="O968" s="10" t="s">
        <v>61</v>
      </c>
      <c r="P968" s="10">
        <v>43886</v>
      </c>
      <c r="Q968" s="15">
        <v>52500</v>
      </c>
      <c r="R968" s="15">
        <v>86100</v>
      </c>
      <c r="S968" s="15">
        <f>Table1[[#This Row],[Retail Price]]-Table1[[#This Row],[Cost Price]]</f>
        <v>33600</v>
      </c>
      <c r="T968" s="10">
        <v>5</v>
      </c>
      <c r="U968" s="15">
        <f>Table1[[#This Row],[Profit Margin]]*Table1[[#This Row],[Order Quantity]]</f>
        <v>168000</v>
      </c>
      <c r="V968" s="11">
        <v>7.0000000000000007E-2</v>
      </c>
      <c r="W968" s="15">
        <f t="shared" si="15"/>
        <v>11760.000000000002</v>
      </c>
      <c r="X968" s="15">
        <f>Table1[[#This Row],[Sub Total]]-Table1[[#This Row],[Discount Rp]]</f>
        <v>156240</v>
      </c>
      <c r="Y968" s="15">
        <f ca="1">OFFSET(Helper!$C$3,MATCH(Data!$N$4:$N$1003,Helper!$C$4:$C$9,0),MATCH(Data!$O$4:$O$1003,Helper!$D$3:$F$3,0))</f>
        <v>15000</v>
      </c>
      <c r="Z968" s="16">
        <f ca="1">Table1[[#This Row],[Order Total]]+Table1[[#This Row],[Shipping Cost]]</f>
        <v>171240</v>
      </c>
    </row>
    <row r="969" spans="1:26" ht="15.75" customHeight="1" x14ac:dyDescent="0.3">
      <c r="A969" s="9" t="s">
        <v>1876</v>
      </c>
      <c r="B969" s="18">
        <v>43882</v>
      </c>
      <c r="C969" s="10">
        <f>YEAR(Table1[[#This Row],[Order Date]])</f>
        <v>2020</v>
      </c>
      <c r="D969" s="10" t="s">
        <v>1877</v>
      </c>
      <c r="E969" s="10" t="s">
        <v>462</v>
      </c>
      <c r="F969" s="10" t="s">
        <v>71</v>
      </c>
      <c r="G969" s="10" t="s">
        <v>87</v>
      </c>
      <c r="H969" s="10" t="s">
        <v>112</v>
      </c>
      <c r="I969" s="10" t="str">
        <f>VLOOKUP(Table1[[#This Row],[Account Manager ID]],Table2[[Employee ID]:[Full Name]],4,FALSE)</f>
        <v>Paiman Firgantoro</v>
      </c>
      <c r="J969" s="10" t="str">
        <f>INDEX(Employee!$D$4:$D$47,MATCH($H$4:$H$1003,Employee!$A$4:$A$47,0))</f>
        <v>Paiman Firgantoro</v>
      </c>
      <c r="K969" s="10" t="s">
        <v>92</v>
      </c>
      <c r="L969" s="10" t="s">
        <v>291</v>
      </c>
      <c r="M969" s="10" t="s">
        <v>59</v>
      </c>
      <c r="N969" s="10" t="s">
        <v>60</v>
      </c>
      <c r="O969" s="10" t="s">
        <v>61</v>
      </c>
      <c r="P969" s="10">
        <v>43887</v>
      </c>
      <c r="Q969" s="15">
        <v>133800</v>
      </c>
      <c r="R969" s="15">
        <v>446100</v>
      </c>
      <c r="S969" s="15">
        <f>Table1[[#This Row],[Retail Price]]-Table1[[#This Row],[Cost Price]]</f>
        <v>312300</v>
      </c>
      <c r="T969" s="10">
        <v>31</v>
      </c>
      <c r="U969" s="15">
        <f>Table1[[#This Row],[Profit Margin]]*Table1[[#This Row],[Order Quantity]]</f>
        <v>9681300</v>
      </c>
      <c r="V969" s="11">
        <v>0</v>
      </c>
      <c r="W969" s="15">
        <f t="shared" si="15"/>
        <v>0</v>
      </c>
      <c r="X969" s="15">
        <f>Table1[[#This Row],[Sub Total]]-Table1[[#This Row],[Discount Rp]]</f>
        <v>9681300</v>
      </c>
      <c r="Y969" s="15">
        <f ca="1">OFFSET(Helper!$C$3,MATCH(Data!$N$4:$N$1003,Helper!$C$4:$C$9,0),MATCH(Data!$O$4:$O$1003,Helper!$D$3:$F$3,0))</f>
        <v>15000</v>
      </c>
      <c r="Z969" s="16">
        <f ca="1">Table1[[#This Row],[Order Total]]+Table1[[#This Row],[Shipping Cost]]</f>
        <v>9696300</v>
      </c>
    </row>
    <row r="970" spans="1:26" ht="15.75" customHeight="1" x14ac:dyDescent="0.3">
      <c r="A970" s="9" t="s">
        <v>1878</v>
      </c>
      <c r="B970" s="18">
        <v>43882</v>
      </c>
      <c r="C970" s="10">
        <f>YEAR(Table1[[#This Row],[Order Date]])</f>
        <v>2020</v>
      </c>
      <c r="D970" s="10" t="s">
        <v>502</v>
      </c>
      <c r="E970" s="10" t="s">
        <v>503</v>
      </c>
      <c r="F970" s="10" t="s">
        <v>261</v>
      </c>
      <c r="G970" s="10" t="s">
        <v>55</v>
      </c>
      <c r="H970" s="10" t="s">
        <v>316</v>
      </c>
      <c r="I970" s="10" t="str">
        <f>VLOOKUP(Table1[[#This Row],[Account Manager ID]],Table2[[Employee ID]:[Full Name]],4,FALSE)</f>
        <v>Sari Winarno</v>
      </c>
      <c r="J970" s="10" t="str">
        <f>INDEX(Employee!$D$4:$D$47,MATCH($H$4:$H$1003,Employee!$A$4:$A$47,0))</f>
        <v>Sari Winarno</v>
      </c>
      <c r="K970" s="10" t="s">
        <v>92</v>
      </c>
      <c r="L970" s="10" t="s">
        <v>894</v>
      </c>
      <c r="M970" s="10" t="s">
        <v>59</v>
      </c>
      <c r="N970" s="10" t="s">
        <v>67</v>
      </c>
      <c r="O970" s="10" t="s">
        <v>61</v>
      </c>
      <c r="P970" s="10">
        <v>43884</v>
      </c>
      <c r="Q970" s="15">
        <v>16350.000000000002</v>
      </c>
      <c r="R970" s="15">
        <v>27300</v>
      </c>
      <c r="S970" s="15">
        <f>Table1[[#This Row],[Retail Price]]-Table1[[#This Row],[Cost Price]]</f>
        <v>10949.999999999998</v>
      </c>
      <c r="T970" s="10">
        <v>40</v>
      </c>
      <c r="U970" s="15">
        <f>Table1[[#This Row],[Profit Margin]]*Table1[[#This Row],[Order Quantity]]</f>
        <v>437999.99999999994</v>
      </c>
      <c r="V970" s="11">
        <v>0.05</v>
      </c>
      <c r="W970" s="15">
        <f t="shared" si="15"/>
        <v>21900</v>
      </c>
      <c r="X970" s="15">
        <f>Table1[[#This Row],[Sub Total]]-Table1[[#This Row],[Discount Rp]]</f>
        <v>416099.99999999994</v>
      </c>
      <c r="Y970" s="15">
        <f ca="1">OFFSET(Helper!$C$3,MATCH(Data!$N$4:$N$1003,Helper!$C$4:$C$9,0),MATCH(Data!$O$4:$O$1003,Helper!$D$3:$F$3,0))</f>
        <v>5000</v>
      </c>
      <c r="Z970" s="16">
        <f ca="1">Table1[[#This Row],[Order Total]]+Table1[[#This Row],[Shipping Cost]]</f>
        <v>421099.99999999994</v>
      </c>
    </row>
    <row r="971" spans="1:26" ht="15.75" customHeight="1" x14ac:dyDescent="0.3">
      <c r="A971" s="9" t="s">
        <v>1879</v>
      </c>
      <c r="B971" s="18">
        <v>43882</v>
      </c>
      <c r="C971" s="10">
        <f>YEAR(Table1[[#This Row],[Order Date]])</f>
        <v>2020</v>
      </c>
      <c r="D971" s="10" t="s">
        <v>566</v>
      </c>
      <c r="E971" s="10" t="s">
        <v>129</v>
      </c>
      <c r="F971" s="10" t="s">
        <v>54</v>
      </c>
      <c r="G971" s="10" t="s">
        <v>87</v>
      </c>
      <c r="H971" s="10" t="s">
        <v>56</v>
      </c>
      <c r="I971" s="10" t="str">
        <f>VLOOKUP(Table1[[#This Row],[Account Manager ID]],Table2[[Employee ID]:[Full Name]],4,FALSE)</f>
        <v>Gaduh Pratama</v>
      </c>
      <c r="J971" s="10" t="str">
        <f>INDEX(Employee!$D$4:$D$47,MATCH($H$4:$H$1003,Employee!$A$4:$A$47,0))</f>
        <v>Gaduh Pratama</v>
      </c>
      <c r="K971" s="10" t="s">
        <v>107</v>
      </c>
      <c r="L971" s="10" t="s">
        <v>89</v>
      </c>
      <c r="M971" s="10" t="s">
        <v>59</v>
      </c>
      <c r="N971" s="10" t="s">
        <v>67</v>
      </c>
      <c r="O971" s="10" t="s">
        <v>61</v>
      </c>
      <c r="P971" s="10">
        <v>43882</v>
      </c>
      <c r="Q971" s="15">
        <v>13500</v>
      </c>
      <c r="R971" s="15">
        <v>31500</v>
      </c>
      <c r="S971" s="15">
        <f>Table1[[#This Row],[Retail Price]]-Table1[[#This Row],[Cost Price]]</f>
        <v>18000</v>
      </c>
      <c r="T971" s="10">
        <v>27</v>
      </c>
      <c r="U971" s="15">
        <f>Table1[[#This Row],[Profit Margin]]*Table1[[#This Row],[Order Quantity]]</f>
        <v>486000</v>
      </c>
      <c r="V971" s="11">
        <v>0.04</v>
      </c>
      <c r="W971" s="15">
        <f t="shared" si="15"/>
        <v>19440</v>
      </c>
      <c r="X971" s="15">
        <f>Table1[[#This Row],[Sub Total]]-Table1[[#This Row],[Discount Rp]]</f>
        <v>466560</v>
      </c>
      <c r="Y971" s="15">
        <f ca="1">OFFSET(Helper!$C$3,MATCH(Data!$N$4:$N$1003,Helper!$C$4:$C$9,0),MATCH(Data!$O$4:$O$1003,Helper!$D$3:$F$3,0))</f>
        <v>5000</v>
      </c>
      <c r="Z971" s="16">
        <f ca="1">Table1[[#This Row],[Order Total]]+Table1[[#This Row],[Shipping Cost]]</f>
        <v>471560</v>
      </c>
    </row>
    <row r="972" spans="1:26" ht="15.75" customHeight="1" x14ac:dyDescent="0.3">
      <c r="A972" s="9" t="s">
        <v>1880</v>
      </c>
      <c r="B972" s="18">
        <v>43883</v>
      </c>
      <c r="C972" s="10">
        <f>YEAR(Table1[[#This Row],[Order Date]])</f>
        <v>2020</v>
      </c>
      <c r="D972" s="10" t="s">
        <v>1881</v>
      </c>
      <c r="E972" s="10" t="s">
        <v>1617</v>
      </c>
      <c r="F972" s="10" t="s">
        <v>71</v>
      </c>
      <c r="G972" s="10" t="s">
        <v>72</v>
      </c>
      <c r="H972" s="10" t="s">
        <v>88</v>
      </c>
      <c r="I972" s="10" t="str">
        <f>VLOOKUP(Table1[[#This Row],[Account Manager ID]],Table2[[Employee ID]:[Full Name]],4,FALSE)</f>
        <v>Bagiya Sihombing</v>
      </c>
      <c r="J972" s="10" t="str">
        <f>INDEX(Employee!$D$4:$D$47,MATCH($H$4:$H$1003,Employee!$A$4:$A$47,0))</f>
        <v>Bagiya Sihombing</v>
      </c>
      <c r="K972" s="10" t="s">
        <v>57</v>
      </c>
      <c r="L972" s="10" t="s">
        <v>166</v>
      </c>
      <c r="M972" s="10" t="s">
        <v>59</v>
      </c>
      <c r="N972" s="10" t="s">
        <v>136</v>
      </c>
      <c r="O972" s="10" t="s">
        <v>61</v>
      </c>
      <c r="P972" s="10">
        <v>43885</v>
      </c>
      <c r="Q972" s="15">
        <v>14100</v>
      </c>
      <c r="R972" s="15">
        <v>31200</v>
      </c>
      <c r="S972" s="15">
        <f>Table1[[#This Row],[Retail Price]]-Table1[[#This Row],[Cost Price]]</f>
        <v>17100</v>
      </c>
      <c r="T972" s="10">
        <v>39</v>
      </c>
      <c r="U972" s="15">
        <f>Table1[[#This Row],[Profit Margin]]*Table1[[#This Row],[Order Quantity]]</f>
        <v>666900</v>
      </c>
      <c r="V972" s="11">
        <v>0.04</v>
      </c>
      <c r="W972" s="15">
        <f t="shared" si="15"/>
        <v>26676</v>
      </c>
      <c r="X972" s="15">
        <f>Table1[[#This Row],[Sub Total]]-Table1[[#This Row],[Discount Rp]]</f>
        <v>640224</v>
      </c>
      <c r="Y972" s="15">
        <f ca="1">OFFSET(Helper!$C$3,MATCH(Data!$N$4:$N$1003,Helper!$C$4:$C$9,0),MATCH(Data!$O$4:$O$1003,Helper!$D$3:$F$3,0))</f>
        <v>10000</v>
      </c>
      <c r="Z972" s="16">
        <f ca="1">Table1[[#This Row],[Order Total]]+Table1[[#This Row],[Shipping Cost]]</f>
        <v>650224</v>
      </c>
    </row>
    <row r="973" spans="1:26" ht="15.75" customHeight="1" x14ac:dyDescent="0.3">
      <c r="A973" s="9" t="s">
        <v>1882</v>
      </c>
      <c r="B973" s="18">
        <v>43884</v>
      </c>
      <c r="C973" s="10">
        <f>YEAR(Table1[[#This Row],[Order Date]])</f>
        <v>2020</v>
      </c>
      <c r="D973" s="10" t="s">
        <v>1488</v>
      </c>
      <c r="E973" s="10" t="s">
        <v>521</v>
      </c>
      <c r="F973" s="10" t="s">
        <v>71</v>
      </c>
      <c r="G973" s="10" t="s">
        <v>87</v>
      </c>
      <c r="H973" s="10" t="s">
        <v>88</v>
      </c>
      <c r="I973" s="10" t="str">
        <f>VLOOKUP(Table1[[#This Row],[Account Manager ID]],Table2[[Employee ID]:[Full Name]],4,FALSE)</f>
        <v>Bagiya Sihombing</v>
      </c>
      <c r="J973" s="10" t="str">
        <f>INDEX(Employee!$D$4:$D$47,MATCH($H$4:$H$1003,Employee!$A$4:$A$47,0))</f>
        <v>Bagiya Sihombing</v>
      </c>
      <c r="K973" s="10" t="s">
        <v>107</v>
      </c>
      <c r="L973" s="10" t="s">
        <v>300</v>
      </c>
      <c r="M973" s="10" t="s">
        <v>81</v>
      </c>
      <c r="N973" s="10" t="s">
        <v>136</v>
      </c>
      <c r="O973" s="10" t="s">
        <v>61</v>
      </c>
      <c r="P973" s="10">
        <v>43886</v>
      </c>
      <c r="Q973" s="15">
        <v>302700</v>
      </c>
      <c r="R973" s="15">
        <v>531150</v>
      </c>
      <c r="S973" s="15">
        <f>Table1[[#This Row],[Retail Price]]-Table1[[#This Row],[Cost Price]]</f>
        <v>228450</v>
      </c>
      <c r="T973" s="10">
        <v>21</v>
      </c>
      <c r="U973" s="15">
        <f>Table1[[#This Row],[Profit Margin]]*Table1[[#This Row],[Order Quantity]]</f>
        <v>4797450</v>
      </c>
      <c r="V973" s="11">
        <v>0.09</v>
      </c>
      <c r="W973" s="15">
        <f t="shared" si="15"/>
        <v>431770.5</v>
      </c>
      <c r="X973" s="15">
        <f>Table1[[#This Row],[Sub Total]]-Table1[[#This Row],[Discount Rp]]</f>
        <v>4365679.5</v>
      </c>
      <c r="Y973" s="15">
        <f ca="1">OFFSET(Helper!$C$3,MATCH(Data!$N$4:$N$1003,Helper!$C$4:$C$9,0),MATCH(Data!$O$4:$O$1003,Helper!$D$3:$F$3,0))</f>
        <v>10000</v>
      </c>
      <c r="Z973" s="16">
        <f ca="1">Table1[[#This Row],[Order Total]]+Table1[[#This Row],[Shipping Cost]]</f>
        <v>4375679.5</v>
      </c>
    </row>
    <row r="974" spans="1:26" ht="15.75" customHeight="1" x14ac:dyDescent="0.3">
      <c r="A974" s="9" t="s">
        <v>1883</v>
      </c>
      <c r="B974" s="18">
        <v>43886</v>
      </c>
      <c r="C974" s="10">
        <f>YEAR(Table1[[#This Row],[Order Date]])</f>
        <v>2020</v>
      </c>
      <c r="D974" s="10" t="s">
        <v>590</v>
      </c>
      <c r="E974" s="10" t="s">
        <v>579</v>
      </c>
      <c r="F974" s="10" t="s">
        <v>71</v>
      </c>
      <c r="G974" s="10" t="s">
        <v>106</v>
      </c>
      <c r="H974" s="10" t="s">
        <v>73</v>
      </c>
      <c r="I974" s="10" t="str">
        <f>VLOOKUP(Table1[[#This Row],[Account Manager ID]],Table2[[Employee ID]:[Full Name]],4,FALSE)</f>
        <v>Cinthia Gunawan</v>
      </c>
      <c r="J974" s="10" t="str">
        <f>INDEX(Employee!$D$4:$D$47,MATCH($H$4:$H$1003,Employee!$A$4:$A$47,0))</f>
        <v>Cinthia Gunawan</v>
      </c>
      <c r="K974" s="10" t="s">
        <v>107</v>
      </c>
      <c r="L974" s="10" t="s">
        <v>326</v>
      </c>
      <c r="M974" s="10" t="s">
        <v>59</v>
      </c>
      <c r="N974" s="10" t="s">
        <v>60</v>
      </c>
      <c r="O974" s="10" t="s">
        <v>61</v>
      </c>
      <c r="P974" s="10">
        <v>43886</v>
      </c>
      <c r="Q974" s="15">
        <v>297450</v>
      </c>
      <c r="R974" s="15">
        <v>464700</v>
      </c>
      <c r="S974" s="15">
        <f>Table1[[#This Row],[Retail Price]]-Table1[[#This Row],[Cost Price]]</f>
        <v>167250</v>
      </c>
      <c r="T974" s="10">
        <v>15</v>
      </c>
      <c r="U974" s="15">
        <f>Table1[[#This Row],[Profit Margin]]*Table1[[#This Row],[Order Quantity]]</f>
        <v>2508750</v>
      </c>
      <c r="V974" s="11">
        <v>0</v>
      </c>
      <c r="W974" s="15">
        <f t="shared" si="15"/>
        <v>0</v>
      </c>
      <c r="X974" s="15">
        <f>Table1[[#This Row],[Sub Total]]-Table1[[#This Row],[Discount Rp]]</f>
        <v>2508750</v>
      </c>
      <c r="Y974" s="15">
        <f ca="1">OFFSET(Helper!$C$3,MATCH(Data!$N$4:$N$1003,Helper!$C$4:$C$9,0),MATCH(Data!$O$4:$O$1003,Helper!$D$3:$F$3,0))</f>
        <v>15000</v>
      </c>
      <c r="Z974" s="16">
        <f ca="1">Table1[[#This Row],[Order Total]]+Table1[[#This Row],[Shipping Cost]]</f>
        <v>2523750</v>
      </c>
    </row>
    <row r="975" spans="1:26" ht="15.75" customHeight="1" x14ac:dyDescent="0.3">
      <c r="A975" s="9" t="s">
        <v>1884</v>
      </c>
      <c r="B975" s="18">
        <v>43887</v>
      </c>
      <c r="C975" s="10">
        <f>YEAR(Table1[[#This Row],[Order Date]])</f>
        <v>2020</v>
      </c>
      <c r="D975" s="10" t="s">
        <v>1885</v>
      </c>
      <c r="E975" s="10" t="s">
        <v>1433</v>
      </c>
      <c r="F975" s="10" t="s">
        <v>71</v>
      </c>
      <c r="G975" s="10" t="s">
        <v>106</v>
      </c>
      <c r="H975" s="10" t="s">
        <v>194</v>
      </c>
      <c r="I975" s="10" t="str">
        <f>VLOOKUP(Table1[[#This Row],[Account Manager ID]],Table2[[Employee ID]:[Full Name]],4,FALSE)</f>
        <v>Nabila Prakasa</v>
      </c>
      <c r="J975" s="10" t="str">
        <f>INDEX(Employee!$D$4:$D$47,MATCH($H$4:$H$1003,Employee!$A$4:$A$47,0))</f>
        <v>Nabila Prakasa</v>
      </c>
      <c r="K975" s="10" t="s">
        <v>92</v>
      </c>
      <c r="L975" s="10" t="s">
        <v>367</v>
      </c>
      <c r="M975" s="10" t="s">
        <v>59</v>
      </c>
      <c r="N975" s="10" t="s">
        <v>60</v>
      </c>
      <c r="O975" s="10" t="s">
        <v>61</v>
      </c>
      <c r="P975" s="10">
        <v>43889</v>
      </c>
      <c r="Q975" s="15">
        <v>29700</v>
      </c>
      <c r="R975" s="15">
        <v>47250</v>
      </c>
      <c r="S975" s="15">
        <f>Table1[[#This Row],[Retail Price]]-Table1[[#This Row],[Cost Price]]</f>
        <v>17550</v>
      </c>
      <c r="T975" s="10">
        <v>41</v>
      </c>
      <c r="U975" s="15">
        <f>Table1[[#This Row],[Profit Margin]]*Table1[[#This Row],[Order Quantity]]</f>
        <v>719550</v>
      </c>
      <c r="V975" s="11">
        <v>0.06</v>
      </c>
      <c r="W975" s="15">
        <f t="shared" si="15"/>
        <v>43173</v>
      </c>
      <c r="X975" s="15">
        <f>Table1[[#This Row],[Sub Total]]-Table1[[#This Row],[Discount Rp]]</f>
        <v>676377</v>
      </c>
      <c r="Y975" s="15">
        <f ca="1">OFFSET(Helper!$C$3,MATCH(Data!$N$4:$N$1003,Helper!$C$4:$C$9,0),MATCH(Data!$O$4:$O$1003,Helper!$D$3:$F$3,0))</f>
        <v>15000</v>
      </c>
      <c r="Z975" s="16">
        <f ca="1">Table1[[#This Row],[Order Total]]+Table1[[#This Row],[Shipping Cost]]</f>
        <v>691377</v>
      </c>
    </row>
    <row r="976" spans="1:26" ht="15.75" customHeight="1" x14ac:dyDescent="0.3">
      <c r="A976" s="9" t="s">
        <v>1886</v>
      </c>
      <c r="B976" s="18">
        <v>43888</v>
      </c>
      <c r="C976" s="10">
        <f>YEAR(Table1[[#This Row],[Order Date]])</f>
        <v>2020</v>
      </c>
      <c r="D976" s="10" t="s">
        <v>1887</v>
      </c>
      <c r="E976" s="10" t="s">
        <v>1888</v>
      </c>
      <c r="F976" s="10" t="s">
        <v>71</v>
      </c>
      <c r="G976" s="10" t="s">
        <v>72</v>
      </c>
      <c r="H976" s="10" t="s">
        <v>112</v>
      </c>
      <c r="I976" s="10" t="str">
        <f>VLOOKUP(Table1[[#This Row],[Account Manager ID]],Table2[[Employee ID]:[Full Name]],4,FALSE)</f>
        <v>Paiman Firgantoro</v>
      </c>
      <c r="J976" s="10" t="str">
        <f>INDEX(Employee!$D$4:$D$47,MATCH($H$4:$H$1003,Employee!$A$4:$A$47,0))</f>
        <v>Paiman Firgantoro</v>
      </c>
      <c r="K976" s="10" t="s">
        <v>117</v>
      </c>
      <c r="L976" s="10" t="s">
        <v>93</v>
      </c>
      <c r="M976" s="10" t="s">
        <v>59</v>
      </c>
      <c r="N976" s="10" t="s">
        <v>67</v>
      </c>
      <c r="O976" s="10" t="s">
        <v>61</v>
      </c>
      <c r="P976" s="10">
        <v>43889</v>
      </c>
      <c r="Q976" s="15">
        <v>16350.000000000002</v>
      </c>
      <c r="R976" s="15">
        <v>39000</v>
      </c>
      <c r="S976" s="15">
        <f>Table1[[#This Row],[Retail Price]]-Table1[[#This Row],[Cost Price]]</f>
        <v>22650</v>
      </c>
      <c r="T976" s="10">
        <v>11</v>
      </c>
      <c r="U976" s="15">
        <f>Table1[[#This Row],[Profit Margin]]*Table1[[#This Row],[Order Quantity]]</f>
        <v>249150</v>
      </c>
      <c r="V976" s="11">
        <v>0.09</v>
      </c>
      <c r="W976" s="15">
        <f t="shared" si="15"/>
        <v>22423.5</v>
      </c>
      <c r="X976" s="15">
        <f>Table1[[#This Row],[Sub Total]]-Table1[[#This Row],[Discount Rp]]</f>
        <v>226726.5</v>
      </c>
      <c r="Y976" s="15">
        <f ca="1">OFFSET(Helper!$C$3,MATCH(Data!$N$4:$N$1003,Helper!$C$4:$C$9,0),MATCH(Data!$O$4:$O$1003,Helper!$D$3:$F$3,0))</f>
        <v>5000</v>
      </c>
      <c r="Z976" s="16">
        <f ca="1">Table1[[#This Row],[Order Total]]+Table1[[#This Row],[Shipping Cost]]</f>
        <v>231726.5</v>
      </c>
    </row>
    <row r="977" spans="1:26" ht="15.75" customHeight="1" x14ac:dyDescent="0.3">
      <c r="A977" s="9" t="s">
        <v>1889</v>
      </c>
      <c r="B977" s="18">
        <v>43890</v>
      </c>
      <c r="C977" s="10">
        <f>YEAR(Table1[[#This Row],[Order Date]])</f>
        <v>2020</v>
      </c>
      <c r="D977" s="10" t="s">
        <v>1890</v>
      </c>
      <c r="E977" s="10" t="s">
        <v>539</v>
      </c>
      <c r="F977" s="10" t="s">
        <v>71</v>
      </c>
      <c r="G977" s="10" t="s">
        <v>72</v>
      </c>
      <c r="H977" s="10" t="s">
        <v>146</v>
      </c>
      <c r="I977" s="10" t="str">
        <f>VLOOKUP(Table1[[#This Row],[Account Manager ID]],Table2[[Employee ID]:[Full Name]],4,FALSE)</f>
        <v>Kenari Rajasa</v>
      </c>
      <c r="J977" s="10" t="str">
        <f>INDEX(Employee!$D$4:$D$47,MATCH($H$4:$H$1003,Employee!$A$4:$A$47,0))</f>
        <v>Kenari Rajasa</v>
      </c>
      <c r="K977" s="10" t="s">
        <v>57</v>
      </c>
      <c r="L977" s="10" t="s">
        <v>280</v>
      </c>
      <c r="M977" s="10" t="s">
        <v>59</v>
      </c>
      <c r="N977" s="10" t="s">
        <v>67</v>
      </c>
      <c r="O977" s="10" t="s">
        <v>61</v>
      </c>
      <c r="P977" s="10">
        <v>43890</v>
      </c>
      <c r="Q977" s="15">
        <v>34350</v>
      </c>
      <c r="R977" s="15">
        <v>53700</v>
      </c>
      <c r="S977" s="15">
        <f>Table1[[#This Row],[Retail Price]]-Table1[[#This Row],[Cost Price]]</f>
        <v>19350</v>
      </c>
      <c r="T977" s="10">
        <v>32</v>
      </c>
      <c r="U977" s="15">
        <f>Table1[[#This Row],[Profit Margin]]*Table1[[#This Row],[Order Quantity]]</f>
        <v>619200</v>
      </c>
      <c r="V977" s="11">
        <v>0.09</v>
      </c>
      <c r="W977" s="15">
        <f t="shared" si="15"/>
        <v>55728</v>
      </c>
      <c r="X977" s="15">
        <f>Table1[[#This Row],[Sub Total]]-Table1[[#This Row],[Discount Rp]]</f>
        <v>563472</v>
      </c>
      <c r="Y977" s="15">
        <f ca="1">OFFSET(Helper!$C$3,MATCH(Data!$N$4:$N$1003,Helper!$C$4:$C$9,0),MATCH(Data!$O$4:$O$1003,Helper!$D$3:$F$3,0))</f>
        <v>5000</v>
      </c>
      <c r="Z977" s="16">
        <f ca="1">Table1[[#This Row],[Order Total]]+Table1[[#This Row],[Shipping Cost]]</f>
        <v>568472</v>
      </c>
    </row>
    <row r="978" spans="1:26" ht="15.75" customHeight="1" x14ac:dyDescent="0.3">
      <c r="A978" s="9" t="s">
        <v>1891</v>
      </c>
      <c r="B978" s="18">
        <v>43891</v>
      </c>
      <c r="C978" s="10">
        <f>YEAR(Table1[[#This Row],[Order Date]])</f>
        <v>2020</v>
      </c>
      <c r="D978" s="10" t="s">
        <v>812</v>
      </c>
      <c r="E978" s="10" t="s">
        <v>813</v>
      </c>
      <c r="F978" s="10" t="s">
        <v>54</v>
      </c>
      <c r="G978" s="10" t="s">
        <v>106</v>
      </c>
      <c r="H978" s="10" t="s">
        <v>65</v>
      </c>
      <c r="I978" s="10" t="str">
        <f>VLOOKUP(Table1[[#This Row],[Account Manager ID]],Table2[[Employee ID]:[Full Name]],4,FALSE)</f>
        <v>Laras Nuraini</v>
      </c>
      <c r="J978" s="10" t="str">
        <f>INDEX(Employee!$D$4:$D$47,MATCH($H$4:$H$1003,Employee!$A$4:$A$47,0))</f>
        <v>Laras Nuraini</v>
      </c>
      <c r="K978" s="10" t="s">
        <v>57</v>
      </c>
      <c r="L978" s="10" t="s">
        <v>256</v>
      </c>
      <c r="M978" s="10" t="s">
        <v>59</v>
      </c>
      <c r="N978" s="10" t="s">
        <v>60</v>
      </c>
      <c r="O978" s="10" t="s">
        <v>61</v>
      </c>
      <c r="P978" s="10">
        <v>43893</v>
      </c>
      <c r="Q978" s="15">
        <v>204600</v>
      </c>
      <c r="R978" s="15">
        <v>314700</v>
      </c>
      <c r="S978" s="15">
        <f>Table1[[#This Row],[Retail Price]]-Table1[[#This Row],[Cost Price]]</f>
        <v>110100</v>
      </c>
      <c r="T978" s="10">
        <v>42</v>
      </c>
      <c r="U978" s="15">
        <f>Table1[[#This Row],[Profit Margin]]*Table1[[#This Row],[Order Quantity]]</f>
        <v>4624200</v>
      </c>
      <c r="V978" s="11">
        <v>0.1</v>
      </c>
      <c r="W978" s="15">
        <f t="shared" si="15"/>
        <v>462420</v>
      </c>
      <c r="X978" s="15">
        <f>Table1[[#This Row],[Sub Total]]-Table1[[#This Row],[Discount Rp]]</f>
        <v>4161780</v>
      </c>
      <c r="Y978" s="15">
        <f ca="1">OFFSET(Helper!$C$3,MATCH(Data!$N$4:$N$1003,Helper!$C$4:$C$9,0),MATCH(Data!$O$4:$O$1003,Helper!$D$3:$F$3,0))</f>
        <v>15000</v>
      </c>
      <c r="Z978" s="16">
        <f ca="1">Table1[[#This Row],[Order Total]]+Table1[[#This Row],[Shipping Cost]]</f>
        <v>4176780</v>
      </c>
    </row>
    <row r="979" spans="1:26" ht="15.75" customHeight="1" x14ac:dyDescent="0.3">
      <c r="A979" s="9" t="s">
        <v>1892</v>
      </c>
      <c r="B979" s="18">
        <v>43891</v>
      </c>
      <c r="C979" s="10">
        <f>YEAR(Table1[[#This Row],[Order Date]])</f>
        <v>2020</v>
      </c>
      <c r="D979" s="10" t="s">
        <v>694</v>
      </c>
      <c r="E979" s="10" t="s">
        <v>628</v>
      </c>
      <c r="F979" s="10" t="s">
        <v>71</v>
      </c>
      <c r="G979" s="10" t="s">
        <v>72</v>
      </c>
      <c r="H979" s="10" t="s">
        <v>304</v>
      </c>
      <c r="I979" s="10" t="str">
        <f>VLOOKUP(Table1[[#This Row],[Account Manager ID]],Table2[[Employee ID]:[Full Name]],4,FALSE)</f>
        <v>Sutan Tirtayasa Wasita</v>
      </c>
      <c r="J979" s="10" t="str">
        <f>INDEX(Employee!$D$4:$D$47,MATCH($H$4:$H$1003,Employee!$A$4:$A$47,0))</f>
        <v>Sutan Tirtayasa Wasita</v>
      </c>
      <c r="K979" s="10" t="s">
        <v>117</v>
      </c>
      <c r="L979" s="10" t="s">
        <v>591</v>
      </c>
      <c r="M979" s="10" t="s">
        <v>59</v>
      </c>
      <c r="N979" s="10" t="s">
        <v>60</v>
      </c>
      <c r="O979" s="10" t="s">
        <v>61</v>
      </c>
      <c r="P979" s="10">
        <v>43893</v>
      </c>
      <c r="Q979" s="15">
        <v>165600</v>
      </c>
      <c r="R979" s="15">
        <v>254700</v>
      </c>
      <c r="S979" s="15">
        <f>Table1[[#This Row],[Retail Price]]-Table1[[#This Row],[Cost Price]]</f>
        <v>89100</v>
      </c>
      <c r="T979" s="10">
        <v>46</v>
      </c>
      <c r="U979" s="15">
        <f>Table1[[#This Row],[Profit Margin]]*Table1[[#This Row],[Order Quantity]]</f>
        <v>4098600</v>
      </c>
      <c r="V979" s="11">
        <v>0.09</v>
      </c>
      <c r="W979" s="15">
        <f t="shared" si="15"/>
        <v>368874</v>
      </c>
      <c r="X979" s="15">
        <f>Table1[[#This Row],[Sub Total]]-Table1[[#This Row],[Discount Rp]]</f>
        <v>3729726</v>
      </c>
      <c r="Y979" s="15">
        <f ca="1">OFFSET(Helper!$C$3,MATCH(Data!$N$4:$N$1003,Helper!$C$4:$C$9,0),MATCH(Data!$O$4:$O$1003,Helper!$D$3:$F$3,0))</f>
        <v>15000</v>
      </c>
      <c r="Z979" s="16">
        <f ca="1">Table1[[#This Row],[Order Total]]+Table1[[#This Row],[Shipping Cost]]</f>
        <v>3744726</v>
      </c>
    </row>
    <row r="980" spans="1:26" ht="15.75" customHeight="1" x14ac:dyDescent="0.3">
      <c r="A980" s="9" t="s">
        <v>1893</v>
      </c>
      <c r="B980" s="18">
        <v>43894</v>
      </c>
      <c r="C980" s="10">
        <f>YEAR(Table1[[#This Row],[Order Date]])</f>
        <v>2020</v>
      </c>
      <c r="D980" s="10" t="s">
        <v>458</v>
      </c>
      <c r="E980" s="10" t="s">
        <v>189</v>
      </c>
      <c r="F980" s="10" t="s">
        <v>54</v>
      </c>
      <c r="G980" s="10" t="s">
        <v>55</v>
      </c>
      <c r="H980" s="10" t="s">
        <v>56</v>
      </c>
      <c r="I980" s="10" t="str">
        <f>VLOOKUP(Table1[[#This Row],[Account Manager ID]],Table2[[Employee ID]:[Full Name]],4,FALSE)</f>
        <v>Gaduh Pratama</v>
      </c>
      <c r="J980" s="10" t="str">
        <f>INDEX(Employee!$D$4:$D$47,MATCH($H$4:$H$1003,Employee!$A$4:$A$47,0))</f>
        <v>Gaduh Pratama</v>
      </c>
      <c r="K980" s="10" t="s">
        <v>74</v>
      </c>
      <c r="L980" s="10" t="s">
        <v>833</v>
      </c>
      <c r="M980" s="10" t="s">
        <v>59</v>
      </c>
      <c r="N980" s="10" t="s">
        <v>67</v>
      </c>
      <c r="O980" s="10" t="s">
        <v>61</v>
      </c>
      <c r="P980" s="10">
        <v>43895</v>
      </c>
      <c r="Q980" s="15">
        <v>15750</v>
      </c>
      <c r="R980" s="15">
        <v>29250</v>
      </c>
      <c r="S980" s="15">
        <f>Table1[[#This Row],[Retail Price]]-Table1[[#This Row],[Cost Price]]</f>
        <v>13500</v>
      </c>
      <c r="T980" s="10">
        <v>20</v>
      </c>
      <c r="U980" s="15">
        <f>Table1[[#This Row],[Profit Margin]]*Table1[[#This Row],[Order Quantity]]</f>
        <v>270000</v>
      </c>
      <c r="V980" s="11">
        <v>0.06</v>
      </c>
      <c r="W980" s="15">
        <f t="shared" si="15"/>
        <v>16200</v>
      </c>
      <c r="X980" s="15">
        <f>Table1[[#This Row],[Sub Total]]-Table1[[#This Row],[Discount Rp]]</f>
        <v>253800</v>
      </c>
      <c r="Y980" s="15">
        <f ca="1">OFFSET(Helper!$C$3,MATCH(Data!$N$4:$N$1003,Helper!$C$4:$C$9,0),MATCH(Data!$O$4:$O$1003,Helper!$D$3:$F$3,0))</f>
        <v>5000</v>
      </c>
      <c r="Z980" s="16">
        <f ca="1">Table1[[#This Row],[Order Total]]+Table1[[#This Row],[Shipping Cost]]</f>
        <v>258800</v>
      </c>
    </row>
    <row r="981" spans="1:26" ht="15.75" customHeight="1" x14ac:dyDescent="0.3">
      <c r="A981" s="9" t="s">
        <v>1894</v>
      </c>
      <c r="B981" s="18">
        <v>43896</v>
      </c>
      <c r="C981" s="10">
        <f>YEAR(Table1[[#This Row],[Order Date]])</f>
        <v>2020</v>
      </c>
      <c r="D981" s="10" t="s">
        <v>1895</v>
      </c>
      <c r="E981" s="10" t="s">
        <v>268</v>
      </c>
      <c r="F981" s="10" t="s">
        <v>71</v>
      </c>
      <c r="G981" s="10" t="s">
        <v>72</v>
      </c>
      <c r="H981" s="10" t="s">
        <v>155</v>
      </c>
      <c r="I981" s="10" t="str">
        <f>VLOOKUP(Table1[[#This Row],[Account Manager ID]],Table2[[Employee ID]:[Full Name]],4,FALSE)</f>
        <v>Puti Nadine Prakasa</v>
      </c>
      <c r="J981" s="10" t="str">
        <f>INDEX(Employee!$D$4:$D$47,MATCH($H$4:$H$1003,Employee!$A$4:$A$47,0))</f>
        <v>Puti Nadine Prakasa</v>
      </c>
      <c r="K981" s="10" t="s">
        <v>92</v>
      </c>
      <c r="L981" s="10" t="s">
        <v>162</v>
      </c>
      <c r="M981" s="10" t="s">
        <v>59</v>
      </c>
      <c r="N981" s="10" t="s">
        <v>60</v>
      </c>
      <c r="O981" s="10" t="s">
        <v>61</v>
      </c>
      <c r="P981" s="10">
        <v>43901</v>
      </c>
      <c r="Q981" s="15">
        <v>52800</v>
      </c>
      <c r="R981" s="15">
        <v>85200</v>
      </c>
      <c r="S981" s="15">
        <f>Table1[[#This Row],[Retail Price]]-Table1[[#This Row],[Cost Price]]</f>
        <v>32400</v>
      </c>
      <c r="T981" s="10">
        <v>10</v>
      </c>
      <c r="U981" s="15">
        <f>Table1[[#This Row],[Profit Margin]]*Table1[[#This Row],[Order Quantity]]</f>
        <v>324000</v>
      </c>
      <c r="V981" s="11">
        <v>0.09</v>
      </c>
      <c r="W981" s="15">
        <f t="shared" si="15"/>
        <v>29160</v>
      </c>
      <c r="X981" s="15">
        <f>Table1[[#This Row],[Sub Total]]-Table1[[#This Row],[Discount Rp]]</f>
        <v>294840</v>
      </c>
      <c r="Y981" s="15">
        <f ca="1">OFFSET(Helper!$C$3,MATCH(Data!$N$4:$N$1003,Helper!$C$4:$C$9,0),MATCH(Data!$O$4:$O$1003,Helper!$D$3:$F$3,0))</f>
        <v>15000</v>
      </c>
      <c r="Z981" s="16">
        <f ca="1">Table1[[#This Row],[Order Total]]+Table1[[#This Row],[Shipping Cost]]</f>
        <v>309840</v>
      </c>
    </row>
    <row r="982" spans="1:26" ht="15.75" customHeight="1" x14ac:dyDescent="0.3">
      <c r="A982" s="9" t="s">
        <v>1896</v>
      </c>
      <c r="B982" s="18">
        <v>43897</v>
      </c>
      <c r="C982" s="10">
        <f>YEAR(Table1[[#This Row],[Order Date]])</f>
        <v>2020</v>
      </c>
      <c r="D982" s="10" t="s">
        <v>1897</v>
      </c>
      <c r="E982" s="10" t="s">
        <v>241</v>
      </c>
      <c r="F982" s="10" t="s">
        <v>71</v>
      </c>
      <c r="G982" s="10" t="s">
        <v>72</v>
      </c>
      <c r="H982" s="10" t="s">
        <v>146</v>
      </c>
      <c r="I982" s="10" t="str">
        <f>VLOOKUP(Table1[[#This Row],[Account Manager ID]],Table2[[Employee ID]:[Full Name]],4,FALSE)</f>
        <v>Kenari Rajasa</v>
      </c>
      <c r="J982" s="10" t="str">
        <f>INDEX(Employee!$D$4:$D$47,MATCH($H$4:$H$1003,Employee!$A$4:$A$47,0))</f>
        <v>Kenari Rajasa</v>
      </c>
      <c r="K982" s="10" t="s">
        <v>74</v>
      </c>
      <c r="L982" s="10" t="s">
        <v>248</v>
      </c>
      <c r="M982" s="10" t="s">
        <v>59</v>
      </c>
      <c r="N982" s="10" t="s">
        <v>67</v>
      </c>
      <c r="O982" s="10" t="s">
        <v>61</v>
      </c>
      <c r="P982" s="10">
        <v>43899</v>
      </c>
      <c r="Q982" s="15">
        <v>56250</v>
      </c>
      <c r="R982" s="15">
        <v>106200</v>
      </c>
      <c r="S982" s="15">
        <f>Table1[[#This Row],[Retail Price]]-Table1[[#This Row],[Cost Price]]</f>
        <v>49950</v>
      </c>
      <c r="T982" s="10">
        <v>29</v>
      </c>
      <c r="U982" s="15">
        <f>Table1[[#This Row],[Profit Margin]]*Table1[[#This Row],[Order Quantity]]</f>
        <v>1448550</v>
      </c>
      <c r="V982" s="11">
        <v>7.0000000000000007E-2</v>
      </c>
      <c r="W982" s="15">
        <f t="shared" si="15"/>
        <v>101398.50000000001</v>
      </c>
      <c r="X982" s="15">
        <f>Table1[[#This Row],[Sub Total]]-Table1[[#This Row],[Discount Rp]]</f>
        <v>1347151.5</v>
      </c>
      <c r="Y982" s="15">
        <f ca="1">OFFSET(Helper!$C$3,MATCH(Data!$N$4:$N$1003,Helper!$C$4:$C$9,0),MATCH(Data!$O$4:$O$1003,Helper!$D$3:$F$3,0))</f>
        <v>5000</v>
      </c>
      <c r="Z982" s="16">
        <f ca="1">Table1[[#This Row],[Order Total]]+Table1[[#This Row],[Shipping Cost]]</f>
        <v>1352151.5</v>
      </c>
    </row>
    <row r="983" spans="1:26" ht="15.75" customHeight="1" x14ac:dyDescent="0.3">
      <c r="A983" s="9" t="s">
        <v>1898</v>
      </c>
      <c r="B983" s="18">
        <v>43900</v>
      </c>
      <c r="C983" s="10">
        <f>YEAR(Table1[[#This Row],[Order Date]])</f>
        <v>2020</v>
      </c>
      <c r="D983" s="10" t="s">
        <v>192</v>
      </c>
      <c r="E983" s="10" t="s">
        <v>193</v>
      </c>
      <c r="F983" s="10" t="s">
        <v>71</v>
      </c>
      <c r="G983" s="10" t="s">
        <v>106</v>
      </c>
      <c r="H983" s="10" t="s">
        <v>194</v>
      </c>
      <c r="I983" s="10" t="str">
        <f>VLOOKUP(Table1[[#This Row],[Account Manager ID]],Table2[[Employee ID]:[Full Name]],4,FALSE)</f>
        <v>Nabila Prakasa</v>
      </c>
      <c r="J983" s="10" t="str">
        <f>INDEX(Employee!$D$4:$D$47,MATCH($H$4:$H$1003,Employee!$A$4:$A$47,0))</f>
        <v>Nabila Prakasa</v>
      </c>
      <c r="K983" s="10" t="s">
        <v>117</v>
      </c>
      <c r="L983" s="10" t="s">
        <v>345</v>
      </c>
      <c r="M983" s="10" t="s">
        <v>59</v>
      </c>
      <c r="N983" s="10" t="s">
        <v>60</v>
      </c>
      <c r="O983" s="10" t="s">
        <v>61</v>
      </c>
      <c r="P983" s="10">
        <v>43902</v>
      </c>
      <c r="Q983" s="15">
        <v>51000</v>
      </c>
      <c r="R983" s="15">
        <v>81000</v>
      </c>
      <c r="S983" s="15">
        <f>Table1[[#This Row],[Retail Price]]-Table1[[#This Row],[Cost Price]]</f>
        <v>30000</v>
      </c>
      <c r="T983" s="10">
        <v>1</v>
      </c>
      <c r="U983" s="15">
        <f>Table1[[#This Row],[Profit Margin]]*Table1[[#This Row],[Order Quantity]]</f>
        <v>30000</v>
      </c>
      <c r="V983" s="11">
        <v>0</v>
      </c>
      <c r="W983" s="15">
        <f t="shared" si="15"/>
        <v>0</v>
      </c>
      <c r="X983" s="15">
        <f>Table1[[#This Row],[Sub Total]]-Table1[[#This Row],[Discount Rp]]</f>
        <v>30000</v>
      </c>
      <c r="Y983" s="15">
        <f ca="1">OFFSET(Helper!$C$3,MATCH(Data!$N$4:$N$1003,Helper!$C$4:$C$9,0),MATCH(Data!$O$4:$O$1003,Helper!$D$3:$F$3,0))</f>
        <v>15000</v>
      </c>
      <c r="Z983" s="16">
        <f ca="1">Table1[[#This Row],[Order Total]]+Table1[[#This Row],[Shipping Cost]]</f>
        <v>45000</v>
      </c>
    </row>
    <row r="984" spans="1:26" ht="15.75" customHeight="1" x14ac:dyDescent="0.3">
      <c r="A984" s="9" t="s">
        <v>1899</v>
      </c>
      <c r="B984" s="18">
        <v>43900</v>
      </c>
      <c r="C984" s="10">
        <f>YEAR(Table1[[#This Row],[Order Date]])</f>
        <v>2020</v>
      </c>
      <c r="D984" s="10" t="s">
        <v>1900</v>
      </c>
      <c r="E984" s="10" t="s">
        <v>485</v>
      </c>
      <c r="F984" s="10" t="s">
        <v>71</v>
      </c>
      <c r="G984" s="10" t="s">
        <v>55</v>
      </c>
      <c r="H984" s="10" t="s">
        <v>185</v>
      </c>
      <c r="I984" s="10" t="str">
        <f>VLOOKUP(Table1[[#This Row],[Account Manager ID]],Table2[[Employee ID]:[Full Name]],4,FALSE)</f>
        <v>Clara Prasetyo</v>
      </c>
      <c r="J984" s="10" t="str">
        <f>INDEX(Employee!$D$4:$D$47,MATCH($H$4:$H$1003,Employee!$A$4:$A$47,0))</f>
        <v>Clara Prasetyo</v>
      </c>
      <c r="K984" s="10" t="s">
        <v>117</v>
      </c>
      <c r="L984" s="10" t="s">
        <v>931</v>
      </c>
      <c r="M984" s="10" t="s">
        <v>59</v>
      </c>
      <c r="N984" s="10" t="s">
        <v>60</v>
      </c>
      <c r="O984" s="10" t="s">
        <v>61</v>
      </c>
      <c r="P984" s="10">
        <v>43902</v>
      </c>
      <c r="Q984" s="15">
        <v>27600</v>
      </c>
      <c r="R984" s="15">
        <v>43200</v>
      </c>
      <c r="S984" s="15">
        <f>Table1[[#This Row],[Retail Price]]-Table1[[#This Row],[Cost Price]]</f>
        <v>15600</v>
      </c>
      <c r="T984" s="10">
        <v>6</v>
      </c>
      <c r="U984" s="15">
        <f>Table1[[#This Row],[Profit Margin]]*Table1[[#This Row],[Order Quantity]]</f>
        <v>93600</v>
      </c>
      <c r="V984" s="11">
        <v>0.06</v>
      </c>
      <c r="W984" s="15">
        <f t="shared" si="15"/>
        <v>5616</v>
      </c>
      <c r="X984" s="15">
        <f>Table1[[#This Row],[Sub Total]]-Table1[[#This Row],[Discount Rp]]</f>
        <v>87984</v>
      </c>
      <c r="Y984" s="15">
        <f ca="1">OFFSET(Helper!$C$3,MATCH(Data!$N$4:$N$1003,Helper!$C$4:$C$9,0),MATCH(Data!$O$4:$O$1003,Helper!$D$3:$F$3,0))</f>
        <v>15000</v>
      </c>
      <c r="Z984" s="16">
        <f ca="1">Table1[[#This Row],[Order Total]]+Table1[[#This Row],[Shipping Cost]]</f>
        <v>102984</v>
      </c>
    </row>
    <row r="985" spans="1:26" ht="15.75" customHeight="1" x14ac:dyDescent="0.3">
      <c r="A985" s="9" t="s">
        <v>1901</v>
      </c>
      <c r="B985" s="18">
        <v>43900</v>
      </c>
      <c r="C985" s="10">
        <f>YEAR(Table1[[#This Row],[Order Date]])</f>
        <v>2020</v>
      </c>
      <c r="D985" s="10" t="s">
        <v>631</v>
      </c>
      <c r="E985" s="10" t="s">
        <v>70</v>
      </c>
      <c r="F985" s="10" t="s">
        <v>71</v>
      </c>
      <c r="G985" s="10" t="s">
        <v>87</v>
      </c>
      <c r="H985" s="10" t="s">
        <v>73</v>
      </c>
      <c r="I985" s="10" t="str">
        <f>VLOOKUP(Table1[[#This Row],[Account Manager ID]],Table2[[Employee ID]:[Full Name]],4,FALSE)</f>
        <v>Cinthia Gunawan</v>
      </c>
      <c r="J985" s="10" t="str">
        <f>INDEX(Employee!$D$4:$D$47,MATCH($H$4:$H$1003,Employee!$A$4:$A$47,0))</f>
        <v>Cinthia Gunawan</v>
      </c>
      <c r="K985" s="10" t="s">
        <v>92</v>
      </c>
      <c r="L985" s="10" t="s">
        <v>863</v>
      </c>
      <c r="M985" s="10" t="s">
        <v>59</v>
      </c>
      <c r="N985" s="10" t="s">
        <v>67</v>
      </c>
      <c r="O985" s="10" t="s">
        <v>61</v>
      </c>
      <c r="P985" s="10">
        <v>43904</v>
      </c>
      <c r="Q985" s="15">
        <v>13050</v>
      </c>
      <c r="R985" s="15">
        <v>27150</v>
      </c>
      <c r="S985" s="15">
        <f>Table1[[#This Row],[Retail Price]]-Table1[[#This Row],[Cost Price]]</f>
        <v>14100</v>
      </c>
      <c r="T985" s="10">
        <v>18</v>
      </c>
      <c r="U985" s="15">
        <f>Table1[[#This Row],[Profit Margin]]*Table1[[#This Row],[Order Quantity]]</f>
        <v>253800</v>
      </c>
      <c r="V985" s="11">
        <v>0.06</v>
      </c>
      <c r="W985" s="15">
        <f t="shared" si="15"/>
        <v>15228</v>
      </c>
      <c r="X985" s="15">
        <f>Table1[[#This Row],[Sub Total]]-Table1[[#This Row],[Discount Rp]]</f>
        <v>238572</v>
      </c>
      <c r="Y985" s="15">
        <f ca="1">OFFSET(Helper!$C$3,MATCH(Data!$N$4:$N$1003,Helper!$C$4:$C$9,0),MATCH(Data!$O$4:$O$1003,Helper!$D$3:$F$3,0))</f>
        <v>5000</v>
      </c>
      <c r="Z985" s="16">
        <f ca="1">Table1[[#This Row],[Order Total]]+Table1[[#This Row],[Shipping Cost]]</f>
        <v>243572</v>
      </c>
    </row>
    <row r="986" spans="1:26" ht="15.75" customHeight="1" x14ac:dyDescent="0.3">
      <c r="A986" s="9" t="s">
        <v>1902</v>
      </c>
      <c r="B986" s="18">
        <v>43901</v>
      </c>
      <c r="C986" s="10">
        <f>YEAR(Table1[[#This Row],[Order Date]])</f>
        <v>2020</v>
      </c>
      <c r="D986" s="10" t="s">
        <v>785</v>
      </c>
      <c r="E986" s="10" t="s">
        <v>159</v>
      </c>
      <c r="F986" s="10" t="s">
        <v>71</v>
      </c>
      <c r="G986" s="10" t="s">
        <v>72</v>
      </c>
      <c r="H986" s="10" t="s">
        <v>122</v>
      </c>
      <c r="I986" s="10" t="str">
        <f>VLOOKUP(Table1[[#This Row],[Account Manager ID]],Table2[[Employee ID]:[Full Name]],4,FALSE)</f>
        <v>Ophelia Mustofa</v>
      </c>
      <c r="J986" s="10" t="str">
        <f>INDEX(Employee!$D$4:$D$47,MATCH($H$4:$H$1003,Employee!$A$4:$A$47,0))</f>
        <v>Ophelia Mustofa</v>
      </c>
      <c r="K986" s="10" t="s">
        <v>107</v>
      </c>
      <c r="L986" s="10" t="s">
        <v>573</v>
      </c>
      <c r="M986" s="10" t="s">
        <v>81</v>
      </c>
      <c r="N986" s="10" t="s">
        <v>60</v>
      </c>
      <c r="O986" s="10" t="s">
        <v>61</v>
      </c>
      <c r="P986" s="10">
        <v>43903</v>
      </c>
      <c r="Q986" s="15">
        <v>936000</v>
      </c>
      <c r="R986" s="15">
        <v>2339850</v>
      </c>
      <c r="S986" s="15">
        <f>Table1[[#This Row],[Retail Price]]-Table1[[#This Row],[Cost Price]]</f>
        <v>1403850</v>
      </c>
      <c r="T986" s="10">
        <v>24</v>
      </c>
      <c r="U986" s="15">
        <f>Table1[[#This Row],[Profit Margin]]*Table1[[#This Row],[Order Quantity]]</f>
        <v>33692400</v>
      </c>
      <c r="V986" s="11">
        <v>0.04</v>
      </c>
      <c r="W986" s="15">
        <f t="shared" si="15"/>
        <v>1347696</v>
      </c>
      <c r="X986" s="15">
        <f>Table1[[#This Row],[Sub Total]]-Table1[[#This Row],[Discount Rp]]</f>
        <v>32344704</v>
      </c>
      <c r="Y986" s="15">
        <f ca="1">OFFSET(Helper!$C$3,MATCH(Data!$N$4:$N$1003,Helper!$C$4:$C$9,0),MATCH(Data!$O$4:$O$1003,Helper!$D$3:$F$3,0))</f>
        <v>15000</v>
      </c>
      <c r="Z986" s="16">
        <f ca="1">Table1[[#This Row],[Order Total]]+Table1[[#This Row],[Shipping Cost]]</f>
        <v>32359704</v>
      </c>
    </row>
    <row r="987" spans="1:26" ht="15.75" customHeight="1" x14ac:dyDescent="0.3">
      <c r="A987" s="9" t="s">
        <v>1903</v>
      </c>
      <c r="B987" s="18">
        <v>43901</v>
      </c>
      <c r="C987" s="10">
        <f>YEAR(Table1[[#This Row],[Order Date]])</f>
        <v>2020</v>
      </c>
      <c r="D987" s="10" t="s">
        <v>1091</v>
      </c>
      <c r="E987" s="10" t="s">
        <v>101</v>
      </c>
      <c r="F987" s="10" t="s">
        <v>71</v>
      </c>
      <c r="G987" s="10" t="s">
        <v>106</v>
      </c>
      <c r="H987" s="10" t="s">
        <v>97</v>
      </c>
      <c r="I987" s="10" t="str">
        <f>VLOOKUP(Table1[[#This Row],[Account Manager ID]],Table2[[Employee ID]:[Full Name]],4,FALSE)</f>
        <v>Violet Mentari</v>
      </c>
      <c r="J987" s="10" t="str">
        <f>INDEX(Employee!$D$4:$D$47,MATCH($H$4:$H$1003,Employee!$A$4:$A$47,0))</f>
        <v>Violet Mentari</v>
      </c>
      <c r="K987" s="10" t="s">
        <v>92</v>
      </c>
      <c r="L987" s="10" t="s">
        <v>406</v>
      </c>
      <c r="M987" s="10" t="s">
        <v>81</v>
      </c>
      <c r="N987" s="10" t="s">
        <v>82</v>
      </c>
      <c r="O987" s="10" t="s">
        <v>83</v>
      </c>
      <c r="P987" s="10">
        <v>43901</v>
      </c>
      <c r="Q987" s="15">
        <v>4184850</v>
      </c>
      <c r="R987" s="15">
        <v>6749850</v>
      </c>
      <c r="S987" s="15">
        <f>Table1[[#This Row],[Retail Price]]-Table1[[#This Row],[Cost Price]]</f>
        <v>2565000</v>
      </c>
      <c r="T987" s="10">
        <v>18</v>
      </c>
      <c r="U987" s="15">
        <f>Table1[[#This Row],[Profit Margin]]*Table1[[#This Row],[Order Quantity]]</f>
        <v>46170000</v>
      </c>
      <c r="V987" s="11">
        <v>0.09</v>
      </c>
      <c r="W987" s="15">
        <f t="shared" si="15"/>
        <v>4155300</v>
      </c>
      <c r="X987" s="15">
        <f>Table1[[#This Row],[Sub Total]]-Table1[[#This Row],[Discount Rp]]</f>
        <v>42014700</v>
      </c>
      <c r="Y987" s="15">
        <f ca="1">OFFSET(Helper!$C$3,MATCH(Data!$N$4:$N$1003,Helper!$C$4:$C$9,0),MATCH(Data!$O$4:$O$1003,Helper!$D$3:$F$3,0))</f>
        <v>500000</v>
      </c>
      <c r="Z987" s="16">
        <f ca="1">Table1[[#This Row],[Order Total]]+Table1[[#This Row],[Shipping Cost]]</f>
        <v>42514700</v>
      </c>
    </row>
    <row r="988" spans="1:26" ht="15.75" customHeight="1" x14ac:dyDescent="0.3">
      <c r="A988" s="9" t="s">
        <v>1904</v>
      </c>
      <c r="B988" s="18">
        <v>43902</v>
      </c>
      <c r="C988" s="10">
        <f>YEAR(Table1[[#This Row],[Order Date]])</f>
        <v>2020</v>
      </c>
      <c r="D988" s="10" t="s">
        <v>1149</v>
      </c>
      <c r="E988" s="10" t="s">
        <v>1150</v>
      </c>
      <c r="F988" s="10" t="s">
        <v>71</v>
      </c>
      <c r="G988" s="10" t="s">
        <v>106</v>
      </c>
      <c r="H988" s="10" t="s">
        <v>185</v>
      </c>
      <c r="I988" s="10" t="str">
        <f>VLOOKUP(Table1[[#This Row],[Account Manager ID]],Table2[[Employee ID]:[Full Name]],4,FALSE)</f>
        <v>Clara Prasetyo</v>
      </c>
      <c r="J988" s="10" t="str">
        <f>INDEX(Employee!$D$4:$D$47,MATCH($H$4:$H$1003,Employee!$A$4:$A$47,0))</f>
        <v>Clara Prasetyo</v>
      </c>
      <c r="K988" s="10" t="s">
        <v>74</v>
      </c>
      <c r="L988" s="10" t="s">
        <v>429</v>
      </c>
      <c r="M988" s="10" t="s">
        <v>59</v>
      </c>
      <c r="N988" s="10" t="s">
        <v>60</v>
      </c>
      <c r="O988" s="10" t="s">
        <v>61</v>
      </c>
      <c r="P988" s="10">
        <v>43903</v>
      </c>
      <c r="Q988" s="15">
        <v>29100</v>
      </c>
      <c r="R988" s="15">
        <v>46200</v>
      </c>
      <c r="S988" s="15">
        <f>Table1[[#This Row],[Retail Price]]-Table1[[#This Row],[Cost Price]]</f>
        <v>17100</v>
      </c>
      <c r="T988" s="10">
        <v>18</v>
      </c>
      <c r="U988" s="15">
        <f>Table1[[#This Row],[Profit Margin]]*Table1[[#This Row],[Order Quantity]]</f>
        <v>307800</v>
      </c>
      <c r="V988" s="11">
        <v>0.02</v>
      </c>
      <c r="W988" s="15">
        <f t="shared" si="15"/>
        <v>6156</v>
      </c>
      <c r="X988" s="15">
        <f>Table1[[#This Row],[Sub Total]]-Table1[[#This Row],[Discount Rp]]</f>
        <v>301644</v>
      </c>
      <c r="Y988" s="15">
        <f ca="1">OFFSET(Helper!$C$3,MATCH(Data!$N$4:$N$1003,Helper!$C$4:$C$9,0),MATCH(Data!$O$4:$O$1003,Helper!$D$3:$F$3,0))</f>
        <v>15000</v>
      </c>
      <c r="Z988" s="16">
        <f ca="1">Table1[[#This Row],[Order Total]]+Table1[[#This Row],[Shipping Cost]]</f>
        <v>316644</v>
      </c>
    </row>
    <row r="989" spans="1:26" ht="15.75" customHeight="1" x14ac:dyDescent="0.3">
      <c r="A989" s="9" t="s">
        <v>1905</v>
      </c>
      <c r="B989" s="18">
        <v>43902</v>
      </c>
      <c r="C989" s="10">
        <f>YEAR(Table1[[#This Row],[Order Date]])</f>
        <v>2020</v>
      </c>
      <c r="D989" s="10" t="s">
        <v>1225</v>
      </c>
      <c r="E989" s="10" t="s">
        <v>323</v>
      </c>
      <c r="F989" s="10" t="s">
        <v>71</v>
      </c>
      <c r="G989" s="10" t="s">
        <v>72</v>
      </c>
      <c r="H989" s="10" t="s">
        <v>194</v>
      </c>
      <c r="I989" s="10" t="str">
        <f>VLOOKUP(Table1[[#This Row],[Account Manager ID]],Table2[[Employee ID]:[Full Name]],4,FALSE)</f>
        <v>Nabila Prakasa</v>
      </c>
      <c r="J989" s="10" t="str">
        <f>INDEX(Employee!$D$4:$D$47,MATCH($H$4:$H$1003,Employee!$A$4:$A$47,0))</f>
        <v>Nabila Prakasa</v>
      </c>
      <c r="K989" s="10" t="s">
        <v>74</v>
      </c>
      <c r="L989" s="10" t="s">
        <v>753</v>
      </c>
      <c r="M989" s="10" t="s">
        <v>59</v>
      </c>
      <c r="N989" s="10" t="s">
        <v>67</v>
      </c>
      <c r="O989" s="10" t="s">
        <v>61</v>
      </c>
      <c r="P989" s="10">
        <v>43905</v>
      </c>
      <c r="Q989" s="15">
        <v>38850</v>
      </c>
      <c r="R989" s="15">
        <v>59700</v>
      </c>
      <c r="S989" s="15">
        <f>Table1[[#This Row],[Retail Price]]-Table1[[#This Row],[Cost Price]]</f>
        <v>20850</v>
      </c>
      <c r="T989" s="10">
        <v>11</v>
      </c>
      <c r="U989" s="15">
        <f>Table1[[#This Row],[Profit Margin]]*Table1[[#This Row],[Order Quantity]]</f>
        <v>229350</v>
      </c>
      <c r="V989" s="11">
        <v>7.0000000000000007E-2</v>
      </c>
      <c r="W989" s="15">
        <f t="shared" si="15"/>
        <v>16054.500000000002</v>
      </c>
      <c r="X989" s="15">
        <f>Table1[[#This Row],[Sub Total]]-Table1[[#This Row],[Discount Rp]]</f>
        <v>213295.5</v>
      </c>
      <c r="Y989" s="15">
        <f ca="1">OFFSET(Helper!$C$3,MATCH(Data!$N$4:$N$1003,Helper!$C$4:$C$9,0),MATCH(Data!$O$4:$O$1003,Helper!$D$3:$F$3,0))</f>
        <v>5000</v>
      </c>
      <c r="Z989" s="16">
        <f ca="1">Table1[[#This Row],[Order Total]]+Table1[[#This Row],[Shipping Cost]]</f>
        <v>218295.5</v>
      </c>
    </row>
    <row r="990" spans="1:26" ht="15.75" customHeight="1" x14ac:dyDescent="0.3">
      <c r="A990" s="12" t="s">
        <v>1906</v>
      </c>
      <c r="B990" s="18">
        <v>43903</v>
      </c>
      <c r="C990" s="10">
        <f>YEAR(Table1[[#This Row],[Order Date]])</f>
        <v>2020</v>
      </c>
      <c r="D990" s="10" t="s">
        <v>221</v>
      </c>
      <c r="E990" s="10" t="s">
        <v>222</v>
      </c>
      <c r="F990" s="10" t="s">
        <v>71</v>
      </c>
      <c r="G990" s="10" t="s">
        <v>106</v>
      </c>
      <c r="H990" s="10" t="s">
        <v>155</v>
      </c>
      <c r="I990" s="10" t="str">
        <f>VLOOKUP(Table1[[#This Row],[Account Manager ID]],Table2[[Employee ID]:[Full Name]],4,FALSE)</f>
        <v>Puti Nadine Prakasa</v>
      </c>
      <c r="J990" s="10" t="str">
        <f>INDEX(Employee!$D$4:$D$47,MATCH($H$4:$H$1003,Employee!$A$4:$A$47,0))</f>
        <v>Puti Nadine Prakasa</v>
      </c>
      <c r="K990" s="10" t="s">
        <v>107</v>
      </c>
      <c r="L990" s="10" t="s">
        <v>1168</v>
      </c>
      <c r="M990" s="10" t="s">
        <v>59</v>
      </c>
      <c r="N990" s="10" t="s">
        <v>67</v>
      </c>
      <c r="O990" s="10" t="s">
        <v>61</v>
      </c>
      <c r="P990" s="10">
        <v>43904</v>
      </c>
      <c r="Q990" s="15">
        <v>40200</v>
      </c>
      <c r="R990" s="15">
        <v>91200</v>
      </c>
      <c r="S990" s="15">
        <f>Table1[[#This Row],[Retail Price]]-Table1[[#This Row],[Cost Price]]</f>
        <v>51000</v>
      </c>
      <c r="T990" s="10">
        <v>49</v>
      </c>
      <c r="U990" s="15">
        <f>Table1[[#This Row],[Profit Margin]]*Table1[[#This Row],[Order Quantity]]</f>
        <v>2499000</v>
      </c>
      <c r="V990" s="11">
        <v>0.08</v>
      </c>
      <c r="W990" s="15">
        <f t="shared" si="15"/>
        <v>199920</v>
      </c>
      <c r="X990" s="15">
        <f>Table1[[#This Row],[Sub Total]]-Table1[[#This Row],[Discount Rp]]</f>
        <v>2299080</v>
      </c>
      <c r="Y990" s="15">
        <f ca="1">OFFSET(Helper!$C$3,MATCH(Data!$N$4:$N$1003,Helper!$C$4:$C$9,0),MATCH(Data!$O$4:$O$1003,Helper!$D$3:$F$3,0))</f>
        <v>5000</v>
      </c>
      <c r="Z990" s="16">
        <f ca="1">Table1[[#This Row],[Order Total]]+Table1[[#This Row],[Shipping Cost]]</f>
        <v>2304080</v>
      </c>
    </row>
    <row r="991" spans="1:26" ht="15.75" customHeight="1" x14ac:dyDescent="0.3">
      <c r="A991" s="9" t="s">
        <v>1907</v>
      </c>
      <c r="B991" s="18">
        <v>43905</v>
      </c>
      <c r="C991" s="10">
        <f>YEAR(Table1[[#This Row],[Order Date]])</f>
        <v>2020</v>
      </c>
      <c r="D991" s="10" t="s">
        <v>328</v>
      </c>
      <c r="E991" s="10" t="s">
        <v>70</v>
      </c>
      <c r="F991" s="10" t="s">
        <v>71</v>
      </c>
      <c r="G991" s="10" t="s">
        <v>87</v>
      </c>
      <c r="H991" s="10" t="s">
        <v>73</v>
      </c>
      <c r="I991" s="10" t="str">
        <f>VLOOKUP(Table1[[#This Row],[Account Manager ID]],Table2[[Employee ID]:[Full Name]],4,FALSE)</f>
        <v>Cinthia Gunawan</v>
      </c>
      <c r="J991" s="10" t="str">
        <f>INDEX(Employee!$D$4:$D$47,MATCH($H$4:$H$1003,Employee!$A$4:$A$47,0))</f>
        <v>Cinthia Gunawan</v>
      </c>
      <c r="K991" s="10" t="s">
        <v>57</v>
      </c>
      <c r="L991" s="10" t="s">
        <v>398</v>
      </c>
      <c r="M991" s="10" t="s">
        <v>81</v>
      </c>
      <c r="N991" s="10" t="s">
        <v>60</v>
      </c>
      <c r="O991" s="10" t="s">
        <v>61</v>
      </c>
      <c r="P991" s="10">
        <v>43906</v>
      </c>
      <c r="Q991" s="15">
        <v>817800</v>
      </c>
      <c r="R991" s="15">
        <v>1514550</v>
      </c>
      <c r="S991" s="15">
        <f>Table1[[#This Row],[Retail Price]]-Table1[[#This Row],[Cost Price]]</f>
        <v>696750</v>
      </c>
      <c r="T991" s="10">
        <v>42</v>
      </c>
      <c r="U991" s="15">
        <f>Table1[[#This Row],[Profit Margin]]*Table1[[#This Row],[Order Quantity]]</f>
        <v>29263500</v>
      </c>
      <c r="V991" s="11">
        <v>0.1</v>
      </c>
      <c r="W991" s="15">
        <f t="shared" si="15"/>
        <v>2926350</v>
      </c>
      <c r="X991" s="15">
        <f>Table1[[#This Row],[Sub Total]]-Table1[[#This Row],[Discount Rp]]</f>
        <v>26337150</v>
      </c>
      <c r="Y991" s="15">
        <f ca="1">OFFSET(Helper!$C$3,MATCH(Data!$N$4:$N$1003,Helper!$C$4:$C$9,0),MATCH(Data!$O$4:$O$1003,Helper!$D$3:$F$3,0))</f>
        <v>15000</v>
      </c>
      <c r="Z991" s="16">
        <f ca="1">Table1[[#This Row],[Order Total]]+Table1[[#This Row],[Shipping Cost]]</f>
        <v>26352150</v>
      </c>
    </row>
    <row r="992" spans="1:26" ht="15.75" customHeight="1" x14ac:dyDescent="0.3">
      <c r="A992" s="9" t="s">
        <v>1908</v>
      </c>
      <c r="B992" s="18">
        <v>43907</v>
      </c>
      <c r="C992" s="10">
        <f>YEAR(Table1[[#This Row],[Order Date]])</f>
        <v>2020</v>
      </c>
      <c r="D992" s="10" t="s">
        <v>286</v>
      </c>
      <c r="E992" s="10" t="s">
        <v>1251</v>
      </c>
      <c r="F992" s="10" t="s">
        <v>261</v>
      </c>
      <c r="G992" s="10" t="s">
        <v>106</v>
      </c>
      <c r="H992" s="10" t="s">
        <v>194</v>
      </c>
      <c r="I992" s="10" t="str">
        <f>VLOOKUP(Table1[[#This Row],[Account Manager ID]],Table2[[Employee ID]:[Full Name]],4,FALSE)</f>
        <v>Nabila Prakasa</v>
      </c>
      <c r="J992" s="10" t="str">
        <f>INDEX(Employee!$D$4:$D$47,MATCH($H$4:$H$1003,Employee!$A$4:$A$47,0))</f>
        <v>Nabila Prakasa</v>
      </c>
      <c r="K992" s="10" t="s">
        <v>117</v>
      </c>
      <c r="L992" s="10" t="s">
        <v>437</v>
      </c>
      <c r="M992" s="10" t="s">
        <v>59</v>
      </c>
      <c r="N992" s="10" t="s">
        <v>60</v>
      </c>
      <c r="O992" s="10" t="s">
        <v>61</v>
      </c>
      <c r="P992" s="10">
        <v>43909</v>
      </c>
      <c r="Q992" s="15">
        <v>27600</v>
      </c>
      <c r="R992" s="15">
        <v>43200</v>
      </c>
      <c r="S992" s="15">
        <f>Table1[[#This Row],[Retail Price]]-Table1[[#This Row],[Cost Price]]</f>
        <v>15600</v>
      </c>
      <c r="T992" s="10">
        <v>40</v>
      </c>
      <c r="U992" s="15">
        <f>Table1[[#This Row],[Profit Margin]]*Table1[[#This Row],[Order Quantity]]</f>
        <v>624000</v>
      </c>
      <c r="V992" s="11">
        <v>0</v>
      </c>
      <c r="W992" s="15">
        <f t="shared" si="15"/>
        <v>0</v>
      </c>
      <c r="X992" s="15">
        <f>Table1[[#This Row],[Sub Total]]-Table1[[#This Row],[Discount Rp]]</f>
        <v>624000</v>
      </c>
      <c r="Y992" s="15">
        <f ca="1">OFFSET(Helper!$C$3,MATCH(Data!$N$4:$N$1003,Helper!$C$4:$C$9,0),MATCH(Data!$O$4:$O$1003,Helper!$D$3:$F$3,0))</f>
        <v>15000</v>
      </c>
      <c r="Z992" s="16">
        <f ca="1">Table1[[#This Row],[Order Total]]+Table1[[#This Row],[Shipping Cost]]</f>
        <v>639000</v>
      </c>
    </row>
    <row r="993" spans="1:26" ht="15.75" customHeight="1" x14ac:dyDescent="0.3">
      <c r="A993" s="9" t="s">
        <v>1909</v>
      </c>
      <c r="B993" s="18">
        <v>43908</v>
      </c>
      <c r="C993" s="10">
        <f>YEAR(Table1[[#This Row],[Order Date]])</f>
        <v>2020</v>
      </c>
      <c r="D993" s="10" t="s">
        <v>1910</v>
      </c>
      <c r="E993" s="10" t="s">
        <v>449</v>
      </c>
      <c r="F993" s="10" t="s">
        <v>54</v>
      </c>
      <c r="G993" s="10" t="s">
        <v>55</v>
      </c>
      <c r="H993" s="10" t="s">
        <v>65</v>
      </c>
      <c r="I993" s="10" t="str">
        <f>VLOOKUP(Table1[[#This Row],[Account Manager ID]],Table2[[Employee ID]:[Full Name]],4,FALSE)</f>
        <v>Laras Nuraini</v>
      </c>
      <c r="J993" s="10" t="str">
        <f>INDEX(Employee!$D$4:$D$47,MATCH($H$4:$H$1003,Employee!$A$4:$A$47,0))</f>
        <v>Laras Nuraini</v>
      </c>
      <c r="K993" s="10" t="s">
        <v>57</v>
      </c>
      <c r="L993" s="10" t="s">
        <v>186</v>
      </c>
      <c r="M993" s="10" t="s">
        <v>81</v>
      </c>
      <c r="N993" s="10" t="s">
        <v>60</v>
      </c>
      <c r="O993" s="10" t="s">
        <v>61</v>
      </c>
      <c r="P993" s="10">
        <v>43909</v>
      </c>
      <c r="Q993" s="15">
        <v>95850</v>
      </c>
      <c r="R993" s="15">
        <v>299700</v>
      </c>
      <c r="S993" s="15">
        <f>Table1[[#This Row],[Retail Price]]-Table1[[#This Row],[Cost Price]]</f>
        <v>203850</v>
      </c>
      <c r="T993" s="10">
        <v>29</v>
      </c>
      <c r="U993" s="15">
        <f>Table1[[#This Row],[Profit Margin]]*Table1[[#This Row],[Order Quantity]]</f>
        <v>5911650</v>
      </c>
      <c r="V993" s="11">
        <v>0.06</v>
      </c>
      <c r="W993" s="15">
        <f t="shared" si="15"/>
        <v>354699</v>
      </c>
      <c r="X993" s="15">
        <f>Table1[[#This Row],[Sub Total]]-Table1[[#This Row],[Discount Rp]]</f>
        <v>5556951</v>
      </c>
      <c r="Y993" s="15">
        <f ca="1">OFFSET(Helper!$C$3,MATCH(Data!$N$4:$N$1003,Helper!$C$4:$C$9,0),MATCH(Data!$O$4:$O$1003,Helper!$D$3:$F$3,0))</f>
        <v>15000</v>
      </c>
      <c r="Z993" s="16">
        <f ca="1">Table1[[#This Row],[Order Total]]+Table1[[#This Row],[Shipping Cost]]</f>
        <v>5571951</v>
      </c>
    </row>
    <row r="994" spans="1:26" ht="15.75" customHeight="1" x14ac:dyDescent="0.3">
      <c r="A994" s="9" t="s">
        <v>1911</v>
      </c>
      <c r="B994" s="18">
        <v>43909</v>
      </c>
      <c r="C994" s="10">
        <f>YEAR(Table1[[#This Row],[Order Date]])</f>
        <v>2020</v>
      </c>
      <c r="D994" s="10" t="s">
        <v>1416</v>
      </c>
      <c r="E994" s="10" t="s">
        <v>145</v>
      </c>
      <c r="F994" s="10" t="s">
        <v>71</v>
      </c>
      <c r="G994" s="10" t="s">
        <v>72</v>
      </c>
      <c r="H994" s="10" t="s">
        <v>146</v>
      </c>
      <c r="I994" s="10" t="str">
        <f>VLOOKUP(Table1[[#This Row],[Account Manager ID]],Table2[[Employee ID]:[Full Name]],4,FALSE)</f>
        <v>Kenari Rajasa</v>
      </c>
      <c r="J994" s="10" t="str">
        <f>INDEX(Employee!$D$4:$D$47,MATCH($H$4:$H$1003,Employee!$A$4:$A$47,0))</f>
        <v>Kenari Rajasa</v>
      </c>
      <c r="K994" s="10" t="s">
        <v>57</v>
      </c>
      <c r="L994" s="10" t="s">
        <v>450</v>
      </c>
      <c r="M994" s="10" t="s">
        <v>59</v>
      </c>
      <c r="N994" s="10" t="s">
        <v>136</v>
      </c>
      <c r="O994" s="10" t="s">
        <v>76</v>
      </c>
      <c r="P994" s="10">
        <v>43911</v>
      </c>
      <c r="Q994" s="15">
        <v>21900</v>
      </c>
      <c r="R994" s="15">
        <v>53550</v>
      </c>
      <c r="S994" s="15">
        <f>Table1[[#This Row],[Retail Price]]-Table1[[#This Row],[Cost Price]]</f>
        <v>31650</v>
      </c>
      <c r="T994" s="10">
        <v>10</v>
      </c>
      <c r="U994" s="15">
        <f>Table1[[#This Row],[Profit Margin]]*Table1[[#This Row],[Order Quantity]]</f>
        <v>316500</v>
      </c>
      <c r="V994" s="11">
        <v>0.01</v>
      </c>
      <c r="W994" s="15">
        <f t="shared" si="15"/>
        <v>3165</v>
      </c>
      <c r="X994" s="15">
        <f>Table1[[#This Row],[Sub Total]]-Table1[[#This Row],[Discount Rp]]</f>
        <v>313335</v>
      </c>
      <c r="Y994" s="15">
        <f ca="1">OFFSET(Helper!$C$3,MATCH(Data!$N$4:$N$1003,Helper!$C$4:$C$9,0),MATCH(Data!$O$4:$O$1003,Helper!$D$3:$F$3,0))</f>
        <v>20000</v>
      </c>
      <c r="Z994" s="16">
        <f ca="1">Table1[[#This Row],[Order Total]]+Table1[[#This Row],[Shipping Cost]]</f>
        <v>333335</v>
      </c>
    </row>
    <row r="995" spans="1:26" ht="15.75" customHeight="1" x14ac:dyDescent="0.3">
      <c r="A995" s="9" t="s">
        <v>1912</v>
      </c>
      <c r="B995" s="18">
        <v>43910</v>
      </c>
      <c r="C995" s="10">
        <f>YEAR(Table1[[#This Row],[Order Date]])</f>
        <v>2020</v>
      </c>
      <c r="D995" s="10" t="s">
        <v>673</v>
      </c>
      <c r="E995" s="10" t="s">
        <v>268</v>
      </c>
      <c r="F995" s="10" t="s">
        <v>71</v>
      </c>
      <c r="G995" s="10" t="s">
        <v>72</v>
      </c>
      <c r="H995" s="10" t="s">
        <v>73</v>
      </c>
      <c r="I995" s="10" t="str">
        <f>VLOOKUP(Table1[[#This Row],[Account Manager ID]],Table2[[Employee ID]:[Full Name]],4,FALSE)</f>
        <v>Cinthia Gunawan</v>
      </c>
      <c r="J995" s="10" t="str">
        <f>INDEX(Employee!$D$4:$D$47,MATCH($H$4:$H$1003,Employee!$A$4:$A$47,0))</f>
        <v>Cinthia Gunawan</v>
      </c>
      <c r="K995" s="10" t="s">
        <v>92</v>
      </c>
      <c r="L995" s="10" t="s">
        <v>190</v>
      </c>
      <c r="M995" s="10" t="s">
        <v>81</v>
      </c>
      <c r="N995" s="10" t="s">
        <v>60</v>
      </c>
      <c r="O995" s="10" t="s">
        <v>61</v>
      </c>
      <c r="P995" s="10">
        <v>43912</v>
      </c>
      <c r="Q995" s="15">
        <v>480300.00000000006</v>
      </c>
      <c r="R995" s="15">
        <v>2287200</v>
      </c>
      <c r="S995" s="15">
        <f>Table1[[#This Row],[Retail Price]]-Table1[[#This Row],[Cost Price]]</f>
        <v>1806900</v>
      </c>
      <c r="T995" s="10">
        <v>46</v>
      </c>
      <c r="U995" s="15">
        <f>Table1[[#This Row],[Profit Margin]]*Table1[[#This Row],[Order Quantity]]</f>
        <v>83117400</v>
      </c>
      <c r="V995" s="11">
        <v>0.01</v>
      </c>
      <c r="W995" s="15">
        <f t="shared" si="15"/>
        <v>831174</v>
      </c>
      <c r="X995" s="15">
        <f>Table1[[#This Row],[Sub Total]]-Table1[[#This Row],[Discount Rp]]</f>
        <v>82286226</v>
      </c>
      <c r="Y995" s="15">
        <f ca="1">OFFSET(Helper!$C$3,MATCH(Data!$N$4:$N$1003,Helper!$C$4:$C$9,0),MATCH(Data!$O$4:$O$1003,Helper!$D$3:$F$3,0))</f>
        <v>15000</v>
      </c>
      <c r="Z995" s="16">
        <f ca="1">Table1[[#This Row],[Order Total]]+Table1[[#This Row],[Shipping Cost]]</f>
        <v>82301226</v>
      </c>
    </row>
    <row r="996" spans="1:26" ht="15.75" customHeight="1" x14ac:dyDescent="0.3">
      <c r="A996" s="9" t="s">
        <v>1913</v>
      </c>
      <c r="B996" s="18">
        <v>43912</v>
      </c>
      <c r="C996" s="10">
        <f>YEAR(Table1[[#This Row],[Order Date]])</f>
        <v>2020</v>
      </c>
      <c r="D996" s="10" t="s">
        <v>311</v>
      </c>
      <c r="E996" s="10" t="s">
        <v>312</v>
      </c>
      <c r="F996" s="10" t="s">
        <v>71</v>
      </c>
      <c r="G996" s="10" t="s">
        <v>106</v>
      </c>
      <c r="H996" s="10" t="s">
        <v>88</v>
      </c>
      <c r="I996" s="10" t="str">
        <f>VLOOKUP(Table1[[#This Row],[Account Manager ID]],Table2[[Employee ID]:[Full Name]],4,FALSE)</f>
        <v>Bagiya Sihombing</v>
      </c>
      <c r="J996" s="10" t="str">
        <f>INDEX(Employee!$D$4:$D$47,MATCH($H$4:$H$1003,Employee!$A$4:$A$47,0))</f>
        <v>Bagiya Sihombing</v>
      </c>
      <c r="K996" s="10" t="s">
        <v>92</v>
      </c>
      <c r="L996" s="10" t="s">
        <v>142</v>
      </c>
      <c r="M996" s="10" t="s">
        <v>59</v>
      </c>
      <c r="N996" s="10" t="s">
        <v>60</v>
      </c>
      <c r="O996" s="10" t="s">
        <v>61</v>
      </c>
      <c r="P996" s="10">
        <v>43919</v>
      </c>
      <c r="Q996" s="15">
        <v>68850</v>
      </c>
      <c r="R996" s="15">
        <v>109200</v>
      </c>
      <c r="S996" s="15">
        <f>Table1[[#This Row],[Retail Price]]-Table1[[#This Row],[Cost Price]]</f>
        <v>40350</v>
      </c>
      <c r="T996" s="10">
        <v>18</v>
      </c>
      <c r="U996" s="15">
        <f>Table1[[#This Row],[Profit Margin]]*Table1[[#This Row],[Order Quantity]]</f>
        <v>726300</v>
      </c>
      <c r="V996" s="11">
        <v>0.09</v>
      </c>
      <c r="W996" s="15">
        <f t="shared" si="15"/>
        <v>65367</v>
      </c>
      <c r="X996" s="15">
        <f>Table1[[#This Row],[Sub Total]]-Table1[[#This Row],[Discount Rp]]</f>
        <v>660933</v>
      </c>
      <c r="Y996" s="15">
        <f ca="1">OFFSET(Helper!$C$3,MATCH(Data!$N$4:$N$1003,Helper!$C$4:$C$9,0),MATCH(Data!$O$4:$O$1003,Helper!$D$3:$F$3,0))</f>
        <v>15000</v>
      </c>
      <c r="Z996" s="16">
        <f ca="1">Table1[[#This Row],[Order Total]]+Table1[[#This Row],[Shipping Cost]]</f>
        <v>675933</v>
      </c>
    </row>
    <row r="997" spans="1:26" ht="15.75" customHeight="1" x14ac:dyDescent="0.3">
      <c r="A997" s="9" t="s">
        <v>1914</v>
      </c>
      <c r="B997" s="18">
        <v>43912</v>
      </c>
      <c r="C997" s="10">
        <f>YEAR(Table1[[#This Row],[Order Date]])</f>
        <v>2020</v>
      </c>
      <c r="D997" s="10" t="s">
        <v>311</v>
      </c>
      <c r="E997" s="10" t="s">
        <v>312</v>
      </c>
      <c r="F997" s="10" t="s">
        <v>71</v>
      </c>
      <c r="G997" s="10" t="s">
        <v>106</v>
      </c>
      <c r="H997" s="10" t="s">
        <v>88</v>
      </c>
      <c r="I997" s="10" t="str">
        <f>VLOOKUP(Table1[[#This Row],[Account Manager ID]],Table2[[Employee ID]:[Full Name]],4,FALSE)</f>
        <v>Bagiya Sihombing</v>
      </c>
      <c r="J997" s="10" t="str">
        <f>INDEX(Employee!$D$4:$D$47,MATCH($H$4:$H$1003,Employee!$A$4:$A$47,0))</f>
        <v>Bagiya Sihombing</v>
      </c>
      <c r="K997" s="10" t="s">
        <v>92</v>
      </c>
      <c r="L997" s="10" t="s">
        <v>130</v>
      </c>
      <c r="M997" s="10" t="s">
        <v>59</v>
      </c>
      <c r="N997" s="10" t="s">
        <v>67</v>
      </c>
      <c r="O997" s="10" t="s">
        <v>61</v>
      </c>
      <c r="P997" s="10">
        <v>43916</v>
      </c>
      <c r="Q997" s="15">
        <v>10650</v>
      </c>
      <c r="R997" s="15">
        <v>17100</v>
      </c>
      <c r="S997" s="15">
        <f>Table1[[#This Row],[Retail Price]]-Table1[[#This Row],[Cost Price]]</f>
        <v>6450</v>
      </c>
      <c r="T997" s="10">
        <v>28</v>
      </c>
      <c r="U997" s="15">
        <f>Table1[[#This Row],[Profit Margin]]*Table1[[#This Row],[Order Quantity]]</f>
        <v>180600</v>
      </c>
      <c r="V997" s="11">
        <v>0.09</v>
      </c>
      <c r="W997" s="15">
        <f t="shared" si="15"/>
        <v>16254</v>
      </c>
      <c r="X997" s="15">
        <f>Table1[[#This Row],[Sub Total]]-Table1[[#This Row],[Discount Rp]]</f>
        <v>164346</v>
      </c>
      <c r="Y997" s="15">
        <f ca="1">OFFSET(Helper!$C$3,MATCH(Data!$N$4:$N$1003,Helper!$C$4:$C$9,0),MATCH(Data!$O$4:$O$1003,Helper!$D$3:$F$3,0))</f>
        <v>5000</v>
      </c>
      <c r="Z997" s="16">
        <f ca="1">Table1[[#This Row],[Order Total]]+Table1[[#This Row],[Shipping Cost]]</f>
        <v>169346</v>
      </c>
    </row>
    <row r="998" spans="1:26" ht="15.75" customHeight="1" x14ac:dyDescent="0.3">
      <c r="A998" s="9" t="s">
        <v>1915</v>
      </c>
      <c r="B998" s="18">
        <v>43912</v>
      </c>
      <c r="C998" s="10">
        <f>YEAR(Table1[[#This Row],[Order Date]])</f>
        <v>2020</v>
      </c>
      <c r="D998" s="10" t="s">
        <v>1916</v>
      </c>
      <c r="E998" s="10" t="s">
        <v>506</v>
      </c>
      <c r="F998" s="10" t="s">
        <v>54</v>
      </c>
      <c r="G998" s="10" t="s">
        <v>106</v>
      </c>
      <c r="H998" s="10" t="s">
        <v>56</v>
      </c>
      <c r="I998" s="10" t="str">
        <f>VLOOKUP(Table1[[#This Row],[Account Manager ID]],Table2[[Employee ID]:[Full Name]],4,FALSE)</f>
        <v>Gaduh Pratama</v>
      </c>
      <c r="J998" s="10" t="str">
        <f>INDEX(Employee!$D$4:$D$47,MATCH($H$4:$H$1003,Employee!$A$4:$A$47,0))</f>
        <v>Gaduh Pratama</v>
      </c>
      <c r="K998" s="10" t="s">
        <v>57</v>
      </c>
      <c r="L998" s="10" t="s">
        <v>546</v>
      </c>
      <c r="M998" s="10" t="s">
        <v>59</v>
      </c>
      <c r="N998" s="10" t="s">
        <v>60</v>
      </c>
      <c r="O998" s="10" t="s">
        <v>61</v>
      </c>
      <c r="P998" s="10">
        <v>43914</v>
      </c>
      <c r="Q998" s="15">
        <v>224250</v>
      </c>
      <c r="R998" s="15">
        <v>521399.99999999994</v>
      </c>
      <c r="S998" s="15">
        <f>Table1[[#This Row],[Retail Price]]-Table1[[#This Row],[Cost Price]]</f>
        <v>297149.99999999994</v>
      </c>
      <c r="T998" s="10">
        <v>10</v>
      </c>
      <c r="U998" s="15">
        <f>Table1[[#This Row],[Profit Margin]]*Table1[[#This Row],[Order Quantity]]</f>
        <v>2971499.9999999995</v>
      </c>
      <c r="V998" s="11">
        <v>0.06</v>
      </c>
      <c r="W998" s="15">
        <f t="shared" si="15"/>
        <v>178289.99999999997</v>
      </c>
      <c r="X998" s="15">
        <f>Table1[[#This Row],[Sub Total]]-Table1[[#This Row],[Discount Rp]]</f>
        <v>2793209.9999999995</v>
      </c>
      <c r="Y998" s="15">
        <f ca="1">OFFSET(Helper!$C$3,MATCH(Data!$N$4:$N$1003,Helper!$C$4:$C$9,0),MATCH(Data!$O$4:$O$1003,Helper!$D$3:$F$3,0))</f>
        <v>15000</v>
      </c>
      <c r="Z998" s="16">
        <f ca="1">Table1[[#This Row],[Order Total]]+Table1[[#This Row],[Shipping Cost]]</f>
        <v>2808209.9999999995</v>
      </c>
    </row>
    <row r="999" spans="1:26" ht="15.75" customHeight="1" x14ac:dyDescent="0.3">
      <c r="A999" s="9" t="s">
        <v>1917</v>
      </c>
      <c r="B999" s="18">
        <v>43913</v>
      </c>
      <c r="C999" s="10">
        <f>YEAR(Table1[[#This Row],[Order Date]])</f>
        <v>2020</v>
      </c>
      <c r="D999" s="10" t="s">
        <v>1322</v>
      </c>
      <c r="E999" s="10" t="s">
        <v>1051</v>
      </c>
      <c r="F999" s="10" t="s">
        <v>71</v>
      </c>
      <c r="G999" s="10" t="s">
        <v>72</v>
      </c>
      <c r="H999" s="10" t="s">
        <v>122</v>
      </c>
      <c r="I999" s="10" t="str">
        <f>VLOOKUP(Table1[[#This Row],[Account Manager ID]],Table2[[Employee ID]:[Full Name]],4,FALSE)</f>
        <v>Ophelia Mustofa</v>
      </c>
      <c r="J999" s="10" t="str">
        <f>INDEX(Employee!$D$4:$D$47,MATCH($H$4:$H$1003,Employee!$A$4:$A$47,0))</f>
        <v>Ophelia Mustofa</v>
      </c>
      <c r="K999" s="10" t="s">
        <v>57</v>
      </c>
      <c r="L999" s="10" t="s">
        <v>93</v>
      </c>
      <c r="M999" s="10" t="s">
        <v>59</v>
      </c>
      <c r="N999" s="10" t="s">
        <v>67</v>
      </c>
      <c r="O999" s="10" t="s">
        <v>61</v>
      </c>
      <c r="P999" s="10">
        <v>43914</v>
      </c>
      <c r="Q999" s="15">
        <v>16350.000000000002</v>
      </c>
      <c r="R999" s="15">
        <v>39000</v>
      </c>
      <c r="S999" s="15">
        <f>Table1[[#This Row],[Retail Price]]-Table1[[#This Row],[Cost Price]]</f>
        <v>22650</v>
      </c>
      <c r="T999" s="10">
        <v>8</v>
      </c>
      <c r="U999" s="15">
        <f>Table1[[#This Row],[Profit Margin]]*Table1[[#This Row],[Order Quantity]]</f>
        <v>181200</v>
      </c>
      <c r="V999" s="11">
        <v>0.02</v>
      </c>
      <c r="W999" s="15">
        <f t="shared" si="15"/>
        <v>3624</v>
      </c>
      <c r="X999" s="15">
        <f>Table1[[#This Row],[Sub Total]]-Table1[[#This Row],[Discount Rp]]</f>
        <v>177576</v>
      </c>
      <c r="Y999" s="15">
        <f ca="1">OFFSET(Helper!$C$3,MATCH(Data!$N$4:$N$1003,Helper!$C$4:$C$9,0),MATCH(Data!$O$4:$O$1003,Helper!$D$3:$F$3,0))</f>
        <v>5000</v>
      </c>
      <c r="Z999" s="16">
        <f ca="1">Table1[[#This Row],[Order Total]]+Table1[[#This Row],[Shipping Cost]]</f>
        <v>182576</v>
      </c>
    </row>
    <row r="1000" spans="1:26" ht="15.75" customHeight="1" x14ac:dyDescent="0.3">
      <c r="A1000" s="9" t="s">
        <v>1918</v>
      </c>
      <c r="B1000" s="18">
        <v>43914</v>
      </c>
      <c r="C1000" s="10">
        <f>YEAR(Table1[[#This Row],[Order Date]])</f>
        <v>2020</v>
      </c>
      <c r="D1000" s="10" t="s">
        <v>1039</v>
      </c>
      <c r="E1000" s="10" t="s">
        <v>572</v>
      </c>
      <c r="F1000" s="10" t="s">
        <v>261</v>
      </c>
      <c r="G1000" s="10" t="s">
        <v>72</v>
      </c>
      <c r="H1000" s="10" t="s">
        <v>146</v>
      </c>
      <c r="I1000" s="10" t="str">
        <f>VLOOKUP(Table1[[#This Row],[Account Manager ID]],Table2[[Employee ID]:[Full Name]],4,FALSE)</f>
        <v>Kenari Rajasa</v>
      </c>
      <c r="J1000" s="10" t="str">
        <f>INDEX(Employee!$D$4:$D$47,MATCH($H$4:$H$1003,Employee!$A$4:$A$47,0))</f>
        <v>Kenari Rajasa</v>
      </c>
      <c r="K1000" s="10" t="s">
        <v>74</v>
      </c>
      <c r="L1000" s="10" t="s">
        <v>394</v>
      </c>
      <c r="M1000" s="10" t="s">
        <v>59</v>
      </c>
      <c r="N1000" s="10" t="s">
        <v>67</v>
      </c>
      <c r="O1000" s="10" t="s">
        <v>61</v>
      </c>
      <c r="P1000" s="10">
        <v>43916</v>
      </c>
      <c r="Q1000" s="15">
        <v>3600</v>
      </c>
      <c r="R1000" s="15">
        <v>18900</v>
      </c>
      <c r="S1000" s="15">
        <f>Table1[[#This Row],[Retail Price]]-Table1[[#This Row],[Cost Price]]</f>
        <v>15300</v>
      </c>
      <c r="T1000" s="10">
        <v>37</v>
      </c>
      <c r="U1000" s="15">
        <f>Table1[[#This Row],[Profit Margin]]*Table1[[#This Row],[Order Quantity]]</f>
        <v>566100</v>
      </c>
      <c r="V1000" s="11">
        <v>0.03</v>
      </c>
      <c r="W1000" s="15">
        <f t="shared" si="15"/>
        <v>16983</v>
      </c>
      <c r="X1000" s="15">
        <f>Table1[[#This Row],[Sub Total]]-Table1[[#This Row],[Discount Rp]]</f>
        <v>549117</v>
      </c>
      <c r="Y1000" s="15">
        <f ca="1">OFFSET(Helper!$C$3,MATCH(Data!$N$4:$N$1003,Helper!$C$4:$C$9,0),MATCH(Data!$O$4:$O$1003,Helper!$D$3:$F$3,0))</f>
        <v>5000</v>
      </c>
      <c r="Z1000" s="16">
        <f ca="1">Table1[[#This Row],[Order Total]]+Table1[[#This Row],[Shipping Cost]]</f>
        <v>554117</v>
      </c>
    </row>
    <row r="1001" spans="1:26" ht="15.75" customHeight="1" x14ac:dyDescent="0.3">
      <c r="A1001" s="9" t="s">
        <v>1919</v>
      </c>
      <c r="B1001" s="18">
        <v>43914</v>
      </c>
      <c r="C1001" s="10">
        <f>YEAR(Table1[[#This Row],[Order Date]])</f>
        <v>2020</v>
      </c>
      <c r="D1001" s="10" t="s">
        <v>735</v>
      </c>
      <c r="E1001" s="10" t="s">
        <v>169</v>
      </c>
      <c r="F1001" s="10" t="s">
        <v>54</v>
      </c>
      <c r="G1001" s="10" t="s">
        <v>87</v>
      </c>
      <c r="H1001" s="10" t="s">
        <v>65</v>
      </c>
      <c r="I1001" s="10" t="str">
        <f>VLOOKUP(Table1[[#This Row],[Account Manager ID]],Table2[[Employee ID]:[Full Name]],4,FALSE)</f>
        <v>Laras Nuraini</v>
      </c>
      <c r="J1001" s="10" t="str">
        <f>INDEX(Employee!$D$4:$D$47,MATCH($H$4:$H$1003,Employee!$A$4:$A$47,0))</f>
        <v>Laras Nuraini</v>
      </c>
      <c r="K1001" s="10" t="s">
        <v>92</v>
      </c>
      <c r="L1001" s="10" t="s">
        <v>66</v>
      </c>
      <c r="M1001" s="10" t="s">
        <v>59</v>
      </c>
      <c r="N1001" s="10" t="s">
        <v>67</v>
      </c>
      <c r="O1001" s="10" t="s">
        <v>61</v>
      </c>
      <c r="P1001" s="10">
        <v>43918</v>
      </c>
      <c r="Q1001" s="15">
        <v>35850</v>
      </c>
      <c r="R1001" s="15">
        <v>63900</v>
      </c>
      <c r="S1001" s="15">
        <f>Table1[[#This Row],[Retail Price]]-Table1[[#This Row],[Cost Price]]</f>
        <v>28050</v>
      </c>
      <c r="T1001" s="10">
        <v>44</v>
      </c>
      <c r="U1001" s="15">
        <f>Table1[[#This Row],[Profit Margin]]*Table1[[#This Row],[Order Quantity]]</f>
        <v>1234200</v>
      </c>
      <c r="V1001" s="11">
        <v>0.01</v>
      </c>
      <c r="W1001" s="15">
        <f t="shared" si="15"/>
        <v>12342</v>
      </c>
      <c r="X1001" s="15">
        <f>Table1[[#This Row],[Sub Total]]-Table1[[#This Row],[Discount Rp]]</f>
        <v>1221858</v>
      </c>
      <c r="Y1001" s="15">
        <f ca="1">OFFSET(Helper!$C$3,MATCH(Data!$N$4:$N$1003,Helper!$C$4:$C$9,0),MATCH(Data!$O$4:$O$1003,Helper!$D$3:$F$3,0))</f>
        <v>5000</v>
      </c>
      <c r="Z1001" s="16">
        <f ca="1">Table1[[#This Row],[Order Total]]+Table1[[#This Row],[Shipping Cost]]</f>
        <v>1226858</v>
      </c>
    </row>
    <row r="1002" spans="1:26" ht="15.75" customHeight="1" x14ac:dyDescent="0.3">
      <c r="A1002" s="12" t="s">
        <v>1920</v>
      </c>
      <c r="B1002" s="18">
        <v>43914</v>
      </c>
      <c r="C1002" s="10">
        <f>YEAR(Table1[[#This Row],[Order Date]])</f>
        <v>2020</v>
      </c>
      <c r="D1002" s="10" t="s">
        <v>658</v>
      </c>
      <c r="E1002" s="10" t="s">
        <v>209</v>
      </c>
      <c r="F1002" s="10" t="s">
        <v>71</v>
      </c>
      <c r="G1002" s="10" t="s">
        <v>55</v>
      </c>
      <c r="H1002" s="10" t="s">
        <v>185</v>
      </c>
      <c r="I1002" s="10" t="str">
        <f>VLOOKUP(Table1[[#This Row],[Account Manager ID]],Table2[[Employee ID]:[Full Name]],4,FALSE)</f>
        <v>Clara Prasetyo</v>
      </c>
      <c r="J1002" s="10" t="str">
        <f>INDEX(Employee!$D$4:$D$47,MATCH($H$4:$H$1003,Employee!$A$4:$A$47,0))</f>
        <v>Clara Prasetyo</v>
      </c>
      <c r="K1002" s="10" t="s">
        <v>107</v>
      </c>
      <c r="L1002" s="10" t="s">
        <v>166</v>
      </c>
      <c r="M1002" s="10" t="s">
        <v>59</v>
      </c>
      <c r="N1002" s="10" t="s">
        <v>136</v>
      </c>
      <c r="O1002" s="10" t="s">
        <v>61</v>
      </c>
      <c r="P1002" s="10">
        <v>43916</v>
      </c>
      <c r="Q1002" s="15">
        <v>14100</v>
      </c>
      <c r="R1002" s="15">
        <v>31200</v>
      </c>
      <c r="S1002" s="15">
        <f>Table1[[#This Row],[Retail Price]]-Table1[[#This Row],[Cost Price]]</f>
        <v>17100</v>
      </c>
      <c r="T1002" s="10">
        <v>36</v>
      </c>
      <c r="U1002" s="15">
        <f>Table1[[#This Row],[Profit Margin]]*Table1[[#This Row],[Order Quantity]]</f>
        <v>615600</v>
      </c>
      <c r="V1002" s="11">
        <v>0.1</v>
      </c>
      <c r="W1002" s="15">
        <f t="shared" si="15"/>
        <v>61560</v>
      </c>
      <c r="X1002" s="15">
        <f>Table1[[#This Row],[Sub Total]]-Table1[[#This Row],[Discount Rp]]</f>
        <v>554040</v>
      </c>
      <c r="Y1002" s="15">
        <f ca="1">OFFSET(Helper!$C$3,MATCH(Data!$N$4:$N$1003,Helper!$C$4:$C$9,0),MATCH(Data!$O$4:$O$1003,Helper!$D$3:$F$3,0))</f>
        <v>10000</v>
      </c>
      <c r="Z1002" s="16">
        <f ca="1">Table1[[#This Row],[Order Total]]+Table1[[#This Row],[Shipping Cost]]</f>
        <v>564040</v>
      </c>
    </row>
    <row r="1003" spans="1:26" ht="15.75" customHeight="1" x14ac:dyDescent="0.3">
      <c r="A1003" s="9" t="s">
        <v>1921</v>
      </c>
      <c r="B1003" s="18">
        <v>43914</v>
      </c>
      <c r="C1003" s="10">
        <f>YEAR(Table1[[#This Row],[Order Date]])</f>
        <v>2020</v>
      </c>
      <c r="D1003" s="10" t="s">
        <v>244</v>
      </c>
      <c r="E1003" s="10" t="s">
        <v>245</v>
      </c>
      <c r="F1003" s="10" t="s">
        <v>71</v>
      </c>
      <c r="G1003" s="10" t="s">
        <v>72</v>
      </c>
      <c r="H1003" s="10" t="s">
        <v>146</v>
      </c>
      <c r="I1003" s="10" t="str">
        <f>VLOOKUP(Table1[[#This Row],[Account Manager ID]],Table2[[Employee ID]:[Full Name]],4,FALSE)</f>
        <v>Kenari Rajasa</v>
      </c>
      <c r="J1003" s="10" t="str">
        <f>INDEX(Employee!$D$4:$D$47,MATCH($H$4:$H$1003,Employee!$A$4:$A$47,0))</f>
        <v>Kenari Rajasa</v>
      </c>
      <c r="K1003" s="10" t="s">
        <v>92</v>
      </c>
      <c r="L1003" s="10" t="s">
        <v>151</v>
      </c>
      <c r="M1003" s="10" t="s">
        <v>59</v>
      </c>
      <c r="N1003" s="10" t="s">
        <v>67</v>
      </c>
      <c r="O1003" s="10" t="s">
        <v>61</v>
      </c>
      <c r="P1003" s="10">
        <v>43919</v>
      </c>
      <c r="Q1003" s="15">
        <v>27300</v>
      </c>
      <c r="R1003" s="15">
        <v>44700</v>
      </c>
      <c r="S1003" s="15">
        <f>Table1[[#This Row],[Retail Price]]-Table1[[#This Row],[Cost Price]]</f>
        <v>17400</v>
      </c>
      <c r="T1003" s="10">
        <v>45</v>
      </c>
      <c r="U1003" s="15">
        <f>Table1[[#This Row],[Profit Margin]]*Table1[[#This Row],[Order Quantity]]</f>
        <v>783000</v>
      </c>
      <c r="V1003" s="11">
        <v>0.05</v>
      </c>
      <c r="W1003" s="15">
        <f t="shared" si="15"/>
        <v>39150</v>
      </c>
      <c r="X1003" s="15">
        <f>Table1[[#This Row],[Sub Total]]-Table1[[#This Row],[Discount Rp]]</f>
        <v>743850</v>
      </c>
      <c r="Y1003" s="15">
        <f ca="1">OFFSET(Helper!$C$3,MATCH(Data!$N$4:$N$1003,Helper!$C$4:$C$9,0),MATCH(Data!$O$4:$O$1003,Helper!$D$3:$F$3,0))</f>
        <v>5000</v>
      </c>
      <c r="Z1003" s="16">
        <f ca="1">Table1[[#This Row],[Order Total]]+Table1[[#This Row],[Shipping Cost]]</f>
        <v>748850</v>
      </c>
    </row>
    <row r="1004" spans="1:26" ht="15.75" customHeight="1" x14ac:dyDescent="0.3">
      <c r="B1004" s="18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5"/>
      <c r="P1004" s="15"/>
      <c r="Q1004" s="15"/>
      <c r="R1004" s="10"/>
      <c r="S1004" s="15"/>
      <c r="T1004" s="11"/>
      <c r="U1004" s="15"/>
      <c r="V1004" s="15"/>
      <c r="W1004" s="15"/>
      <c r="X1004" s="16"/>
    </row>
    <row r="1005" spans="1:26" ht="15.75" customHeight="1" x14ac:dyDescent="0.3">
      <c r="B1005" s="18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5"/>
      <c r="P1005" s="15"/>
      <c r="Q1005" s="15"/>
      <c r="R1005" s="10"/>
      <c r="S1005" s="15"/>
      <c r="T1005" s="11"/>
      <c r="U1005" s="15"/>
      <c r="V1005" s="15"/>
      <c r="W1005" s="15"/>
      <c r="X1005" s="16"/>
    </row>
    <row r="1006" spans="1:26" ht="15.75" customHeight="1" x14ac:dyDescent="0.3">
      <c r="B1006" s="18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5"/>
      <c r="P1006" s="15"/>
      <c r="Q1006" s="15"/>
      <c r="R1006" s="10"/>
      <c r="S1006" s="15"/>
      <c r="T1006" s="11"/>
      <c r="U1006" s="15"/>
      <c r="V1006" s="15"/>
      <c r="W1006" s="15"/>
      <c r="X1006" s="16"/>
    </row>
    <row r="1007" spans="1:26" ht="15.75" customHeight="1" x14ac:dyDescent="0.3">
      <c r="B1007" s="18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5"/>
      <c r="P1007" s="15"/>
      <c r="Q1007" s="15"/>
      <c r="R1007" s="10"/>
      <c r="S1007" s="15"/>
      <c r="T1007" s="11"/>
      <c r="U1007" s="15"/>
      <c r="V1007" s="15"/>
      <c r="W1007" s="15"/>
      <c r="X1007" s="16"/>
    </row>
    <row r="1008" spans="1:26" ht="15.75" customHeight="1" x14ac:dyDescent="0.3">
      <c r="B1008" s="18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5"/>
      <c r="P1008" s="15"/>
      <c r="Q1008" s="15"/>
      <c r="R1008" s="10"/>
      <c r="S1008" s="15"/>
      <c r="T1008" s="11"/>
      <c r="U1008" s="15"/>
      <c r="V1008" s="15"/>
      <c r="W1008" s="15"/>
      <c r="X1008" s="16"/>
    </row>
    <row r="1009" spans="2:24" ht="15.75" customHeight="1" x14ac:dyDescent="0.3">
      <c r="B1009" s="18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5"/>
      <c r="P1009" s="15"/>
      <c r="Q1009" s="15"/>
      <c r="R1009" s="10"/>
      <c r="S1009" s="15"/>
      <c r="T1009" s="11"/>
      <c r="U1009" s="15"/>
      <c r="V1009" s="15"/>
      <c r="W1009" s="15"/>
      <c r="X1009" s="16"/>
    </row>
    <row r="1010" spans="2:24" ht="15.75" customHeight="1" x14ac:dyDescent="0.3">
      <c r="B1010" s="18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5"/>
      <c r="P1010" s="15"/>
      <c r="Q1010" s="15"/>
      <c r="R1010" s="10"/>
      <c r="S1010" s="15"/>
      <c r="T1010" s="11"/>
      <c r="U1010" s="15"/>
      <c r="V1010" s="15"/>
      <c r="W1010" s="15"/>
      <c r="X1010" s="16"/>
    </row>
    <row r="1011" spans="2:24" ht="15.75" customHeight="1" x14ac:dyDescent="0.3">
      <c r="B1011" s="18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5"/>
      <c r="P1011" s="15"/>
      <c r="Q1011" s="15"/>
      <c r="R1011" s="10"/>
      <c r="S1011" s="15"/>
      <c r="T1011" s="11"/>
      <c r="U1011" s="15"/>
      <c r="V1011" s="15"/>
      <c r="W1011" s="15"/>
      <c r="X1011" s="16"/>
    </row>
    <row r="1012" spans="2:24" ht="15.75" customHeight="1" x14ac:dyDescent="0.3">
      <c r="B1012" s="18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5"/>
      <c r="P1012" s="15"/>
      <c r="Q1012" s="15"/>
      <c r="R1012" s="10"/>
      <c r="S1012" s="15"/>
      <c r="T1012" s="11"/>
      <c r="U1012" s="15"/>
      <c r="V1012" s="15"/>
      <c r="W1012" s="15"/>
      <c r="X1012" s="16"/>
    </row>
    <row r="1013" spans="2:24" ht="15.75" customHeight="1" x14ac:dyDescent="0.3">
      <c r="B1013" s="18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5"/>
      <c r="P1013" s="15"/>
      <c r="Q1013" s="15"/>
      <c r="R1013" s="10"/>
      <c r="S1013" s="15"/>
      <c r="T1013" s="11"/>
      <c r="U1013" s="15"/>
      <c r="V1013" s="15"/>
      <c r="W1013" s="15"/>
      <c r="X1013" s="16"/>
    </row>
    <row r="1014" spans="2:24" ht="15.75" customHeight="1" x14ac:dyDescent="0.3">
      <c r="B1014" s="18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5"/>
      <c r="P1014" s="15"/>
      <c r="Q1014" s="15"/>
      <c r="R1014" s="10"/>
      <c r="S1014" s="15"/>
      <c r="T1014" s="11"/>
      <c r="U1014" s="15"/>
      <c r="V1014" s="15"/>
      <c r="W1014" s="15"/>
      <c r="X1014" s="16"/>
    </row>
    <row r="1015" spans="2:24" ht="15.75" customHeight="1" x14ac:dyDescent="0.3">
      <c r="B1015" s="18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5"/>
      <c r="P1015" s="15"/>
      <c r="Q1015" s="15"/>
      <c r="R1015" s="10"/>
      <c r="S1015" s="15"/>
      <c r="T1015" s="11"/>
      <c r="U1015" s="15"/>
      <c r="V1015" s="15"/>
      <c r="W1015" s="15"/>
      <c r="X1015" s="16"/>
    </row>
    <row r="1016" spans="2:24" ht="15.75" customHeight="1" x14ac:dyDescent="0.3">
      <c r="B1016" s="18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5"/>
      <c r="P1016" s="15"/>
      <c r="Q1016" s="15"/>
      <c r="R1016" s="10"/>
      <c r="S1016" s="15"/>
      <c r="T1016" s="11"/>
      <c r="U1016" s="15"/>
      <c r="V1016" s="15"/>
      <c r="W1016" s="15"/>
      <c r="X1016" s="16"/>
    </row>
    <row r="1017" spans="2:24" ht="15.75" customHeight="1" x14ac:dyDescent="0.3">
      <c r="B1017" s="18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5"/>
      <c r="P1017" s="15"/>
      <c r="Q1017" s="15"/>
      <c r="R1017" s="10"/>
      <c r="S1017" s="15"/>
      <c r="T1017" s="11"/>
      <c r="U1017" s="15"/>
      <c r="V1017" s="15"/>
      <c r="W1017" s="15"/>
      <c r="X1017" s="16"/>
    </row>
    <row r="1018" spans="2:24" ht="15.75" customHeight="1" x14ac:dyDescent="0.3">
      <c r="B1018" s="18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5"/>
      <c r="P1018" s="15"/>
      <c r="Q1018" s="15"/>
      <c r="R1018" s="10"/>
      <c r="S1018" s="15"/>
      <c r="T1018" s="11"/>
      <c r="U1018" s="15"/>
      <c r="V1018" s="15"/>
      <c r="W1018" s="15"/>
      <c r="X1018" s="16"/>
    </row>
    <row r="1019" spans="2:24" ht="15.75" customHeight="1" x14ac:dyDescent="0.3">
      <c r="B1019" s="18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5"/>
      <c r="P1019" s="15"/>
      <c r="Q1019" s="15"/>
      <c r="R1019" s="10"/>
      <c r="S1019" s="15"/>
      <c r="T1019" s="11"/>
      <c r="U1019" s="15"/>
      <c r="V1019" s="15"/>
      <c r="W1019" s="15"/>
      <c r="X1019" s="16"/>
    </row>
    <row r="1020" spans="2:24" ht="15.75" customHeight="1" x14ac:dyDescent="0.3">
      <c r="B1020" s="18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5"/>
      <c r="P1020" s="15"/>
      <c r="Q1020" s="15"/>
      <c r="R1020" s="10"/>
      <c r="S1020" s="15"/>
      <c r="T1020" s="11"/>
      <c r="U1020" s="15"/>
      <c r="V1020" s="15"/>
      <c r="W1020" s="15"/>
      <c r="X1020" s="16"/>
    </row>
    <row r="1021" spans="2:24" ht="15.75" customHeight="1" x14ac:dyDescent="0.3">
      <c r="B1021" s="18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5"/>
      <c r="P1021" s="15"/>
      <c r="Q1021" s="15"/>
      <c r="R1021" s="10"/>
      <c r="S1021" s="15"/>
      <c r="T1021" s="11"/>
      <c r="U1021" s="15"/>
      <c r="V1021" s="15"/>
      <c r="W1021" s="15"/>
      <c r="X1021" s="16"/>
    </row>
    <row r="1022" spans="2:24" ht="15.75" customHeight="1" x14ac:dyDescent="0.3">
      <c r="B1022" s="18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5"/>
      <c r="P1022" s="15"/>
      <c r="Q1022" s="15"/>
      <c r="R1022" s="10"/>
      <c r="S1022" s="15"/>
      <c r="T1022" s="11"/>
      <c r="U1022" s="15"/>
      <c r="V1022" s="15"/>
      <c r="W1022" s="15"/>
      <c r="X1022" s="16"/>
    </row>
    <row r="1023" spans="2:24" ht="15.75" customHeight="1" x14ac:dyDescent="0.3">
      <c r="B1023" s="18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5"/>
      <c r="P1023" s="15"/>
      <c r="Q1023" s="15"/>
      <c r="R1023" s="10"/>
      <c r="S1023" s="15"/>
      <c r="T1023" s="11"/>
      <c r="U1023" s="15"/>
      <c r="V1023" s="15"/>
      <c r="W1023" s="15"/>
      <c r="X1023" s="16"/>
    </row>
    <row r="1024" spans="2:24" ht="15.75" customHeight="1" x14ac:dyDescent="0.3">
      <c r="B1024" s="18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5"/>
      <c r="P1024" s="15"/>
      <c r="Q1024" s="15"/>
      <c r="R1024" s="10"/>
      <c r="S1024" s="15"/>
      <c r="T1024" s="11"/>
      <c r="U1024" s="15"/>
      <c r="V1024" s="15"/>
      <c r="W1024" s="15"/>
      <c r="X1024" s="16"/>
    </row>
    <row r="1025" spans="2:24" ht="15.75" customHeight="1" x14ac:dyDescent="0.3">
      <c r="B1025" s="18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5"/>
      <c r="P1025" s="15"/>
      <c r="Q1025" s="15"/>
      <c r="R1025" s="10"/>
      <c r="S1025" s="15"/>
      <c r="T1025" s="11"/>
      <c r="U1025" s="15"/>
      <c r="V1025" s="15"/>
      <c r="W1025" s="15"/>
      <c r="X1025" s="16"/>
    </row>
    <row r="1026" spans="2:24" ht="15.75" customHeight="1" x14ac:dyDescent="0.3">
      <c r="B1026" s="18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5"/>
      <c r="P1026" s="15"/>
      <c r="Q1026" s="15"/>
      <c r="R1026" s="10"/>
      <c r="S1026" s="15"/>
      <c r="T1026" s="11"/>
      <c r="U1026" s="15"/>
      <c r="V1026" s="15"/>
      <c r="W1026" s="15"/>
      <c r="X1026" s="16"/>
    </row>
    <row r="1027" spans="2:24" ht="15.75" customHeight="1" x14ac:dyDescent="0.3">
      <c r="B1027" s="18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5"/>
      <c r="P1027" s="15"/>
      <c r="Q1027" s="15"/>
      <c r="R1027" s="10"/>
      <c r="S1027" s="15"/>
      <c r="T1027" s="11"/>
      <c r="U1027" s="15"/>
      <c r="V1027" s="15"/>
      <c r="W1027" s="15"/>
      <c r="X1027" s="16"/>
    </row>
    <row r="1028" spans="2:24" ht="15.75" customHeight="1" x14ac:dyDescent="0.3">
      <c r="B1028" s="18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5"/>
      <c r="P1028" s="15"/>
      <c r="Q1028" s="15"/>
      <c r="R1028" s="10"/>
      <c r="S1028" s="15"/>
      <c r="T1028" s="11"/>
      <c r="U1028" s="15"/>
      <c r="V1028" s="15"/>
      <c r="W1028" s="15"/>
      <c r="X1028" s="16"/>
    </row>
    <row r="1029" spans="2:24" ht="15.75" customHeight="1" x14ac:dyDescent="0.3">
      <c r="B1029" s="18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5"/>
      <c r="P1029" s="15"/>
      <c r="Q1029" s="15"/>
      <c r="R1029" s="10"/>
      <c r="S1029" s="15"/>
      <c r="T1029" s="11"/>
      <c r="U1029" s="15"/>
      <c r="V1029" s="15"/>
      <c r="W1029" s="15"/>
      <c r="X1029" s="16"/>
    </row>
    <row r="1030" spans="2:24" ht="15.75" customHeight="1" x14ac:dyDescent="0.3">
      <c r="B1030" s="18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5"/>
      <c r="P1030" s="15"/>
      <c r="Q1030" s="15"/>
      <c r="R1030" s="10"/>
      <c r="S1030" s="15"/>
      <c r="T1030" s="11"/>
      <c r="U1030" s="15"/>
      <c r="V1030" s="15"/>
      <c r="W1030" s="15"/>
      <c r="X1030" s="16"/>
    </row>
    <row r="1031" spans="2:24" ht="15.75" customHeight="1" x14ac:dyDescent="0.3">
      <c r="B1031" s="18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5"/>
      <c r="P1031" s="15"/>
      <c r="Q1031" s="15"/>
      <c r="R1031" s="10"/>
      <c r="S1031" s="15"/>
      <c r="T1031" s="11"/>
      <c r="U1031" s="15"/>
      <c r="V1031" s="15"/>
      <c r="W1031" s="15"/>
      <c r="X1031" s="16"/>
    </row>
    <row r="1032" spans="2:24" ht="15.75" customHeight="1" x14ac:dyDescent="0.3">
      <c r="B1032" s="18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5"/>
      <c r="P1032" s="15"/>
      <c r="Q1032" s="15"/>
      <c r="R1032" s="10"/>
      <c r="S1032" s="15"/>
      <c r="T1032" s="11"/>
      <c r="U1032" s="15"/>
      <c r="V1032" s="15"/>
      <c r="W1032" s="15"/>
      <c r="X1032" s="16"/>
    </row>
    <row r="1033" spans="2:24" ht="15.75" customHeight="1" x14ac:dyDescent="0.3">
      <c r="B1033" s="18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5"/>
      <c r="P1033" s="15"/>
      <c r="Q1033" s="15"/>
      <c r="R1033" s="10"/>
      <c r="S1033" s="15"/>
      <c r="T1033" s="11"/>
      <c r="U1033" s="15"/>
      <c r="V1033" s="15"/>
      <c r="W1033" s="15"/>
      <c r="X1033" s="16"/>
    </row>
    <row r="1034" spans="2:24" ht="15.75" customHeight="1" x14ac:dyDescent="0.3">
      <c r="B1034" s="18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5"/>
      <c r="P1034" s="15"/>
      <c r="Q1034" s="15"/>
      <c r="R1034" s="10"/>
      <c r="S1034" s="15"/>
      <c r="T1034" s="11"/>
      <c r="U1034" s="15"/>
      <c r="V1034" s="15"/>
      <c r="W1034" s="15"/>
      <c r="X1034" s="16"/>
    </row>
    <row r="1035" spans="2:24" ht="15.75" customHeight="1" x14ac:dyDescent="0.3">
      <c r="B1035" s="18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5"/>
      <c r="P1035" s="15"/>
      <c r="Q1035" s="15"/>
      <c r="R1035" s="10"/>
      <c r="S1035" s="15"/>
      <c r="T1035" s="11"/>
      <c r="U1035" s="15"/>
      <c r="V1035" s="15"/>
      <c r="W1035" s="15"/>
      <c r="X1035" s="16"/>
    </row>
    <row r="1036" spans="2:24" ht="15.75" customHeight="1" x14ac:dyDescent="0.3">
      <c r="B1036" s="18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5"/>
      <c r="P1036" s="15"/>
      <c r="Q1036" s="15"/>
      <c r="R1036" s="10"/>
      <c r="S1036" s="15"/>
      <c r="T1036" s="11"/>
      <c r="U1036" s="15"/>
      <c r="V1036" s="15"/>
      <c r="W1036" s="15"/>
      <c r="X1036" s="16"/>
    </row>
    <row r="1037" spans="2:24" ht="15.75" customHeight="1" x14ac:dyDescent="0.3">
      <c r="B1037" s="18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5"/>
      <c r="P1037" s="15"/>
      <c r="Q1037" s="15"/>
      <c r="R1037" s="10"/>
      <c r="S1037" s="15"/>
      <c r="T1037" s="11"/>
      <c r="U1037" s="15"/>
      <c r="V1037" s="15"/>
      <c r="W1037" s="15"/>
      <c r="X1037" s="16"/>
    </row>
    <row r="1038" spans="2:24" ht="15.75" customHeight="1" x14ac:dyDescent="0.3">
      <c r="B1038" s="18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5"/>
      <c r="P1038" s="15"/>
      <c r="Q1038" s="15"/>
      <c r="R1038" s="10"/>
      <c r="S1038" s="15"/>
      <c r="T1038" s="11"/>
      <c r="U1038" s="15"/>
      <c r="V1038" s="15"/>
      <c r="W1038" s="15"/>
      <c r="X1038" s="16"/>
    </row>
    <row r="1039" spans="2:24" ht="15.75" customHeight="1" x14ac:dyDescent="0.3">
      <c r="B1039" s="18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5"/>
      <c r="P1039" s="15"/>
      <c r="Q1039" s="15"/>
      <c r="R1039" s="10"/>
      <c r="S1039" s="15"/>
      <c r="T1039" s="11"/>
      <c r="U1039" s="15"/>
      <c r="V1039" s="15"/>
      <c r="W1039" s="15"/>
      <c r="X1039" s="16"/>
    </row>
    <row r="1040" spans="2:24" ht="15.75" customHeight="1" x14ac:dyDescent="0.3">
      <c r="B1040" s="18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5"/>
      <c r="P1040" s="15"/>
      <c r="Q1040" s="15"/>
      <c r="R1040" s="10"/>
      <c r="S1040" s="15"/>
      <c r="T1040" s="11"/>
      <c r="U1040" s="15"/>
      <c r="V1040" s="15"/>
      <c r="W1040" s="15"/>
      <c r="X1040" s="16"/>
    </row>
    <row r="1041" spans="2:24" ht="15.75" customHeight="1" x14ac:dyDescent="0.3">
      <c r="B1041" s="18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5"/>
      <c r="P1041" s="15"/>
      <c r="Q1041" s="15"/>
      <c r="R1041" s="10"/>
      <c r="S1041" s="15"/>
      <c r="T1041" s="11"/>
      <c r="U1041" s="15"/>
      <c r="V1041" s="15"/>
      <c r="W1041" s="15"/>
      <c r="X1041" s="16"/>
    </row>
    <row r="1042" spans="2:24" ht="15.75" customHeight="1" x14ac:dyDescent="0.3">
      <c r="B1042" s="18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5"/>
      <c r="P1042" s="15"/>
      <c r="Q1042" s="15"/>
      <c r="R1042" s="10"/>
      <c r="S1042" s="15"/>
      <c r="T1042" s="11"/>
      <c r="U1042" s="15"/>
      <c r="V1042" s="15"/>
      <c r="W1042" s="15"/>
      <c r="X1042" s="16"/>
    </row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selection activeCell="D4" sqref="D4"/>
    </sheetView>
  </sheetViews>
  <sheetFormatPr defaultColWidth="14.44140625" defaultRowHeight="15" customHeight="1" x14ac:dyDescent="0.3"/>
  <cols>
    <col min="1" max="1" width="13.109375" customWidth="1"/>
    <col min="2" max="2" width="9.21875" bestFit="1" customWidth="1"/>
    <col min="3" max="3" width="14.6640625" bestFit="1" customWidth="1"/>
    <col min="4" max="4" width="19.77734375" bestFit="1" customWidth="1"/>
    <col min="5" max="5" width="33.21875" bestFit="1" customWidth="1"/>
    <col min="6" max="6" width="13.33203125" style="19" customWidth="1"/>
    <col min="7" max="7" width="12" style="21" bestFit="1" customWidth="1"/>
    <col min="8" max="8" width="12.77734375" customWidth="1"/>
    <col min="9" max="9" width="15.77734375" customWidth="1"/>
    <col min="10" max="10" width="15.6640625" bestFit="1" customWidth="1"/>
    <col min="11" max="11" width="14.6640625" bestFit="1" customWidth="1"/>
    <col min="12" max="12" width="7.109375" customWidth="1"/>
    <col min="13" max="13" width="10.109375" customWidth="1"/>
    <col min="14" max="14" width="10.5546875" bestFit="1" customWidth="1"/>
    <col min="15" max="26" width="8.6640625" customWidth="1"/>
  </cols>
  <sheetData>
    <row r="1" spans="1:14" ht="25.8" x14ac:dyDescent="0.5">
      <c r="A1" s="7" t="s">
        <v>1922</v>
      </c>
      <c r="M1" s="9" t="s">
        <v>1923</v>
      </c>
      <c r="N1" s="19">
        <f ca="1">NOW()</f>
        <v>44717.398825115743</v>
      </c>
    </row>
    <row r="2" spans="1:14" ht="15" customHeight="1" x14ac:dyDescent="0.3">
      <c r="D2" s="23" t="s">
        <v>2101</v>
      </c>
    </row>
    <row r="3" spans="1:14" ht="14.4" x14ac:dyDescent="0.3">
      <c r="A3" s="9" t="s">
        <v>1924</v>
      </c>
      <c r="B3" s="9" t="s">
        <v>1925</v>
      </c>
      <c r="C3" s="9" t="s">
        <v>1926</v>
      </c>
      <c r="D3" s="9" t="s">
        <v>1927</v>
      </c>
      <c r="E3" s="9" t="s">
        <v>1928</v>
      </c>
      <c r="F3" s="20" t="s">
        <v>1929</v>
      </c>
      <c r="G3" s="22" t="s">
        <v>1930</v>
      </c>
      <c r="H3" s="9" t="s">
        <v>1931</v>
      </c>
      <c r="I3" s="9" t="s">
        <v>1932</v>
      </c>
      <c r="J3" s="9" t="s">
        <v>1933</v>
      </c>
      <c r="K3" s="9" t="s">
        <v>1934</v>
      </c>
      <c r="L3" s="9" t="s">
        <v>1935</v>
      </c>
      <c r="M3" s="9" t="s">
        <v>12</v>
      </c>
      <c r="N3" s="9" t="s">
        <v>1936</v>
      </c>
    </row>
    <row r="4" spans="1:14" ht="14.4" x14ac:dyDescent="0.3">
      <c r="A4" s="9" t="s">
        <v>1937</v>
      </c>
      <c r="B4" s="9" t="s">
        <v>1938</v>
      </c>
      <c r="C4" s="9" t="s">
        <v>1939</v>
      </c>
      <c r="D4" t="str">
        <f>CONCATENATE(B4," ",C4)</f>
        <v>Raina Aryani</v>
      </c>
      <c r="E4" t="str">
        <f>LOWER(CONCATENATE(Table2[[#This Row],[First]],".",Table2[[#This Row],[Last]],"_","e@myskill.co.id"))</f>
        <v>raina.aryani_e@myskill.co.id</v>
      </c>
      <c r="F4" s="20">
        <v>35033</v>
      </c>
      <c r="G4" s="21">
        <f ca="1">YEARFRAC(Table2[[#This Row],[Date of Birth]],$N$1)</f>
        <v>26.513888888888889</v>
      </c>
      <c r="J4" s="9" t="s">
        <v>1940</v>
      </c>
      <c r="K4" s="9" t="s">
        <v>1941</v>
      </c>
      <c r="L4" t="str">
        <f>MID(Table2[[#This Row],[Location]],FIND(" ",Table2[[#This Row],[Location]])+1, FIND("-",Table2[[#This Row],[Location]])-FIND(" ",Table2[[#This Row],[Location]])-1)</f>
        <v>10</v>
      </c>
      <c r="M4" t="str">
        <f>LEFT(Table2[[#This Row],[Location]],FIND(" ",Table2[[#This Row],[Location]])-1)</f>
        <v>Surabaya</v>
      </c>
      <c r="N4" t="str">
        <f>RIGHT(Table2[[#This Row],[Location]],3)</f>
        <v>827</v>
      </c>
    </row>
    <row r="5" spans="1:14" ht="14.4" x14ac:dyDescent="0.3">
      <c r="A5" s="9" t="s">
        <v>1942</v>
      </c>
      <c r="B5" s="9" t="s">
        <v>1943</v>
      </c>
      <c r="C5" s="9" t="s">
        <v>1944</v>
      </c>
      <c r="D5" t="str">
        <f t="shared" ref="D5:D47" si="0">CONCATENATE(B5," ",C5)</f>
        <v>Tari Anggraini</v>
      </c>
      <c r="E5" t="str">
        <f>LOWER(CONCATENATE(Table2[[#This Row],[First]],".",Table2[[#This Row],[Last]],"_","e@myskill.co.id"))</f>
        <v>tari.anggraini_e@myskill.co.id</v>
      </c>
      <c r="F5" s="20">
        <v>32430</v>
      </c>
      <c r="G5" s="21">
        <f ca="1">YEARFRAC(Table2[[#This Row],[Date of Birth]],$N$1)</f>
        <v>33.641666666666666</v>
      </c>
      <c r="J5" s="9" t="s">
        <v>1945</v>
      </c>
      <c r="K5" s="9" t="s">
        <v>1946</v>
      </c>
      <c r="L5" t="str">
        <f>MID(Table2[[#This Row],[Location]],FIND(" ",Table2[[#This Row],[Location]])+1, FIND("-",Table2[[#This Row],[Location]])-FIND(" ",Table2[[#This Row],[Location]])-1)</f>
        <v>11</v>
      </c>
      <c r="M5" t="str">
        <f>LEFT(Table2[[#This Row],[Location]],FIND(" ",Table2[[#This Row],[Location]])-1)</f>
        <v>Jakarta</v>
      </c>
      <c r="N5" t="str">
        <f>RIGHT(Table2[[#This Row],[Location]],3)</f>
        <v>806</v>
      </c>
    </row>
    <row r="6" spans="1:14" ht="14.4" x14ac:dyDescent="0.3">
      <c r="A6" s="9" t="s">
        <v>1947</v>
      </c>
      <c r="B6" s="9" t="s">
        <v>1948</v>
      </c>
      <c r="C6" s="9" t="s">
        <v>1949</v>
      </c>
      <c r="D6" t="str">
        <f t="shared" si="0"/>
        <v>Karen Riyanti</v>
      </c>
      <c r="E6" t="str">
        <f>LOWER(CONCATENATE(Table2[[#This Row],[First]],".",Table2[[#This Row],[Last]],"_","e@myskill.co.id"))</f>
        <v>karen.riyanti_e@myskill.co.id</v>
      </c>
      <c r="F6" s="20">
        <v>30151</v>
      </c>
      <c r="G6" s="21">
        <f ca="1">YEARFRAC(Table2[[#This Row],[Date of Birth]],$N$1)</f>
        <v>39.87777777777778</v>
      </c>
      <c r="J6" s="9" t="s">
        <v>1950</v>
      </c>
      <c r="K6" s="9" t="s">
        <v>1951</v>
      </c>
      <c r="L6" t="str">
        <f>MID(Table2[[#This Row],[Location]],FIND(" ",Table2[[#This Row],[Location]])+1, FIND("-",Table2[[#This Row],[Location]])-FIND(" ",Table2[[#This Row],[Location]])-1)</f>
        <v>10</v>
      </c>
      <c r="M6" t="str">
        <f>LEFT(Table2[[#This Row],[Location]],FIND(" ",Table2[[#This Row],[Location]])-1)</f>
        <v>Jakarta</v>
      </c>
      <c r="N6" t="str">
        <f>RIGHT(Table2[[#This Row],[Location]],3)</f>
        <v>584</v>
      </c>
    </row>
    <row r="7" spans="1:14" ht="14.4" x14ac:dyDescent="0.3">
      <c r="A7" s="9" t="s">
        <v>1952</v>
      </c>
      <c r="B7" s="9" t="s">
        <v>1953</v>
      </c>
      <c r="C7" s="9" t="s">
        <v>1939</v>
      </c>
      <c r="D7" t="str">
        <f t="shared" si="0"/>
        <v>Titin Aryani</v>
      </c>
      <c r="E7" t="str">
        <f>LOWER(CONCATENATE(Table2[[#This Row],[First]],".",Table2[[#This Row],[Last]],"_","e@myskill.co.id"))</f>
        <v>titin.aryani_e@myskill.co.id</v>
      </c>
      <c r="F7" s="20">
        <v>36545</v>
      </c>
      <c r="G7" s="21">
        <f ca="1">YEARFRAC(Table2[[#This Row],[Date of Birth]],$N$1)</f>
        <v>22.375</v>
      </c>
      <c r="J7" s="9" t="s">
        <v>1954</v>
      </c>
      <c r="K7" s="9" t="s">
        <v>1955</v>
      </c>
      <c r="L7" t="str">
        <f>MID(Table2[[#This Row],[Location]],FIND(" ",Table2[[#This Row],[Location]])+1, FIND("-",Table2[[#This Row],[Location]])-FIND(" ",Table2[[#This Row],[Location]])-1)</f>
        <v>10</v>
      </c>
      <c r="M7" t="str">
        <f>LEFT(Table2[[#This Row],[Location]],FIND(" ",Table2[[#This Row],[Location]])-1)</f>
        <v>Jakarta</v>
      </c>
      <c r="N7" t="str">
        <f>RIGHT(Table2[[#This Row],[Location]],3)</f>
        <v>385</v>
      </c>
    </row>
    <row r="8" spans="1:14" ht="14.4" x14ac:dyDescent="0.3">
      <c r="A8" s="9" t="s">
        <v>1956</v>
      </c>
      <c r="B8" s="9" t="s">
        <v>1957</v>
      </c>
      <c r="C8" s="9" t="s">
        <v>1958</v>
      </c>
      <c r="D8" t="str">
        <f t="shared" si="0"/>
        <v>Ilsa Utami</v>
      </c>
      <c r="E8" t="str">
        <f>LOWER(CONCATENATE(Table2[[#This Row],[First]],".",Table2[[#This Row],[Last]],"_","e@myskill.co.id"))</f>
        <v>ilsa.utami_e@myskill.co.id</v>
      </c>
      <c r="F8" s="20">
        <v>33691</v>
      </c>
      <c r="G8" s="21">
        <f ca="1">YEARFRAC(Table2[[#This Row],[Date of Birth]],$N$1)</f>
        <v>30.18611111111111</v>
      </c>
      <c r="J8" s="9" t="s">
        <v>1959</v>
      </c>
      <c r="K8" s="9" t="s">
        <v>1960</v>
      </c>
      <c r="L8" t="str">
        <f>MID(Table2[[#This Row],[Location]],FIND(" ",Table2[[#This Row],[Location]])+1, FIND("-",Table2[[#This Row],[Location]])-FIND(" ",Table2[[#This Row],[Location]])-1)</f>
        <v>12</v>
      </c>
      <c r="M8" t="str">
        <f>LEFT(Table2[[#This Row],[Location]],FIND(" ",Table2[[#This Row],[Location]])-1)</f>
        <v>Jakarta</v>
      </c>
      <c r="N8" t="str">
        <f>RIGHT(Table2[[#This Row],[Location]],3)</f>
        <v>766</v>
      </c>
    </row>
    <row r="9" spans="1:14" ht="14.4" x14ac:dyDescent="0.3">
      <c r="A9" s="9" t="s">
        <v>1961</v>
      </c>
      <c r="B9" s="9" t="s">
        <v>1962</v>
      </c>
      <c r="C9" s="9" t="s">
        <v>1963</v>
      </c>
      <c r="D9" t="str">
        <f t="shared" si="0"/>
        <v>Jessica Hariyah</v>
      </c>
      <c r="E9" t="str">
        <f>LOWER(CONCATENATE(Table2[[#This Row],[First]],".",Table2[[#This Row],[Last]],"_","e@myskill.co.id"))</f>
        <v>jessica.hariyah_e@myskill.co.id</v>
      </c>
      <c r="F9" s="20">
        <v>30076</v>
      </c>
      <c r="G9" s="21">
        <f ca="1">YEARFRAC(Table2[[#This Row],[Date of Birth]],$N$1)</f>
        <v>40.083333333333336</v>
      </c>
      <c r="J9" s="9" t="s">
        <v>1964</v>
      </c>
      <c r="K9" s="9" t="s">
        <v>1965</v>
      </c>
      <c r="L9" t="str">
        <f>MID(Table2[[#This Row],[Location]],FIND(" ",Table2[[#This Row],[Location]])+1, FIND("-",Table2[[#This Row],[Location]])-FIND(" ",Table2[[#This Row],[Location]])-1)</f>
        <v>12</v>
      </c>
      <c r="M9" t="str">
        <f>LEFT(Table2[[#This Row],[Location]],FIND(" ",Table2[[#This Row],[Location]])-1)</f>
        <v>Surabaya</v>
      </c>
      <c r="N9" t="str">
        <f>RIGHT(Table2[[#This Row],[Location]],3)</f>
        <v>388</v>
      </c>
    </row>
    <row r="10" spans="1:14" ht="14.4" x14ac:dyDescent="0.3">
      <c r="A10" s="9" t="s">
        <v>1966</v>
      </c>
      <c r="B10" s="9" t="s">
        <v>1967</v>
      </c>
      <c r="C10" s="9" t="s">
        <v>1968</v>
      </c>
      <c r="D10" t="str">
        <f t="shared" si="0"/>
        <v>Almira Hasanah</v>
      </c>
      <c r="E10" t="str">
        <f>LOWER(CONCATENATE(Table2[[#This Row],[First]],".",Table2[[#This Row],[Last]],"_","e@myskill.co.id"))</f>
        <v>almira.hasanah_e@myskill.co.id</v>
      </c>
      <c r="F10" s="20">
        <v>36166</v>
      </c>
      <c r="G10" s="21">
        <f ca="1">YEARFRAC(Table2[[#This Row],[Date of Birth]],$N$1)</f>
        <v>23.413888888888888</v>
      </c>
      <c r="J10" s="9" t="s">
        <v>1940</v>
      </c>
      <c r="K10" s="9" t="s">
        <v>1969</v>
      </c>
      <c r="L10" t="str">
        <f>MID(Table2[[#This Row],[Location]],FIND(" ",Table2[[#This Row],[Location]])+1, FIND("-",Table2[[#This Row],[Location]])-FIND(" ",Table2[[#This Row],[Location]])-1)</f>
        <v>11</v>
      </c>
      <c r="M10" t="str">
        <f>LEFT(Table2[[#This Row],[Location]],FIND(" ",Table2[[#This Row],[Location]])-1)</f>
        <v>Jakarta</v>
      </c>
      <c r="N10" t="str">
        <f>RIGHT(Table2[[#This Row],[Location]],3)</f>
        <v>594</v>
      </c>
    </row>
    <row r="11" spans="1:14" ht="14.4" x14ac:dyDescent="0.3">
      <c r="A11" s="9" t="s">
        <v>1970</v>
      </c>
      <c r="B11" s="9" t="s">
        <v>1971</v>
      </c>
      <c r="C11" s="9" t="s">
        <v>1972</v>
      </c>
      <c r="D11" t="str">
        <f t="shared" si="0"/>
        <v>Sari Astuti</v>
      </c>
      <c r="E11" t="str">
        <f>LOWER(CONCATENATE(Table2[[#This Row],[First]],".",Table2[[#This Row],[Last]],"_","e@myskill.co.id"))</f>
        <v>sari.astuti_e@myskill.co.id</v>
      </c>
      <c r="F11" s="20">
        <v>31959</v>
      </c>
      <c r="G11" s="21">
        <f ca="1">YEARFRAC(Table2[[#This Row],[Date of Birth]],$N$1)</f>
        <v>34.927777777777777</v>
      </c>
      <c r="J11" s="9" t="s">
        <v>1959</v>
      </c>
      <c r="K11" s="9" t="s">
        <v>1973</v>
      </c>
      <c r="L11" t="str">
        <f>MID(Table2[[#This Row],[Location]],FIND(" ",Table2[[#This Row],[Location]])+1, FIND("-",Table2[[#This Row],[Location]])-FIND(" ",Table2[[#This Row],[Location]])-1)</f>
        <v>12</v>
      </c>
      <c r="M11" t="str">
        <f>LEFT(Table2[[#This Row],[Location]],FIND(" ",Table2[[#This Row],[Location]])-1)</f>
        <v>Surabaya</v>
      </c>
      <c r="N11" t="str">
        <f>RIGHT(Table2[[#This Row],[Location]],3)</f>
        <v>654</v>
      </c>
    </row>
    <row r="12" spans="1:14" ht="14.4" x14ac:dyDescent="0.3">
      <c r="A12" s="9" t="s">
        <v>1974</v>
      </c>
      <c r="B12" s="9" t="s">
        <v>1975</v>
      </c>
      <c r="C12" s="9" t="s">
        <v>1944</v>
      </c>
      <c r="D12" t="str">
        <f t="shared" si="0"/>
        <v>Aurora Anggraini</v>
      </c>
      <c r="E12" t="str">
        <f>LOWER(CONCATENATE(Table2[[#This Row],[First]],".",Table2[[#This Row],[Last]],"_","e@myskill.co.id"))</f>
        <v>aurora.anggraini_e@myskill.co.id</v>
      </c>
      <c r="F12" s="20">
        <v>36535</v>
      </c>
      <c r="G12" s="21">
        <f ca="1">YEARFRAC(Table2[[#This Row],[Date of Birth]],$N$1)</f>
        <v>22.402777777777779</v>
      </c>
      <c r="J12" s="9" t="s">
        <v>1945</v>
      </c>
      <c r="K12" s="9" t="s">
        <v>1976</v>
      </c>
      <c r="L12" t="str">
        <f>MID(Table2[[#This Row],[Location]],FIND(" ",Table2[[#This Row],[Location]])+1, FIND("-",Table2[[#This Row],[Location]])-FIND(" ",Table2[[#This Row],[Location]])-1)</f>
        <v>10</v>
      </c>
      <c r="M12" t="str">
        <f>LEFT(Table2[[#This Row],[Location]],FIND(" ",Table2[[#This Row],[Location]])-1)</f>
        <v>Jakarta</v>
      </c>
      <c r="N12" t="str">
        <f>RIGHT(Table2[[#This Row],[Location]],3)</f>
        <v>851</v>
      </c>
    </row>
    <row r="13" spans="1:14" ht="14.4" x14ac:dyDescent="0.3">
      <c r="A13" s="9" t="s">
        <v>1977</v>
      </c>
      <c r="B13" s="9" t="s">
        <v>1978</v>
      </c>
      <c r="C13" s="9" t="s">
        <v>1979</v>
      </c>
      <c r="D13" t="str">
        <f t="shared" si="0"/>
        <v>Vivi Andriani</v>
      </c>
      <c r="E13" t="str">
        <f>LOWER(CONCATENATE(Table2[[#This Row],[First]],".",Table2[[#This Row],[Last]],"_","e@myskill.co.id"))</f>
        <v>vivi.andriani_e@myskill.co.id</v>
      </c>
      <c r="F13" s="20">
        <v>34393</v>
      </c>
      <c r="G13" s="21">
        <f ca="1">YEARFRAC(Table2[[#This Row],[Date of Birth]],$N$1)</f>
        <v>28.263888888888889</v>
      </c>
      <c r="J13" s="9" t="s">
        <v>1959</v>
      </c>
      <c r="K13" s="9" t="s">
        <v>1980</v>
      </c>
      <c r="L13" t="str">
        <f>MID(Table2[[#This Row],[Location]],FIND(" ",Table2[[#This Row],[Location]])+1, FIND("-",Table2[[#This Row],[Location]])-FIND(" ",Table2[[#This Row],[Location]])-1)</f>
        <v>11</v>
      </c>
      <c r="M13" t="str">
        <f>LEFT(Table2[[#This Row],[Location]],FIND(" ",Table2[[#This Row],[Location]])-1)</f>
        <v>Jakarta</v>
      </c>
      <c r="N13" t="str">
        <f>RIGHT(Table2[[#This Row],[Location]],3)</f>
        <v>316</v>
      </c>
    </row>
    <row r="14" spans="1:14" ht="14.4" x14ac:dyDescent="0.3">
      <c r="A14" s="9" t="s">
        <v>1981</v>
      </c>
      <c r="B14" s="9" t="s">
        <v>1982</v>
      </c>
      <c r="C14" s="9" t="s">
        <v>1983</v>
      </c>
      <c r="D14" t="str">
        <f t="shared" si="0"/>
        <v>Eka Nashiruddin</v>
      </c>
      <c r="E14" t="str">
        <f>LOWER(CONCATENATE(Table2[[#This Row],[First]],".",Table2[[#This Row],[Last]],"_","e@myskill.co.id"))</f>
        <v>eka.nashiruddin_e@myskill.co.id</v>
      </c>
      <c r="F14" s="20">
        <v>32265</v>
      </c>
      <c r="G14" s="21">
        <f ca="1">YEARFRAC(Table2[[#This Row],[Date of Birth]],$N$1)</f>
        <v>34.091666666666669</v>
      </c>
      <c r="J14" s="9" t="s">
        <v>1945</v>
      </c>
      <c r="K14" s="9" t="s">
        <v>1984</v>
      </c>
      <c r="L14" t="str">
        <f>MID(Table2[[#This Row],[Location]],FIND(" ",Table2[[#This Row],[Location]])+1, FIND("-",Table2[[#This Row],[Location]])-FIND(" ",Table2[[#This Row],[Location]])-1)</f>
        <v>10</v>
      </c>
      <c r="M14" t="str">
        <f>LEFT(Table2[[#This Row],[Location]],FIND(" ",Table2[[#This Row],[Location]])-1)</f>
        <v>Jakarta</v>
      </c>
      <c r="N14" t="str">
        <f>RIGHT(Table2[[#This Row],[Location]],3)</f>
        <v>797</v>
      </c>
    </row>
    <row r="15" spans="1:14" ht="14.4" x14ac:dyDescent="0.3">
      <c r="A15" s="9" t="s">
        <v>1985</v>
      </c>
      <c r="B15" s="9" t="s">
        <v>1986</v>
      </c>
      <c r="C15" s="9" t="s">
        <v>1987</v>
      </c>
      <c r="D15" t="str">
        <f t="shared" si="0"/>
        <v>Adiarja Sirait</v>
      </c>
      <c r="E15" t="str">
        <f>LOWER(CONCATENATE(Table2[[#This Row],[First]],".",Table2[[#This Row],[Last]],"_","e@myskill.co.id"))</f>
        <v>adiarja.sirait_e@myskill.co.id</v>
      </c>
      <c r="F15" s="20">
        <v>29727</v>
      </c>
      <c r="G15" s="21">
        <f ca="1">YEARFRAC(Table2[[#This Row],[Date of Birth]],$N$1)</f>
        <v>41.038888888888891</v>
      </c>
      <c r="J15" s="9" t="s">
        <v>1950</v>
      </c>
      <c r="K15" s="9" t="s">
        <v>1988</v>
      </c>
      <c r="L15" t="str">
        <f>MID(Table2[[#This Row],[Location]],FIND(" ",Table2[[#This Row],[Location]])+1, FIND("-",Table2[[#This Row],[Location]])-FIND(" ",Table2[[#This Row],[Location]])-1)</f>
        <v>10</v>
      </c>
      <c r="M15" t="str">
        <f>LEFT(Table2[[#This Row],[Location]],FIND(" ",Table2[[#This Row],[Location]])-1)</f>
        <v>Surabaya</v>
      </c>
      <c r="N15" t="str">
        <f>RIGHT(Table2[[#This Row],[Location]],3)</f>
        <v>779</v>
      </c>
    </row>
    <row r="16" spans="1:14" ht="14.4" x14ac:dyDescent="0.3">
      <c r="A16" s="9" t="s">
        <v>1989</v>
      </c>
      <c r="B16" s="9" t="s">
        <v>1990</v>
      </c>
      <c r="C16" s="9" t="s">
        <v>1991</v>
      </c>
      <c r="D16" t="str">
        <f t="shared" si="0"/>
        <v>Sidiq Pranowo</v>
      </c>
      <c r="E16" t="str">
        <f>LOWER(CONCATENATE(Table2[[#This Row],[First]],".",Table2[[#This Row],[Last]],"_","e@myskill.co.id"))</f>
        <v>sidiq.pranowo_e@myskill.co.id</v>
      </c>
      <c r="F16" s="20">
        <v>35257</v>
      </c>
      <c r="G16" s="21">
        <f ca="1">YEARFRAC(Table2[[#This Row],[Date of Birth]],$N$1)</f>
        <v>25.9</v>
      </c>
      <c r="J16" s="9" t="s">
        <v>1954</v>
      </c>
      <c r="K16" s="9" t="s">
        <v>1992</v>
      </c>
      <c r="L16" t="str">
        <f>MID(Table2[[#This Row],[Location]],FIND(" ",Table2[[#This Row],[Location]])+1, FIND("-",Table2[[#This Row],[Location]])-FIND(" ",Table2[[#This Row],[Location]])-1)</f>
        <v>10</v>
      </c>
      <c r="M16" t="str">
        <f>LEFT(Table2[[#This Row],[Location]],FIND(" ",Table2[[#This Row],[Location]])-1)</f>
        <v>Surabaya</v>
      </c>
      <c r="N16" t="str">
        <f>RIGHT(Table2[[#This Row],[Location]],3)</f>
        <v>878</v>
      </c>
    </row>
    <row r="17" spans="1:14" ht="14.4" x14ac:dyDescent="0.3">
      <c r="A17" s="9" t="s">
        <v>1993</v>
      </c>
      <c r="B17" s="9" t="s">
        <v>1994</v>
      </c>
      <c r="C17" s="9" t="s">
        <v>1995</v>
      </c>
      <c r="D17" t="str">
        <f t="shared" si="0"/>
        <v>Harsana Budiman</v>
      </c>
      <c r="E17" t="str">
        <f>LOWER(CONCATENATE(Table2[[#This Row],[First]],".",Table2[[#This Row],[Last]],"_","e@myskill.co.id"))</f>
        <v>harsana.budiman_e@myskill.co.id</v>
      </c>
      <c r="F17" s="20">
        <v>33426</v>
      </c>
      <c r="G17" s="21">
        <f ca="1">YEARFRAC(Table2[[#This Row],[Date of Birth]],$N$1)</f>
        <v>30.911111111111111</v>
      </c>
      <c r="J17" s="9" t="s">
        <v>1945</v>
      </c>
      <c r="K17" s="9" t="s">
        <v>1996</v>
      </c>
      <c r="L17" t="str">
        <f>MID(Table2[[#This Row],[Location]],FIND(" ",Table2[[#This Row],[Location]])+1, FIND("-",Table2[[#This Row],[Location]])-FIND(" ",Table2[[#This Row],[Location]])-1)</f>
        <v>11</v>
      </c>
      <c r="M17" t="str">
        <f>LEFT(Table2[[#This Row],[Location]],FIND(" ",Table2[[#This Row],[Location]])-1)</f>
        <v>Jakarta</v>
      </c>
      <c r="N17" t="str">
        <f>RIGHT(Table2[[#This Row],[Location]],3)</f>
        <v>663</v>
      </c>
    </row>
    <row r="18" spans="1:14" ht="14.4" x14ac:dyDescent="0.3">
      <c r="A18" s="9" t="s">
        <v>1997</v>
      </c>
      <c r="B18" s="9" t="s">
        <v>1998</v>
      </c>
      <c r="C18" s="9" t="s">
        <v>1999</v>
      </c>
      <c r="D18" t="str">
        <f t="shared" si="0"/>
        <v>Galar Halim</v>
      </c>
      <c r="E18" t="str">
        <f>LOWER(CONCATENATE(Table2[[#This Row],[First]],".",Table2[[#This Row],[Last]],"_","e@myskill.co.id"))</f>
        <v>galar.halim_e@myskill.co.id</v>
      </c>
      <c r="F18" s="20">
        <v>36102</v>
      </c>
      <c r="G18" s="21">
        <f ca="1">YEARFRAC(Table2[[#This Row],[Date of Birth]],$N$1)</f>
        <v>23.588888888888889</v>
      </c>
      <c r="J18" s="9" t="s">
        <v>1950</v>
      </c>
      <c r="K18" s="9" t="s">
        <v>2000</v>
      </c>
      <c r="L18" t="str">
        <f>MID(Table2[[#This Row],[Location]],FIND(" ",Table2[[#This Row],[Location]])+1, FIND("-",Table2[[#This Row],[Location]])-FIND(" ",Table2[[#This Row],[Location]])-1)</f>
        <v>11</v>
      </c>
      <c r="M18" t="str">
        <f>LEFT(Table2[[#This Row],[Location]],FIND(" ",Table2[[#This Row],[Location]])-1)</f>
        <v>Surabaya</v>
      </c>
      <c r="N18" t="str">
        <f>RIGHT(Table2[[#This Row],[Location]],3)</f>
        <v>426</v>
      </c>
    </row>
    <row r="19" spans="1:14" ht="14.4" x14ac:dyDescent="0.3">
      <c r="A19" s="9" t="s">
        <v>2001</v>
      </c>
      <c r="B19" s="9" t="s">
        <v>2002</v>
      </c>
      <c r="C19" s="9" t="s">
        <v>2003</v>
      </c>
      <c r="D19" t="str">
        <f t="shared" si="0"/>
        <v>Kardi Saptono</v>
      </c>
      <c r="E19" t="str">
        <f>LOWER(CONCATENATE(Table2[[#This Row],[First]],".",Table2[[#This Row],[Last]],"_","e@myskill.co.id"))</f>
        <v>kardi.saptono_e@myskill.co.id</v>
      </c>
      <c r="F19" s="20">
        <v>32506</v>
      </c>
      <c r="G19" s="21">
        <f ca="1">YEARFRAC(Table2[[#This Row],[Date of Birth]],$N$1)</f>
        <v>33.43333333333333</v>
      </c>
      <c r="J19" s="9" t="s">
        <v>1954</v>
      </c>
      <c r="K19" s="9" t="s">
        <v>2004</v>
      </c>
      <c r="L19" t="str">
        <f>MID(Table2[[#This Row],[Location]],FIND(" ",Table2[[#This Row],[Location]])+1, FIND("-",Table2[[#This Row],[Location]])-FIND(" ",Table2[[#This Row],[Location]])-1)</f>
        <v>10</v>
      </c>
      <c r="M19" t="str">
        <f>LEFT(Table2[[#This Row],[Location]],FIND(" ",Table2[[#This Row],[Location]])-1)</f>
        <v>Jakarta</v>
      </c>
      <c r="N19" t="str">
        <f>RIGHT(Table2[[#This Row],[Location]],3)</f>
        <v>459</v>
      </c>
    </row>
    <row r="20" spans="1:14" ht="14.4" x14ac:dyDescent="0.3">
      <c r="A20" s="9" t="s">
        <v>2005</v>
      </c>
      <c r="B20" s="9" t="s">
        <v>2006</v>
      </c>
      <c r="C20" s="9" t="s">
        <v>2007</v>
      </c>
      <c r="D20" t="str">
        <f t="shared" si="0"/>
        <v>Sabar Situmorang</v>
      </c>
      <c r="E20" t="str">
        <f>LOWER(CONCATENATE(Table2[[#This Row],[First]],".",Table2[[#This Row],[Last]],"_","e@myskill.co.id"))</f>
        <v>sabar.situmorang_e@myskill.co.id</v>
      </c>
      <c r="F20" s="20">
        <v>35494</v>
      </c>
      <c r="G20" s="21">
        <f ca="1">YEARFRAC(Table2[[#This Row],[Date of Birth]],$N$1)</f>
        <v>25.25</v>
      </c>
      <c r="J20" s="9" t="s">
        <v>1959</v>
      </c>
      <c r="K20" s="9" t="s">
        <v>2008</v>
      </c>
      <c r="L20" t="str">
        <f>MID(Table2[[#This Row],[Location]],FIND(" ",Table2[[#This Row],[Location]])+1, FIND("-",Table2[[#This Row],[Location]])-FIND(" ",Table2[[#This Row],[Location]])-1)</f>
        <v>12</v>
      </c>
      <c r="M20" t="str">
        <f>LEFT(Table2[[#This Row],[Location]],FIND(" ",Table2[[#This Row],[Location]])-1)</f>
        <v>Jakarta</v>
      </c>
      <c r="N20" t="str">
        <f>RIGHT(Table2[[#This Row],[Location]],3)</f>
        <v>465</v>
      </c>
    </row>
    <row r="21" spans="1:14" ht="15.75" customHeight="1" x14ac:dyDescent="0.3">
      <c r="A21" s="9" t="s">
        <v>2009</v>
      </c>
      <c r="B21" s="9" t="s">
        <v>2010</v>
      </c>
      <c r="C21" s="9" t="s">
        <v>2011</v>
      </c>
      <c r="D21" t="str">
        <f t="shared" si="0"/>
        <v>Dimaz Zulkarnain</v>
      </c>
      <c r="E21" t="str">
        <f>LOWER(CONCATENATE(Table2[[#This Row],[First]],".",Table2[[#This Row],[Last]],"_","e@myskill.co.id"))</f>
        <v>dimaz.zulkarnain_e@myskill.co.id</v>
      </c>
      <c r="F21" s="20">
        <v>35216</v>
      </c>
      <c r="G21" s="21">
        <f ca="1">YEARFRAC(Table2[[#This Row],[Date of Birth]],$N$1)</f>
        <v>26.013888888888889</v>
      </c>
      <c r="J21" s="9" t="s">
        <v>1964</v>
      </c>
      <c r="K21" s="9" t="s">
        <v>2012</v>
      </c>
      <c r="L21" t="str">
        <f>MID(Table2[[#This Row],[Location]],FIND(" ",Table2[[#This Row],[Location]])+1, FIND("-",Table2[[#This Row],[Location]])-FIND(" ",Table2[[#This Row],[Location]])-1)</f>
        <v>12</v>
      </c>
      <c r="M21" t="str">
        <f>LEFT(Table2[[#This Row],[Location]],FIND(" ",Table2[[#This Row],[Location]])-1)</f>
        <v>Surabaya</v>
      </c>
      <c r="N21" t="str">
        <f>RIGHT(Table2[[#This Row],[Location]],3)</f>
        <v>440</v>
      </c>
    </row>
    <row r="22" spans="1:14" ht="15.75" customHeight="1" x14ac:dyDescent="0.3">
      <c r="A22" s="9" t="s">
        <v>2013</v>
      </c>
      <c r="B22" s="9" t="s">
        <v>2014</v>
      </c>
      <c r="C22" s="9" t="s">
        <v>2015</v>
      </c>
      <c r="D22" t="str">
        <f t="shared" si="0"/>
        <v>Balapati Prasetya</v>
      </c>
      <c r="E22" t="str">
        <f>LOWER(CONCATENATE(Table2[[#This Row],[First]],".",Table2[[#This Row],[Last]],"_","e@myskill.co.id"))</f>
        <v>balapati.prasetya_e@myskill.co.id</v>
      </c>
      <c r="F22" s="20">
        <v>32098</v>
      </c>
      <c r="G22" s="21">
        <f ca="1">YEARFRAC(Table2[[#This Row],[Date of Birth]],$N$1)</f>
        <v>34.549999999999997</v>
      </c>
      <c r="J22" s="9" t="s">
        <v>1950</v>
      </c>
      <c r="K22" s="9" t="s">
        <v>2016</v>
      </c>
      <c r="L22" t="str">
        <f>MID(Table2[[#This Row],[Location]],FIND(" ",Table2[[#This Row],[Location]])+1, FIND("-",Table2[[#This Row],[Location]])-FIND(" ",Table2[[#This Row],[Location]])-1)</f>
        <v>10</v>
      </c>
      <c r="M22" t="str">
        <f>LEFT(Table2[[#This Row],[Location]],FIND(" ",Table2[[#This Row],[Location]])-1)</f>
        <v>Jakarta</v>
      </c>
      <c r="N22" t="str">
        <f>RIGHT(Table2[[#This Row],[Location]],3)</f>
        <v>828</v>
      </c>
    </row>
    <row r="23" spans="1:14" ht="15.75" customHeight="1" x14ac:dyDescent="0.3">
      <c r="A23" s="9" t="s">
        <v>2017</v>
      </c>
      <c r="B23" s="9" t="s">
        <v>2018</v>
      </c>
      <c r="C23" s="9" t="s">
        <v>2019</v>
      </c>
      <c r="D23" t="str">
        <f t="shared" si="0"/>
        <v>Eja Widodo</v>
      </c>
      <c r="E23" t="str">
        <f>LOWER(CONCATENATE(Table2[[#This Row],[First]],".",Table2[[#This Row],[Last]],"_","e@myskill.co.id"))</f>
        <v>eja.widodo_e@myskill.co.id</v>
      </c>
      <c r="F23" s="20">
        <v>34663</v>
      </c>
      <c r="G23" s="21">
        <f ca="1">YEARFRAC(Table2[[#This Row],[Date of Birth]],$N$1)</f>
        <v>27.527777777777779</v>
      </c>
      <c r="J23" s="9" t="s">
        <v>1945</v>
      </c>
      <c r="K23" s="9" t="s">
        <v>2020</v>
      </c>
      <c r="L23" t="str">
        <f>MID(Table2[[#This Row],[Location]],FIND(" ",Table2[[#This Row],[Location]])+1, FIND("-",Table2[[#This Row],[Location]])-FIND(" ",Table2[[#This Row],[Location]])-1)</f>
        <v>11</v>
      </c>
      <c r="M23" t="str">
        <f>LEFT(Table2[[#This Row],[Location]],FIND(" ",Table2[[#This Row],[Location]])-1)</f>
        <v>Surabaya</v>
      </c>
      <c r="N23" t="str">
        <f>RIGHT(Table2[[#This Row],[Location]],3)</f>
        <v>611</v>
      </c>
    </row>
    <row r="24" spans="1:14" ht="15.75" customHeight="1" x14ac:dyDescent="0.3">
      <c r="A24" s="9" t="s">
        <v>2021</v>
      </c>
      <c r="B24" s="9" t="s">
        <v>2022</v>
      </c>
      <c r="C24" s="9" t="s">
        <v>2023</v>
      </c>
      <c r="D24" t="str">
        <f t="shared" si="0"/>
        <v>Prabu Haryanto</v>
      </c>
      <c r="E24" t="str">
        <f>LOWER(CONCATENATE(Table2[[#This Row],[First]],".",Table2[[#This Row],[Last]],"_","e@myskill.co.id"))</f>
        <v>prabu.haryanto_e@myskill.co.id</v>
      </c>
      <c r="F24" s="20">
        <v>33510</v>
      </c>
      <c r="G24" s="21">
        <f ca="1">YEARFRAC(Table2[[#This Row],[Date of Birth]],$N$1)</f>
        <v>30.683333333333334</v>
      </c>
      <c r="J24" s="9" t="s">
        <v>1950</v>
      </c>
      <c r="K24" s="9" t="s">
        <v>2024</v>
      </c>
      <c r="L24" t="str">
        <f>MID(Table2[[#This Row],[Location]],FIND(" ",Table2[[#This Row],[Location]])+1, FIND("-",Table2[[#This Row],[Location]])-FIND(" ",Table2[[#This Row],[Location]])-1)</f>
        <v>11</v>
      </c>
      <c r="M24" t="str">
        <f>LEFT(Table2[[#This Row],[Location]],FIND(" ",Table2[[#This Row],[Location]])-1)</f>
        <v>Surabaya</v>
      </c>
      <c r="N24" t="str">
        <f>RIGHT(Table2[[#This Row],[Location]],3)</f>
        <v>722</v>
      </c>
    </row>
    <row r="25" spans="1:14" ht="15.75" customHeight="1" x14ac:dyDescent="0.3">
      <c r="A25" s="9" t="s">
        <v>2025</v>
      </c>
      <c r="B25" s="9" t="s">
        <v>2026</v>
      </c>
      <c r="C25" s="9" t="s">
        <v>2027</v>
      </c>
      <c r="D25" t="str">
        <f t="shared" si="0"/>
        <v>Cayadi Putra</v>
      </c>
      <c r="E25" t="str">
        <f>LOWER(CONCATENATE(Table2[[#This Row],[First]],".",Table2[[#This Row],[Last]],"_","e@myskill.co.id"))</f>
        <v>cayadi.putra_e@myskill.co.id</v>
      </c>
      <c r="F25" s="20">
        <v>37116</v>
      </c>
      <c r="G25" s="21">
        <f ca="1">YEARFRAC(Table2[[#This Row],[Date of Birth]],$N$1)</f>
        <v>20.81111111111111</v>
      </c>
      <c r="J25" s="9" t="s">
        <v>1954</v>
      </c>
      <c r="K25" s="9" t="s">
        <v>2028</v>
      </c>
      <c r="L25" t="str">
        <f>MID(Table2[[#This Row],[Location]],FIND(" ",Table2[[#This Row],[Location]])+1, FIND("-",Table2[[#This Row],[Location]])-FIND(" ",Table2[[#This Row],[Location]])-1)</f>
        <v>11</v>
      </c>
      <c r="M25" t="str">
        <f>LEFT(Table2[[#This Row],[Location]],FIND(" ",Table2[[#This Row],[Location]])-1)</f>
        <v>Jakarta</v>
      </c>
      <c r="N25" t="str">
        <f>RIGHT(Table2[[#This Row],[Location]],3)</f>
        <v>807</v>
      </c>
    </row>
    <row r="26" spans="1:14" ht="15.75" customHeight="1" x14ac:dyDescent="0.3">
      <c r="A26" s="9" t="s">
        <v>2029</v>
      </c>
      <c r="B26" s="9" t="s">
        <v>2030</v>
      </c>
      <c r="C26" s="9" t="s">
        <v>1991</v>
      </c>
      <c r="D26" t="str">
        <f t="shared" si="0"/>
        <v>Gambira Pranowo</v>
      </c>
      <c r="E26" t="str">
        <f>LOWER(CONCATENATE(Table2[[#This Row],[First]],".",Table2[[#This Row],[Last]],"_","e@myskill.co.id"))</f>
        <v>gambira.pranowo_e@myskill.co.id</v>
      </c>
      <c r="F26" s="20">
        <v>31008</v>
      </c>
      <c r="G26" s="21">
        <f ca="1">YEARFRAC(Table2[[#This Row],[Date of Birth]],$N$1)</f>
        <v>37.536111111111111</v>
      </c>
      <c r="J26" s="9" t="s">
        <v>1945</v>
      </c>
      <c r="K26" s="9" t="s">
        <v>2031</v>
      </c>
      <c r="L26" t="str">
        <f>MID(Table2[[#This Row],[Location]],FIND(" ",Table2[[#This Row],[Location]])+1, FIND("-",Table2[[#This Row],[Location]])-FIND(" ",Table2[[#This Row],[Location]])-1)</f>
        <v>12</v>
      </c>
      <c r="M26" t="str">
        <f>LEFT(Table2[[#This Row],[Location]],FIND(" ",Table2[[#This Row],[Location]])-1)</f>
        <v>Jakarta</v>
      </c>
      <c r="N26" t="str">
        <f>RIGHT(Table2[[#This Row],[Location]],3)</f>
        <v>854</v>
      </c>
    </row>
    <row r="27" spans="1:14" ht="15.75" customHeight="1" x14ac:dyDescent="0.3">
      <c r="A27" s="9" t="s">
        <v>2032</v>
      </c>
      <c r="B27" s="9" t="s">
        <v>2033</v>
      </c>
      <c r="C27" s="9" t="s">
        <v>2034</v>
      </c>
      <c r="D27" t="str">
        <f t="shared" si="0"/>
        <v>Salman Wasita</v>
      </c>
      <c r="E27" t="str">
        <f>LOWER(CONCATENATE(Table2[[#This Row],[First]],".",Table2[[#This Row],[Last]],"_","e@myskill.co.id"))</f>
        <v>salman.wasita_e@myskill.co.id</v>
      </c>
      <c r="F27" s="20">
        <v>34629</v>
      </c>
      <c r="G27" s="21">
        <f ca="1">YEARFRAC(Table2[[#This Row],[Date of Birth]],$N$1)</f>
        <v>27.619444444444444</v>
      </c>
      <c r="J27" s="9" t="s">
        <v>1950</v>
      </c>
      <c r="K27" s="9" t="s">
        <v>2035</v>
      </c>
      <c r="L27" t="str">
        <f>MID(Table2[[#This Row],[Location]],FIND(" ",Table2[[#This Row],[Location]])+1, FIND("-",Table2[[#This Row],[Location]])-FIND(" ",Table2[[#This Row],[Location]])-1)</f>
        <v>12</v>
      </c>
      <c r="M27" t="str">
        <f>LEFT(Table2[[#This Row],[Location]],FIND(" ",Table2[[#This Row],[Location]])-1)</f>
        <v>Jakarta</v>
      </c>
      <c r="N27" t="str">
        <f>RIGHT(Table2[[#This Row],[Location]],3)</f>
        <v>348</v>
      </c>
    </row>
    <row r="28" spans="1:14" ht="15.75" customHeight="1" x14ac:dyDescent="0.3">
      <c r="A28" s="9" t="s">
        <v>2036</v>
      </c>
      <c r="B28" s="9" t="s">
        <v>2037</v>
      </c>
      <c r="C28" s="9" t="s">
        <v>2038</v>
      </c>
      <c r="D28" t="str">
        <f t="shared" si="0"/>
        <v>Wardaya Dongoran</v>
      </c>
      <c r="E28" t="str">
        <f>LOWER(CONCATENATE(Table2[[#This Row],[First]],".",Table2[[#This Row],[Last]],"_","e@myskill.co.id"))</f>
        <v>wardaya.dongoran_e@myskill.co.id</v>
      </c>
      <c r="F28" s="20">
        <v>29685</v>
      </c>
      <c r="G28" s="21">
        <f ca="1">YEARFRAC(Table2[[#This Row],[Date of Birth]],$N$1)</f>
        <v>41.155555555555559</v>
      </c>
      <c r="J28" s="9" t="s">
        <v>1954</v>
      </c>
      <c r="K28" s="9" t="s">
        <v>2039</v>
      </c>
      <c r="L28" t="str">
        <f>MID(Table2[[#This Row],[Location]],FIND(" ",Table2[[#This Row],[Location]])+1, FIND("-",Table2[[#This Row],[Location]])-FIND(" ",Table2[[#This Row],[Location]])-1)</f>
        <v>10</v>
      </c>
      <c r="M28" t="str">
        <f>LEFT(Table2[[#This Row],[Location]],FIND(" ",Table2[[#This Row],[Location]])-1)</f>
        <v>Jakarta</v>
      </c>
      <c r="N28" t="str">
        <f>RIGHT(Table2[[#This Row],[Location]],3)</f>
        <v>401</v>
      </c>
    </row>
    <row r="29" spans="1:14" ht="15.75" customHeight="1" x14ac:dyDescent="0.3">
      <c r="A29" s="9" t="s">
        <v>2040</v>
      </c>
      <c r="B29" s="9" t="s">
        <v>2041</v>
      </c>
      <c r="C29" s="9" t="s">
        <v>2042</v>
      </c>
      <c r="D29" t="str">
        <f t="shared" si="0"/>
        <v>Kania Permata</v>
      </c>
      <c r="E29" t="str">
        <f>LOWER(CONCATENATE(Table2[[#This Row],[First]],".",Table2[[#This Row],[Last]],"_","e@myskill.co.id"))</f>
        <v>kania.permata_e@myskill.co.id</v>
      </c>
      <c r="F29" s="20">
        <v>33167</v>
      </c>
      <c r="G29" s="21">
        <f ca="1">YEARFRAC(Table2[[#This Row],[Date of Birth]],$N$1)</f>
        <v>31.622222222222224</v>
      </c>
      <c r="J29" s="9" t="s">
        <v>1959</v>
      </c>
      <c r="K29" s="9" t="s">
        <v>2043</v>
      </c>
      <c r="L29" t="str">
        <f>MID(Table2[[#This Row],[Location]],FIND(" ",Table2[[#This Row],[Location]])+1, FIND("-",Table2[[#This Row],[Location]])-FIND(" ",Table2[[#This Row],[Location]])-1)</f>
        <v>11</v>
      </c>
      <c r="M29" t="str">
        <f>LEFT(Table2[[#This Row],[Location]],FIND(" ",Table2[[#This Row],[Location]])-1)</f>
        <v>Surabaya</v>
      </c>
      <c r="N29" t="str">
        <f>RIGHT(Table2[[#This Row],[Location]],3)</f>
        <v>701</v>
      </c>
    </row>
    <row r="30" spans="1:14" ht="15.75" customHeight="1" x14ac:dyDescent="0.3">
      <c r="A30" s="9" t="s">
        <v>2044</v>
      </c>
      <c r="B30" s="9" t="s">
        <v>2045</v>
      </c>
      <c r="C30" s="9" t="s">
        <v>2046</v>
      </c>
      <c r="D30" t="str">
        <f t="shared" si="0"/>
        <v>Eva Yolanda</v>
      </c>
      <c r="E30" t="str">
        <f>LOWER(CONCATENATE(Table2[[#This Row],[First]],".",Table2[[#This Row],[Last]],"_","e@myskill.co.id"))</f>
        <v>eva.yolanda_e@myskill.co.id</v>
      </c>
      <c r="F30" s="20">
        <v>35937</v>
      </c>
      <c r="G30" s="21">
        <f ca="1">YEARFRAC(Table2[[#This Row],[Date of Birth]],$N$1)</f>
        <v>24.036111111111111</v>
      </c>
      <c r="J30" s="9" t="s">
        <v>1945</v>
      </c>
      <c r="K30" s="9" t="s">
        <v>2047</v>
      </c>
      <c r="L30" t="str">
        <f>MID(Table2[[#This Row],[Location]],FIND(" ",Table2[[#This Row],[Location]])+1, FIND("-",Table2[[#This Row],[Location]])-FIND(" ",Table2[[#This Row],[Location]])-1)</f>
        <v>12</v>
      </c>
      <c r="M30" t="str">
        <f>LEFT(Table2[[#This Row],[Location]],FIND(" ",Table2[[#This Row],[Location]])-1)</f>
        <v>Surabaya</v>
      </c>
      <c r="N30" t="str">
        <f>RIGHT(Table2[[#This Row],[Location]],3)</f>
        <v>360</v>
      </c>
    </row>
    <row r="31" spans="1:14" ht="15.75" customHeight="1" x14ac:dyDescent="0.3">
      <c r="A31" s="9" t="s">
        <v>2048</v>
      </c>
      <c r="B31" s="9" t="s">
        <v>2049</v>
      </c>
      <c r="C31" s="9" t="s">
        <v>2050</v>
      </c>
      <c r="D31" t="str">
        <f t="shared" si="0"/>
        <v>Amalia Yuniar</v>
      </c>
      <c r="E31" t="str">
        <f>LOWER(CONCATENATE(Table2[[#This Row],[First]],".",Table2[[#This Row],[Last]],"_","e@myskill.co.id"))</f>
        <v>amalia.yuniar_e@myskill.co.id</v>
      </c>
      <c r="F31" s="20">
        <v>36475</v>
      </c>
      <c r="G31" s="21">
        <f ca="1">YEARFRAC(Table2[[#This Row],[Date of Birth]],$N$1)</f>
        <v>22.566666666666666</v>
      </c>
      <c r="J31" s="9" t="s">
        <v>1945</v>
      </c>
      <c r="K31" s="9" t="s">
        <v>2051</v>
      </c>
      <c r="L31" t="str">
        <f>MID(Table2[[#This Row],[Location]],FIND(" ",Table2[[#This Row],[Location]])+1, FIND("-",Table2[[#This Row],[Location]])-FIND(" ",Table2[[#This Row],[Location]])-1)</f>
        <v>11</v>
      </c>
      <c r="M31" t="str">
        <f>LEFT(Table2[[#This Row],[Location]],FIND(" ",Table2[[#This Row],[Location]])-1)</f>
        <v>Surabaya</v>
      </c>
      <c r="N31" t="str">
        <f>RIGHT(Table2[[#This Row],[Location]],3)</f>
        <v>605</v>
      </c>
    </row>
    <row r="32" spans="1:14" ht="15.75" customHeight="1" x14ac:dyDescent="0.3">
      <c r="A32" s="9" t="s">
        <v>2052</v>
      </c>
      <c r="B32" s="9" t="s">
        <v>2053</v>
      </c>
      <c r="C32" s="9" t="s">
        <v>2054</v>
      </c>
      <c r="D32" t="str">
        <f t="shared" si="0"/>
        <v>Ade Rahayu</v>
      </c>
      <c r="E32" t="str">
        <f>LOWER(CONCATENATE(Table2[[#This Row],[First]],".",Table2[[#This Row],[Last]],"_","e@myskill.co.id"))</f>
        <v>ade.rahayu_e@myskill.co.id</v>
      </c>
      <c r="F32" s="20">
        <v>36742</v>
      </c>
      <c r="G32" s="21">
        <f ca="1">YEARFRAC(Table2[[#This Row],[Date of Birth]],$N$1)</f>
        <v>21.836111111111112</v>
      </c>
      <c r="J32" s="9" t="s">
        <v>1959</v>
      </c>
      <c r="K32" s="9" t="s">
        <v>2055</v>
      </c>
      <c r="L32" t="str">
        <f>MID(Table2[[#This Row],[Location]],FIND(" ",Table2[[#This Row],[Location]])+1, FIND("-",Table2[[#This Row],[Location]])-FIND(" ",Table2[[#This Row],[Location]])-1)</f>
        <v>12</v>
      </c>
      <c r="M32" t="str">
        <f>LEFT(Table2[[#This Row],[Location]],FIND(" ",Table2[[#This Row],[Location]])-1)</f>
        <v>Surabaya</v>
      </c>
      <c r="N32" t="str">
        <f>RIGHT(Table2[[#This Row],[Location]],3)</f>
        <v>408</v>
      </c>
    </row>
    <row r="33" spans="1:14" ht="15.75" customHeight="1" x14ac:dyDescent="0.3">
      <c r="A33" s="9" t="s">
        <v>2056</v>
      </c>
      <c r="B33" s="9" t="s">
        <v>2057</v>
      </c>
      <c r="C33" s="9" t="s">
        <v>2058</v>
      </c>
      <c r="D33" t="str">
        <f t="shared" si="0"/>
        <v>Zizi Usada</v>
      </c>
      <c r="E33" t="str">
        <f>LOWER(CONCATENATE(Table2[[#This Row],[First]],".",Table2[[#This Row],[Last]],"_","e@myskill.co.id"))</f>
        <v>zizi.usada_e@myskill.co.id</v>
      </c>
      <c r="F33" s="20">
        <v>35831</v>
      </c>
      <c r="G33" s="21">
        <f ca="1">YEARFRAC(Table2[[#This Row],[Date of Birth]],$N$1)</f>
        <v>24.333333333333332</v>
      </c>
      <c r="J33" s="9" t="s">
        <v>1954</v>
      </c>
      <c r="K33" s="9" t="s">
        <v>2059</v>
      </c>
      <c r="L33" t="str">
        <f>MID(Table2[[#This Row],[Location]],FIND(" ",Table2[[#This Row],[Location]])+1, FIND("-",Table2[[#This Row],[Location]])-FIND(" ",Table2[[#This Row],[Location]])-1)</f>
        <v>11</v>
      </c>
      <c r="M33" t="str">
        <f>LEFT(Table2[[#This Row],[Location]],FIND(" ",Table2[[#This Row],[Location]])-1)</f>
        <v>Surabaya</v>
      </c>
      <c r="N33" t="str">
        <f>RIGHT(Table2[[#This Row],[Location]],3)</f>
        <v>315</v>
      </c>
    </row>
    <row r="34" spans="1:14" ht="15.75" customHeight="1" x14ac:dyDescent="0.3">
      <c r="A34" s="9" t="s">
        <v>56</v>
      </c>
      <c r="B34" s="9" t="s">
        <v>2060</v>
      </c>
      <c r="C34" s="9" t="s">
        <v>2061</v>
      </c>
      <c r="D34" t="str">
        <f t="shared" si="0"/>
        <v>Gaduh Pratama</v>
      </c>
      <c r="E34" t="str">
        <f>LOWER(CONCATENATE(Table2[[#This Row],[First]],".",Table2[[#This Row],[Last]],"_","e@myskill.co.id"))</f>
        <v>gaduh.pratama_e@myskill.co.id</v>
      </c>
      <c r="F34" s="20">
        <v>35800</v>
      </c>
      <c r="G34" s="21">
        <f ca="1">YEARFRAC(Table2[[#This Row],[Date of Birth]],$N$1)</f>
        <v>24.416666666666668</v>
      </c>
      <c r="J34" s="9" t="s">
        <v>2062</v>
      </c>
      <c r="K34" s="9" t="s">
        <v>2063</v>
      </c>
      <c r="L34" t="str">
        <f>MID(Table2[[#This Row],[Location]],FIND(" ",Table2[[#This Row],[Location]])+1, FIND("-",Table2[[#This Row],[Location]])-FIND(" ",Table2[[#This Row],[Location]])-1)</f>
        <v>12</v>
      </c>
      <c r="M34" t="str">
        <f>LEFT(Table2[[#This Row],[Location]],FIND(" ",Table2[[#This Row],[Location]])-1)</f>
        <v>Surabaya</v>
      </c>
      <c r="N34" t="str">
        <f>RIGHT(Table2[[#This Row],[Location]],3)</f>
        <v>407</v>
      </c>
    </row>
    <row r="35" spans="1:14" ht="15.75" customHeight="1" x14ac:dyDescent="0.3">
      <c r="A35" s="9" t="s">
        <v>65</v>
      </c>
      <c r="B35" s="9" t="s">
        <v>2064</v>
      </c>
      <c r="C35" s="9" t="s">
        <v>2065</v>
      </c>
      <c r="D35" t="str">
        <f t="shared" si="0"/>
        <v>Laras Nuraini</v>
      </c>
      <c r="E35" t="str">
        <f>LOWER(CONCATENATE(Table2[[#This Row],[First]],".",Table2[[#This Row],[Last]],"_","e@myskill.co.id"))</f>
        <v>laras.nuraini_e@myskill.co.id</v>
      </c>
      <c r="F35" s="20">
        <v>35810</v>
      </c>
      <c r="G35" s="21">
        <f ca="1">YEARFRAC(Table2[[#This Row],[Date of Birth]],$N$1)</f>
        <v>24.388888888888889</v>
      </c>
      <c r="J35" s="9" t="s">
        <v>2062</v>
      </c>
      <c r="K35" s="9" t="s">
        <v>2066</v>
      </c>
      <c r="L35" t="str">
        <f>MID(Table2[[#This Row],[Location]],FIND(" ",Table2[[#This Row],[Location]])+1, FIND("-",Table2[[#This Row],[Location]])-FIND(" ",Table2[[#This Row],[Location]])-1)</f>
        <v>10</v>
      </c>
      <c r="M35" t="str">
        <f>LEFT(Table2[[#This Row],[Location]],FIND(" ",Table2[[#This Row],[Location]])-1)</f>
        <v>Jakarta</v>
      </c>
      <c r="N35" t="str">
        <f>RIGHT(Table2[[#This Row],[Location]],3)</f>
        <v>503</v>
      </c>
    </row>
    <row r="36" spans="1:14" ht="15.75" customHeight="1" x14ac:dyDescent="0.3">
      <c r="A36" s="9" t="s">
        <v>73</v>
      </c>
      <c r="B36" s="9" t="s">
        <v>2067</v>
      </c>
      <c r="C36" s="9" t="s">
        <v>2068</v>
      </c>
      <c r="D36" t="str">
        <f t="shared" si="0"/>
        <v>Cinthia Gunawan</v>
      </c>
      <c r="E36" t="str">
        <f>LOWER(CONCATENATE(Table2[[#This Row],[First]],".",Table2[[#This Row],[Last]],"_","e@myskill.co.id"))</f>
        <v>cinthia.gunawan_e@myskill.co.id</v>
      </c>
      <c r="F36" s="20">
        <v>35820</v>
      </c>
      <c r="G36" s="21">
        <f ca="1">YEARFRAC(Table2[[#This Row],[Date of Birth]],$N$1)</f>
        <v>24.361111111111111</v>
      </c>
      <c r="J36" s="9" t="s">
        <v>2062</v>
      </c>
      <c r="K36" s="9" t="s">
        <v>2069</v>
      </c>
      <c r="L36" t="str">
        <f>MID(Table2[[#This Row],[Location]],FIND(" ",Table2[[#This Row],[Location]])+1, FIND("-",Table2[[#This Row],[Location]])-FIND(" ",Table2[[#This Row],[Location]])-1)</f>
        <v>11</v>
      </c>
      <c r="M36" t="str">
        <f>LEFT(Table2[[#This Row],[Location]],FIND(" ",Table2[[#This Row],[Location]])-1)</f>
        <v>Jakarta</v>
      </c>
      <c r="N36" t="str">
        <f>RIGHT(Table2[[#This Row],[Location]],3)</f>
        <v>816</v>
      </c>
    </row>
    <row r="37" spans="1:14" ht="15.75" customHeight="1" x14ac:dyDescent="0.3">
      <c r="A37" s="9" t="s">
        <v>88</v>
      </c>
      <c r="B37" s="9" t="s">
        <v>2070</v>
      </c>
      <c r="C37" s="9" t="s">
        <v>2071</v>
      </c>
      <c r="D37" t="str">
        <f t="shared" si="0"/>
        <v>Bagiya Sihombing</v>
      </c>
      <c r="E37" t="str">
        <f>LOWER(CONCATENATE(Table2[[#This Row],[First]],".",Table2[[#This Row],[Last]],"_","e@myskill.co.id"))</f>
        <v>bagiya.sihombing_e@myskill.co.id</v>
      </c>
      <c r="F37" s="20">
        <v>35830</v>
      </c>
      <c r="G37" s="21">
        <f ca="1">YEARFRAC(Table2[[#This Row],[Date of Birth]],$N$1)</f>
        <v>24.336111111111112</v>
      </c>
      <c r="J37" s="9" t="s">
        <v>2062</v>
      </c>
      <c r="K37" s="9" t="s">
        <v>2072</v>
      </c>
      <c r="L37" t="str">
        <f>MID(Table2[[#This Row],[Location]],FIND(" ",Table2[[#This Row],[Location]])+1, FIND("-",Table2[[#This Row],[Location]])-FIND(" ",Table2[[#This Row],[Location]])-1)</f>
        <v>10</v>
      </c>
      <c r="M37" t="str">
        <f>LEFT(Table2[[#This Row],[Location]],FIND(" ",Table2[[#This Row],[Location]])-1)</f>
        <v>Jakarta</v>
      </c>
      <c r="N37" t="str">
        <f>RIGHT(Table2[[#This Row],[Location]],3)</f>
        <v>852</v>
      </c>
    </row>
    <row r="38" spans="1:14" ht="15.75" customHeight="1" x14ac:dyDescent="0.3">
      <c r="A38" s="9" t="s">
        <v>97</v>
      </c>
      <c r="B38" s="9" t="s">
        <v>2073</v>
      </c>
      <c r="C38" s="9" t="s">
        <v>2074</v>
      </c>
      <c r="D38" t="str">
        <f t="shared" si="0"/>
        <v>Violet Mentari</v>
      </c>
      <c r="E38" t="str">
        <f>LOWER(CONCATENATE(Table2[[#This Row],[First]],".",Table2[[#This Row],[Last]],"_","e@myskill.co.id"))</f>
        <v>violet.mentari_e@myskill.co.id</v>
      </c>
      <c r="F38" s="20">
        <v>35840</v>
      </c>
      <c r="G38" s="21">
        <f ca="1">YEARFRAC(Table2[[#This Row],[Date of Birth]],$N$1)</f>
        <v>24.308333333333334</v>
      </c>
      <c r="J38" s="9" t="s">
        <v>2062</v>
      </c>
      <c r="K38" s="9" t="s">
        <v>2075</v>
      </c>
      <c r="L38" t="str">
        <f>MID(Table2[[#This Row],[Location]],FIND(" ",Table2[[#This Row],[Location]])+1, FIND("-",Table2[[#This Row],[Location]])-FIND(" ",Table2[[#This Row],[Location]])-1)</f>
        <v>12</v>
      </c>
      <c r="M38" t="str">
        <f>LEFT(Table2[[#This Row],[Location]],FIND(" ",Table2[[#This Row],[Location]])-1)</f>
        <v>Jakarta</v>
      </c>
      <c r="N38" t="str">
        <f>RIGHT(Table2[[#This Row],[Location]],3)</f>
        <v>689</v>
      </c>
    </row>
    <row r="39" spans="1:14" ht="15.75" customHeight="1" x14ac:dyDescent="0.3">
      <c r="A39" s="9" t="s">
        <v>112</v>
      </c>
      <c r="B39" s="9" t="s">
        <v>2076</v>
      </c>
      <c r="C39" s="9" t="s">
        <v>2077</v>
      </c>
      <c r="D39" t="str">
        <f t="shared" si="0"/>
        <v>Paiman Firgantoro</v>
      </c>
      <c r="E39" t="str">
        <f>LOWER(CONCATENATE(Table2[[#This Row],[First]],".",Table2[[#This Row],[Last]],"_","e@myskill.co.id"))</f>
        <v>paiman.firgantoro_e@myskill.co.id</v>
      </c>
      <c r="F39" s="20">
        <v>35850</v>
      </c>
      <c r="G39" s="21">
        <f ca="1">YEARFRAC(Table2[[#This Row],[Date of Birth]],$N$1)</f>
        <v>24.280555555555555</v>
      </c>
      <c r="J39" s="9" t="s">
        <v>2062</v>
      </c>
      <c r="K39" s="9" t="s">
        <v>2078</v>
      </c>
      <c r="L39" t="str">
        <f>MID(Table2[[#This Row],[Location]],FIND(" ",Table2[[#This Row],[Location]])+1, FIND("-",Table2[[#This Row],[Location]])-FIND(" ",Table2[[#This Row],[Location]])-1)</f>
        <v>12</v>
      </c>
      <c r="M39" t="str">
        <f>LEFT(Table2[[#This Row],[Location]],FIND(" ",Table2[[#This Row],[Location]])-1)</f>
        <v>Surabaya</v>
      </c>
      <c r="N39" t="str">
        <f>RIGHT(Table2[[#This Row],[Location]],3)</f>
        <v>465</v>
      </c>
    </row>
    <row r="40" spans="1:14" ht="15.75" customHeight="1" x14ac:dyDescent="0.3">
      <c r="A40" s="9" t="s">
        <v>122</v>
      </c>
      <c r="B40" s="9" t="s">
        <v>2079</v>
      </c>
      <c r="C40" s="9" t="s">
        <v>2080</v>
      </c>
      <c r="D40" t="str">
        <f t="shared" si="0"/>
        <v>Ophelia Mustofa</v>
      </c>
      <c r="E40" t="str">
        <f>LOWER(CONCATENATE(Table2[[#This Row],[First]],".",Table2[[#This Row],[Last]],"_","e@myskill.co.id"))</f>
        <v>ophelia.mustofa_e@myskill.co.id</v>
      </c>
      <c r="F40" s="20">
        <v>35860</v>
      </c>
      <c r="G40" s="21">
        <f ca="1">YEARFRAC(Table2[[#This Row],[Date of Birth]],$N$1)</f>
        <v>24.247222222222224</v>
      </c>
      <c r="J40" s="9" t="s">
        <v>2062</v>
      </c>
      <c r="K40" s="9" t="s">
        <v>2081</v>
      </c>
      <c r="L40" t="str">
        <f>MID(Table2[[#This Row],[Location]],FIND(" ",Table2[[#This Row],[Location]])+1, FIND("-",Table2[[#This Row],[Location]])-FIND(" ",Table2[[#This Row],[Location]])-1)</f>
        <v>12</v>
      </c>
      <c r="M40" t="str">
        <f>LEFT(Table2[[#This Row],[Location]],FIND(" ",Table2[[#This Row],[Location]])-1)</f>
        <v>Jakarta</v>
      </c>
      <c r="N40" t="str">
        <f>RIGHT(Table2[[#This Row],[Location]],3)</f>
        <v>498</v>
      </c>
    </row>
    <row r="41" spans="1:14" ht="15.75" customHeight="1" x14ac:dyDescent="0.3">
      <c r="A41" s="9" t="s">
        <v>134</v>
      </c>
      <c r="B41" s="9" t="s">
        <v>2082</v>
      </c>
      <c r="C41" s="9" t="s">
        <v>2083</v>
      </c>
      <c r="D41" t="str">
        <f t="shared" si="0"/>
        <v>Darmanto Laksita</v>
      </c>
      <c r="E41" t="str">
        <f>LOWER(CONCATENATE(Table2[[#This Row],[First]],".",Table2[[#This Row],[Last]],"_","e@myskill.co.id"))</f>
        <v>darmanto.laksita_e@myskill.co.id</v>
      </c>
      <c r="F41" s="20">
        <v>35870</v>
      </c>
      <c r="G41" s="21">
        <f ca="1">YEARFRAC(Table2[[#This Row],[Date of Birth]],$N$1)</f>
        <v>24.219444444444445</v>
      </c>
      <c r="J41" s="9" t="s">
        <v>2062</v>
      </c>
      <c r="K41" s="9" t="s">
        <v>2084</v>
      </c>
      <c r="L41" t="str">
        <f>MID(Table2[[#This Row],[Location]],FIND(" ",Table2[[#This Row],[Location]])+1, FIND("-",Table2[[#This Row],[Location]])-FIND(" ",Table2[[#This Row],[Location]])-1)</f>
        <v>10</v>
      </c>
      <c r="M41" t="str">
        <f>LEFT(Table2[[#This Row],[Location]],FIND(" ",Table2[[#This Row],[Location]])-1)</f>
        <v>Surabaya</v>
      </c>
      <c r="N41" t="str">
        <f>RIGHT(Table2[[#This Row],[Location]],3)</f>
        <v>404</v>
      </c>
    </row>
    <row r="42" spans="1:14" ht="15.75" customHeight="1" x14ac:dyDescent="0.3">
      <c r="A42" s="9" t="s">
        <v>146</v>
      </c>
      <c r="B42" s="9" t="s">
        <v>2085</v>
      </c>
      <c r="C42" s="9" t="s">
        <v>2086</v>
      </c>
      <c r="D42" t="str">
        <f t="shared" si="0"/>
        <v>Kenari Rajasa</v>
      </c>
      <c r="E42" t="str">
        <f>LOWER(CONCATENATE(Table2[[#This Row],[First]],".",Table2[[#This Row],[Last]],"_","e@myskill.co.id"))</f>
        <v>kenari.rajasa_e@myskill.co.id</v>
      </c>
      <c r="F42" s="20">
        <v>35880</v>
      </c>
      <c r="G42" s="21">
        <f ca="1">YEARFRAC(Table2[[#This Row],[Date of Birth]],$N$1)</f>
        <v>24.191666666666666</v>
      </c>
      <c r="J42" s="9" t="s">
        <v>2062</v>
      </c>
      <c r="K42" s="9" t="s">
        <v>2087</v>
      </c>
      <c r="L42" t="str">
        <f>MID(Table2[[#This Row],[Location]],FIND(" ",Table2[[#This Row],[Location]])+1, FIND("-",Table2[[#This Row],[Location]])-FIND(" ",Table2[[#This Row],[Location]])-1)</f>
        <v>11</v>
      </c>
      <c r="M42" t="str">
        <f>LEFT(Table2[[#This Row],[Location]],FIND(" ",Table2[[#This Row],[Location]])-1)</f>
        <v>Jakarta</v>
      </c>
      <c r="N42" t="str">
        <f>RIGHT(Table2[[#This Row],[Location]],3)</f>
        <v>688</v>
      </c>
    </row>
    <row r="43" spans="1:14" ht="15.75" customHeight="1" x14ac:dyDescent="0.3">
      <c r="A43" s="9" t="s">
        <v>155</v>
      </c>
      <c r="B43" s="9" t="s">
        <v>2088</v>
      </c>
      <c r="C43" s="9" t="s">
        <v>2089</v>
      </c>
      <c r="D43" t="str">
        <f t="shared" si="0"/>
        <v>Puti Nadine Prakasa</v>
      </c>
      <c r="E43" t="str">
        <f>LOWER(CONCATENATE(Table2[[#This Row],[First]],".",Table2[[#This Row],[Last]],"_","e@myskill.co.id"))</f>
        <v>puti.nadine prakasa_e@myskill.co.id</v>
      </c>
      <c r="F43" s="20">
        <v>35890</v>
      </c>
      <c r="G43" s="21">
        <f ca="1">YEARFRAC(Table2[[#This Row],[Date of Birth]],$N$1)</f>
        <v>24.166666666666668</v>
      </c>
      <c r="J43" s="9" t="s">
        <v>2062</v>
      </c>
      <c r="K43" s="9" t="s">
        <v>2075</v>
      </c>
      <c r="L43" t="str">
        <f>MID(Table2[[#This Row],[Location]],FIND(" ",Table2[[#This Row],[Location]])+1, FIND("-",Table2[[#This Row],[Location]])-FIND(" ",Table2[[#This Row],[Location]])-1)</f>
        <v>12</v>
      </c>
      <c r="M43" t="str">
        <f>LEFT(Table2[[#This Row],[Location]],FIND(" ",Table2[[#This Row],[Location]])-1)</f>
        <v>Jakarta</v>
      </c>
      <c r="N43" t="str">
        <f>RIGHT(Table2[[#This Row],[Location]],3)</f>
        <v>689</v>
      </c>
    </row>
    <row r="44" spans="1:14" ht="15.75" customHeight="1" x14ac:dyDescent="0.3">
      <c r="A44" s="9" t="s">
        <v>185</v>
      </c>
      <c r="B44" s="9" t="s">
        <v>2090</v>
      </c>
      <c r="C44" s="9" t="s">
        <v>2091</v>
      </c>
      <c r="D44" t="str">
        <f t="shared" si="0"/>
        <v>Clara Prasetyo</v>
      </c>
      <c r="E44" t="str">
        <f>LOWER(CONCATENATE(Table2[[#This Row],[First]],".",Table2[[#This Row],[Last]],"_","e@myskill.co.id"))</f>
        <v>clara.prasetyo_e@myskill.co.id</v>
      </c>
      <c r="F44" s="20">
        <v>35900</v>
      </c>
      <c r="G44" s="21">
        <f ca="1">YEARFRAC(Table2[[#This Row],[Date of Birth]],$N$1)</f>
        <v>24.138888888888889</v>
      </c>
      <c r="J44" s="9" t="s">
        <v>2062</v>
      </c>
      <c r="K44" s="9" t="s">
        <v>2092</v>
      </c>
      <c r="L44" t="str">
        <f>MID(Table2[[#This Row],[Location]],FIND(" ",Table2[[#This Row],[Location]])+1, FIND("-",Table2[[#This Row],[Location]])-FIND(" ",Table2[[#This Row],[Location]])-1)</f>
        <v>11</v>
      </c>
      <c r="M44" t="str">
        <f>LEFT(Table2[[#This Row],[Location]],FIND(" ",Table2[[#This Row],[Location]])-1)</f>
        <v>Surabaya</v>
      </c>
      <c r="N44" t="str">
        <f>RIGHT(Table2[[#This Row],[Location]],3)</f>
        <v>684</v>
      </c>
    </row>
    <row r="45" spans="1:14" ht="15.75" customHeight="1" x14ac:dyDescent="0.3">
      <c r="A45" s="9" t="s">
        <v>194</v>
      </c>
      <c r="B45" s="9" t="s">
        <v>2093</v>
      </c>
      <c r="C45" s="9" t="s">
        <v>2094</v>
      </c>
      <c r="D45" t="str">
        <f t="shared" si="0"/>
        <v>Nabila Prakasa</v>
      </c>
      <c r="E45" t="str">
        <f>LOWER(CONCATENATE(Table2[[#This Row],[First]],".",Table2[[#This Row],[Last]],"_","e@myskill.co.id"))</f>
        <v>nabila.prakasa_e@myskill.co.id</v>
      </c>
      <c r="F45" s="20">
        <v>35910</v>
      </c>
      <c r="G45" s="21">
        <f ca="1">YEARFRAC(Table2[[#This Row],[Date of Birth]],$N$1)</f>
        <v>24.111111111111111</v>
      </c>
      <c r="J45" s="9" t="s">
        <v>2062</v>
      </c>
      <c r="K45" s="9" t="s">
        <v>2095</v>
      </c>
      <c r="L45" t="str">
        <f>MID(Table2[[#This Row],[Location]],FIND(" ",Table2[[#This Row],[Location]])+1, FIND("-",Table2[[#This Row],[Location]])-FIND(" ",Table2[[#This Row],[Location]])-1)</f>
        <v>12</v>
      </c>
      <c r="M45" t="str">
        <f>LEFT(Table2[[#This Row],[Location]],FIND(" ",Table2[[#This Row],[Location]])-1)</f>
        <v>Jakarta</v>
      </c>
      <c r="N45" t="str">
        <f>RIGHT(Table2[[#This Row],[Location]],3)</f>
        <v>626</v>
      </c>
    </row>
    <row r="46" spans="1:14" ht="15.75" customHeight="1" x14ac:dyDescent="0.3">
      <c r="A46" s="9" t="s">
        <v>304</v>
      </c>
      <c r="B46" s="9" t="s">
        <v>2096</v>
      </c>
      <c r="C46" s="9" t="s">
        <v>2097</v>
      </c>
      <c r="D46" t="str">
        <f t="shared" si="0"/>
        <v>Sutan Tirtayasa Wasita</v>
      </c>
      <c r="E46" t="str">
        <f>LOWER(CONCATENATE(Table2[[#This Row],[First]],".",Table2[[#This Row],[Last]],"_","e@myskill.co.id"))</f>
        <v>sutan.tirtayasa wasita_e@myskill.co.id</v>
      </c>
      <c r="F46" s="20">
        <v>35920</v>
      </c>
      <c r="G46" s="21">
        <f ca="1">YEARFRAC(Table2[[#This Row],[Date of Birth]],$N$1)</f>
        <v>24.083333333333332</v>
      </c>
      <c r="J46" s="9" t="s">
        <v>2062</v>
      </c>
      <c r="K46" s="9" t="s">
        <v>2098</v>
      </c>
      <c r="L46" t="str">
        <f>MID(Table2[[#This Row],[Location]],FIND(" ",Table2[[#This Row],[Location]])+1, FIND("-",Table2[[#This Row],[Location]])-FIND(" ",Table2[[#This Row],[Location]])-1)</f>
        <v>11</v>
      </c>
      <c r="M46" t="str">
        <f>LEFT(Table2[[#This Row],[Location]],FIND(" ",Table2[[#This Row],[Location]])-1)</f>
        <v>Surabaya</v>
      </c>
      <c r="N46" t="str">
        <f>RIGHT(Table2[[#This Row],[Location]],3)</f>
        <v>585</v>
      </c>
    </row>
    <row r="47" spans="1:14" ht="15.75" customHeight="1" x14ac:dyDescent="0.3">
      <c r="A47" s="9" t="s">
        <v>316</v>
      </c>
      <c r="B47" s="9" t="s">
        <v>1971</v>
      </c>
      <c r="C47" s="9" t="s">
        <v>2099</v>
      </c>
      <c r="D47" t="str">
        <f t="shared" si="0"/>
        <v>Sari Winarno</v>
      </c>
      <c r="E47" t="str">
        <f>LOWER(CONCATENATE(Table2[[#This Row],[First]],".",Table2[[#This Row],[Last]],"_","e@myskill.co.id"))</f>
        <v>sari.winarno_e@myskill.co.id</v>
      </c>
      <c r="F47" s="20">
        <v>35930</v>
      </c>
      <c r="G47" s="21">
        <f ca="1">YEARFRAC(Table2[[#This Row],[Date of Birth]],$N$1)</f>
        <v>24.055555555555557</v>
      </c>
      <c r="J47" s="9" t="s">
        <v>2062</v>
      </c>
      <c r="K47" s="9" t="s">
        <v>2100</v>
      </c>
      <c r="L47" t="str">
        <f>MID(Table2[[#This Row],[Location]],FIND(" ",Table2[[#This Row],[Location]])+1, FIND("-",Table2[[#This Row],[Location]])-FIND(" ",Table2[[#This Row],[Location]])-1)</f>
        <v>10</v>
      </c>
      <c r="M47" t="str">
        <f>LEFT(Table2[[#This Row],[Location]],FIND(" ",Table2[[#This Row],[Location]])-1)</f>
        <v>Jakarta</v>
      </c>
      <c r="N47" t="str">
        <f>RIGHT(Table2[[#This Row],[Location]],3)</f>
        <v>398</v>
      </c>
    </row>
    <row r="48" spans="1:14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D2" r:id="rId1" xr:uid="{3FDCCD03-4A74-430A-95D5-58157B8A437C}"/>
  </hyperlinks>
  <pageMargins left="0.7" right="0.7" top="0.75" bottom="0.75" header="0" footer="0"/>
  <pageSetup orientation="landscape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"/>
  <sheetViews>
    <sheetView workbookViewId="0">
      <selection activeCell="C3" sqref="C3"/>
    </sheetView>
  </sheetViews>
  <sheetFormatPr defaultColWidth="14.44140625" defaultRowHeight="15" customHeight="1" x14ac:dyDescent="0.3"/>
  <cols>
    <col min="1" max="2" width="8.6640625" customWidth="1"/>
    <col min="3" max="3" width="11.21875" bestFit="1" customWidth="1"/>
    <col min="4" max="4" width="11" bestFit="1" customWidth="1"/>
    <col min="5" max="5" width="11.109375" bestFit="1" customWidth="1"/>
    <col min="6" max="6" width="12.44140625" bestFit="1" customWidth="1"/>
    <col min="7" max="7" width="12.6640625" bestFit="1" customWidth="1"/>
    <col min="8" max="26" width="8.6640625" customWidth="1"/>
  </cols>
  <sheetData>
    <row r="1" spans="1:12" ht="15" customHeight="1" x14ac:dyDescent="0.3">
      <c r="A1" s="34" t="s">
        <v>46</v>
      </c>
    </row>
    <row r="2" spans="1:12" ht="14.4" x14ac:dyDescent="0.3"/>
    <row r="3" spans="1:12" ht="14.4" x14ac:dyDescent="0.3">
      <c r="A3" s="33"/>
      <c r="B3" s="29"/>
      <c r="C3" s="27"/>
      <c r="D3" s="28" t="s">
        <v>61</v>
      </c>
      <c r="E3" s="28" t="s">
        <v>76</v>
      </c>
      <c r="F3" s="28" t="s">
        <v>83</v>
      </c>
    </row>
    <row r="4" spans="1:12" ht="14.4" x14ac:dyDescent="0.3">
      <c r="A4" s="33"/>
      <c r="B4" s="29"/>
      <c r="C4" s="28" t="s">
        <v>67</v>
      </c>
      <c r="D4" s="31">
        <v>5000</v>
      </c>
      <c r="E4" s="31">
        <v>10000</v>
      </c>
      <c r="F4" s="31">
        <v>25000</v>
      </c>
    </row>
    <row r="5" spans="1:12" ht="14.4" x14ac:dyDescent="0.3">
      <c r="A5" s="33"/>
      <c r="B5" s="29"/>
      <c r="C5" s="28" t="s">
        <v>136</v>
      </c>
      <c r="D5" s="31">
        <v>10000</v>
      </c>
      <c r="E5" s="31">
        <v>20000</v>
      </c>
      <c r="F5" s="31">
        <v>50000</v>
      </c>
    </row>
    <row r="6" spans="1:12" ht="14.4" x14ac:dyDescent="0.3">
      <c r="A6" s="33"/>
      <c r="B6" s="29"/>
      <c r="C6" s="28" t="s">
        <v>60</v>
      </c>
      <c r="D6" s="31">
        <v>15000</v>
      </c>
      <c r="E6" s="31">
        <v>30000</v>
      </c>
      <c r="F6" s="31">
        <v>75000</v>
      </c>
    </row>
    <row r="7" spans="1:12" ht="14.4" x14ac:dyDescent="0.3">
      <c r="A7" s="33"/>
      <c r="B7" s="29"/>
      <c r="C7" s="28" t="s">
        <v>227</v>
      </c>
      <c r="D7" s="31">
        <v>20000</v>
      </c>
      <c r="E7" s="31">
        <v>40000</v>
      </c>
      <c r="F7" s="31">
        <v>100000</v>
      </c>
    </row>
    <row r="8" spans="1:12" ht="14.4" x14ac:dyDescent="0.3">
      <c r="A8" s="33"/>
      <c r="B8" s="29"/>
      <c r="C8" s="28" t="s">
        <v>459</v>
      </c>
      <c r="D8" s="31">
        <v>50000</v>
      </c>
      <c r="E8" s="31">
        <v>100000</v>
      </c>
      <c r="F8" s="31">
        <v>250000</v>
      </c>
    </row>
    <row r="9" spans="1:12" ht="15" customHeight="1" x14ac:dyDescent="0.3">
      <c r="A9" s="33"/>
      <c r="B9" s="29"/>
      <c r="C9" s="28" t="s">
        <v>82</v>
      </c>
      <c r="D9" s="31">
        <v>100000</v>
      </c>
      <c r="E9" s="31">
        <v>200000</v>
      </c>
      <c r="F9" s="31">
        <v>500000</v>
      </c>
    </row>
    <row r="10" spans="1:12" ht="14.4" x14ac:dyDescent="0.3">
      <c r="A10" s="9"/>
      <c r="D10" s="24"/>
    </row>
    <row r="11" spans="1:12" ht="14.4" x14ac:dyDescent="0.3">
      <c r="A11" s="9"/>
      <c r="B11" s="9"/>
    </row>
    <row r="12" spans="1:12" ht="14.4" x14ac:dyDescent="0.3">
      <c r="A12" s="9"/>
      <c r="B12" s="9"/>
      <c r="D12" s="24"/>
    </row>
    <row r="13" spans="1:12" ht="14.4" x14ac:dyDescent="0.3">
      <c r="A13" s="9"/>
      <c r="B13" s="9"/>
      <c r="D13" s="32"/>
    </row>
    <row r="14" spans="1:12" ht="14.4" x14ac:dyDescent="0.3">
      <c r="A14" s="9"/>
      <c r="B14" s="9"/>
      <c r="J14" s="30"/>
      <c r="K14" s="30"/>
      <c r="L14" s="30"/>
    </row>
    <row r="15" spans="1:12" ht="14.4" x14ac:dyDescent="0.3">
      <c r="A15" s="9"/>
      <c r="B15" s="9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31B3-A95F-467F-8A66-38E1131EBB87}">
  <dimension ref="A3:E10"/>
  <sheetViews>
    <sheetView topLeftCell="A2" workbookViewId="0">
      <selection activeCell="B29" sqref="B29"/>
    </sheetView>
  </sheetViews>
  <sheetFormatPr defaultRowHeight="14.4" x14ac:dyDescent="0.3"/>
  <cols>
    <col min="1" max="1" width="17" bestFit="1" customWidth="1"/>
    <col min="2" max="2" width="15.5546875" bestFit="1" customWidth="1"/>
    <col min="3" max="6" width="16.33203125" bestFit="1" customWidth="1"/>
  </cols>
  <sheetData>
    <row r="3" spans="1:5" x14ac:dyDescent="0.3">
      <c r="A3" s="25" t="s">
        <v>2104</v>
      </c>
      <c r="B3" s="25" t="s">
        <v>2107</v>
      </c>
    </row>
    <row r="4" spans="1:5" x14ac:dyDescent="0.3">
      <c r="A4" s="25" t="s">
        <v>2105</v>
      </c>
      <c r="B4" t="s">
        <v>261</v>
      </c>
      <c r="C4" t="s">
        <v>54</v>
      </c>
      <c r="D4" t="s">
        <v>71</v>
      </c>
      <c r="E4" t="s">
        <v>2106</v>
      </c>
    </row>
    <row r="5" spans="1:5" x14ac:dyDescent="0.3">
      <c r="A5" s="26">
        <v>2016</v>
      </c>
      <c r="B5" s="24">
        <v>12834894</v>
      </c>
      <c r="C5" s="24">
        <v>281107575</v>
      </c>
      <c r="D5" s="24">
        <v>643100204.42999995</v>
      </c>
      <c r="E5" s="24">
        <v>937042673.43000007</v>
      </c>
    </row>
    <row r="6" spans="1:5" x14ac:dyDescent="0.3">
      <c r="A6" s="26">
        <v>2017</v>
      </c>
      <c r="B6" s="24">
        <v>103212091.5</v>
      </c>
      <c r="C6" s="24">
        <v>480637303.5</v>
      </c>
      <c r="D6" s="24">
        <v>1270630798.5</v>
      </c>
      <c r="E6" s="24">
        <v>1854480193.5</v>
      </c>
    </row>
    <row r="7" spans="1:5" x14ac:dyDescent="0.3">
      <c r="A7" s="26">
        <v>2018</v>
      </c>
      <c r="B7" s="24">
        <v>244291027.5</v>
      </c>
      <c r="C7" s="24">
        <v>624081273</v>
      </c>
      <c r="D7" s="24">
        <v>1545730366.5</v>
      </c>
      <c r="E7" s="24">
        <v>2414102667</v>
      </c>
    </row>
    <row r="8" spans="1:5" x14ac:dyDescent="0.3">
      <c r="A8" s="26">
        <v>2019</v>
      </c>
      <c r="B8" s="24">
        <v>164519413.5</v>
      </c>
      <c r="C8" s="24">
        <v>394585083</v>
      </c>
      <c r="D8" s="24">
        <v>1442801358</v>
      </c>
      <c r="E8" s="24">
        <v>2001905854.5</v>
      </c>
    </row>
    <row r="9" spans="1:5" x14ac:dyDescent="0.3">
      <c r="A9" s="26">
        <v>2020</v>
      </c>
      <c r="B9" s="24">
        <v>32891487</v>
      </c>
      <c r="C9" s="24">
        <v>100012974</v>
      </c>
      <c r="D9" s="24">
        <v>362545534.5</v>
      </c>
      <c r="E9" s="24">
        <v>495449995.5</v>
      </c>
    </row>
    <row r="10" spans="1:5" x14ac:dyDescent="0.3">
      <c r="A10" s="26" t="s">
        <v>2106</v>
      </c>
      <c r="B10" s="24">
        <v>557748913.5</v>
      </c>
      <c r="C10" s="24">
        <v>1880424208.5</v>
      </c>
      <c r="D10" s="24">
        <v>5264808261.9300003</v>
      </c>
      <c r="E10" s="24">
        <v>7702981383.9300003</v>
      </c>
    </row>
  </sheetData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41CA-49BA-444D-A865-9CFD13EA84C2}">
  <dimension ref="A1:F6"/>
  <sheetViews>
    <sheetView workbookViewId="0">
      <selection activeCell="H5" sqref="H5"/>
    </sheetView>
  </sheetViews>
  <sheetFormatPr defaultRowHeight="14.4" x14ac:dyDescent="0.3"/>
  <cols>
    <col min="1" max="1" width="17" bestFit="1" customWidth="1"/>
    <col min="2" max="6" width="16.33203125" bestFit="1" customWidth="1"/>
  </cols>
  <sheetData>
    <row r="1" spans="1:6" x14ac:dyDescent="0.3">
      <c r="A1" s="25" t="s">
        <v>2104</v>
      </c>
      <c r="B1" s="25" t="s">
        <v>2107</v>
      </c>
    </row>
    <row r="2" spans="1:6" x14ac:dyDescent="0.3">
      <c r="A2" s="25" t="s">
        <v>2105</v>
      </c>
      <c r="B2" t="s">
        <v>87</v>
      </c>
      <c r="C2" t="s">
        <v>72</v>
      </c>
      <c r="D2" t="s">
        <v>55</v>
      </c>
      <c r="E2" t="s">
        <v>106</v>
      </c>
      <c r="F2" t="s">
        <v>2106</v>
      </c>
    </row>
    <row r="3" spans="1:6" x14ac:dyDescent="0.3">
      <c r="A3" s="26" t="s">
        <v>253</v>
      </c>
      <c r="B3" s="24">
        <v>8849857.5</v>
      </c>
      <c r="C3" s="24">
        <v>133860931.49999997</v>
      </c>
      <c r="D3" s="24">
        <v>91304811</v>
      </c>
      <c r="E3" s="24">
        <v>23635421.999999996</v>
      </c>
      <c r="F3" s="24">
        <v>257651021.99999997</v>
      </c>
    </row>
    <row r="4" spans="1:6" x14ac:dyDescent="0.3">
      <c r="A4" s="26" t="s">
        <v>59</v>
      </c>
      <c r="B4" s="24">
        <v>491029821</v>
      </c>
      <c r="C4" s="24">
        <v>631088385</v>
      </c>
      <c r="D4" s="24">
        <v>544047604.5</v>
      </c>
      <c r="E4" s="24">
        <v>544684711.5</v>
      </c>
      <c r="F4" s="24">
        <v>2210850522</v>
      </c>
    </row>
    <row r="5" spans="1:6" x14ac:dyDescent="0.3">
      <c r="A5" s="26" t="s">
        <v>81</v>
      </c>
      <c r="B5" s="24">
        <v>818817984</v>
      </c>
      <c r="C5" s="24">
        <v>1859825970.9300001</v>
      </c>
      <c r="D5" s="24">
        <v>1246892878.5</v>
      </c>
      <c r="E5" s="24">
        <v>1308943006.5</v>
      </c>
      <c r="F5" s="24">
        <v>5234479839.9300003</v>
      </c>
    </row>
    <row r="6" spans="1:6" x14ac:dyDescent="0.3">
      <c r="A6" s="26" t="s">
        <v>2106</v>
      </c>
      <c r="B6" s="24">
        <v>1318697662.5</v>
      </c>
      <c r="C6" s="24">
        <v>2624775287.4300003</v>
      </c>
      <c r="D6" s="24">
        <v>1882245294</v>
      </c>
      <c r="E6" s="24">
        <v>1877263140</v>
      </c>
      <c r="F6" s="24">
        <v>7702981383.9300003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89A6-7A18-4B08-B704-751301B11FD7}">
  <dimension ref="A1:L1000"/>
  <sheetViews>
    <sheetView workbookViewId="0">
      <selection activeCell="F15" sqref="F15"/>
    </sheetView>
  </sheetViews>
  <sheetFormatPr defaultColWidth="14.44140625" defaultRowHeight="15" customHeight="1" x14ac:dyDescent="0.3"/>
  <cols>
    <col min="1" max="1" width="16.33203125" style="35" customWidth="1"/>
    <col min="2" max="2" width="8.6640625" style="35" customWidth="1"/>
    <col min="3" max="3" width="15.5546875" style="35" customWidth="1"/>
    <col min="4" max="4" width="22" style="35" customWidth="1"/>
    <col min="5" max="6" width="8.6640625" style="35" customWidth="1"/>
    <col min="7" max="7" width="12.109375" style="35" customWidth="1"/>
    <col min="8" max="11" width="12.88671875" style="35" customWidth="1"/>
    <col min="12" max="12" width="13.88671875" style="35" customWidth="1"/>
    <col min="13" max="26" width="8.6640625" style="35" customWidth="1"/>
    <col min="27" max="16384" width="14.44140625" style="35"/>
  </cols>
  <sheetData>
    <row r="1" spans="1:12" ht="14.4" x14ac:dyDescent="0.3">
      <c r="A1" s="35" t="s">
        <v>2116</v>
      </c>
      <c r="G1"/>
      <c r="H1"/>
      <c r="I1"/>
      <c r="J1"/>
      <c r="K1"/>
      <c r="L1"/>
    </row>
    <row r="2" spans="1:12" ht="14.4" x14ac:dyDescent="0.3">
      <c r="A2" s="35" t="s">
        <v>2115</v>
      </c>
      <c r="D2" s="43">
        <v>25000</v>
      </c>
      <c r="G2"/>
      <c r="H2"/>
      <c r="I2"/>
      <c r="J2"/>
      <c r="K2"/>
      <c r="L2"/>
    </row>
    <row r="3" spans="1:12" ht="14.4" x14ac:dyDescent="0.3">
      <c r="A3" s="35" t="s">
        <v>2114</v>
      </c>
      <c r="D3" s="42">
        <v>50000</v>
      </c>
      <c r="G3"/>
      <c r="H3"/>
      <c r="I3"/>
      <c r="J3"/>
      <c r="K3"/>
      <c r="L3"/>
    </row>
    <row r="4" spans="1:12" ht="14.4" x14ac:dyDescent="0.3">
      <c r="A4" s="37" t="s">
        <v>2113</v>
      </c>
      <c r="D4" s="38">
        <f>D2*D3</f>
        <v>1250000000</v>
      </c>
      <c r="G4"/>
      <c r="H4"/>
      <c r="I4"/>
      <c r="J4"/>
      <c r="K4"/>
      <c r="L4"/>
    </row>
    <row r="5" spans="1:12" ht="14.4" x14ac:dyDescent="0.3">
      <c r="G5"/>
      <c r="H5"/>
      <c r="I5"/>
      <c r="J5"/>
      <c r="K5"/>
      <c r="L5"/>
    </row>
    <row r="6" spans="1:12" ht="14.4" x14ac:dyDescent="0.3">
      <c r="A6" s="35" t="s">
        <v>46</v>
      </c>
      <c r="C6" s="42">
        <v>20000</v>
      </c>
      <c r="D6" s="40">
        <f>D2*C6</f>
        <v>500000000</v>
      </c>
      <c r="G6"/>
      <c r="H6"/>
      <c r="I6"/>
      <c r="J6"/>
      <c r="K6"/>
      <c r="L6"/>
    </row>
    <row r="7" spans="1:12" ht="14.4" x14ac:dyDescent="0.3">
      <c r="A7" s="35" t="s">
        <v>2112</v>
      </c>
      <c r="C7" s="39">
        <v>0.1</v>
      </c>
      <c r="D7" s="40">
        <f>D4*C7</f>
        <v>125000000</v>
      </c>
      <c r="G7"/>
      <c r="H7"/>
      <c r="I7"/>
      <c r="J7"/>
      <c r="K7"/>
      <c r="L7"/>
    </row>
    <row r="8" spans="1:12" ht="14.4" x14ac:dyDescent="0.3">
      <c r="A8" s="35" t="s">
        <v>2111</v>
      </c>
      <c r="B8" s="43">
        <v>130</v>
      </c>
      <c r="C8" s="42">
        <v>2500000</v>
      </c>
      <c r="D8" s="40">
        <f>B8*C8</f>
        <v>325000000</v>
      </c>
      <c r="G8"/>
      <c r="H8"/>
      <c r="I8"/>
      <c r="J8"/>
      <c r="K8"/>
      <c r="L8"/>
    </row>
    <row r="9" spans="1:12" ht="14.4" x14ac:dyDescent="0.3">
      <c r="A9" s="35" t="s">
        <v>2110</v>
      </c>
      <c r="D9" s="40">
        <v>100000000</v>
      </c>
      <c r="G9"/>
      <c r="H9"/>
      <c r="I9"/>
      <c r="J9"/>
      <c r="K9"/>
      <c r="L9"/>
    </row>
    <row r="10" spans="1:12" ht="14.4" x14ac:dyDescent="0.3">
      <c r="A10" s="37" t="s">
        <v>2109</v>
      </c>
      <c r="D10" s="41">
        <f>SUM(D6:D9)</f>
        <v>1050000000</v>
      </c>
      <c r="G10"/>
      <c r="H10"/>
      <c r="I10"/>
      <c r="J10"/>
      <c r="K10"/>
      <c r="L10"/>
    </row>
    <row r="11" spans="1:12" ht="14.4" x14ac:dyDescent="0.3">
      <c r="G11"/>
      <c r="H11"/>
      <c r="I11"/>
      <c r="J11"/>
      <c r="K11"/>
      <c r="L11"/>
    </row>
    <row r="12" spans="1:12" ht="14.4" x14ac:dyDescent="0.3">
      <c r="A12" s="37" t="s">
        <v>2108</v>
      </c>
      <c r="D12" s="40">
        <f>D4-D10</f>
        <v>200000000</v>
      </c>
      <c r="G12"/>
      <c r="H12"/>
      <c r="I12"/>
      <c r="J12"/>
      <c r="K12"/>
      <c r="L12"/>
    </row>
    <row r="13" spans="1:12" ht="14.4" x14ac:dyDescent="0.3">
      <c r="L13" s="36"/>
    </row>
    <row r="14" spans="1:12" ht="14.4" x14ac:dyDescent="0.3">
      <c r="L14" s="36"/>
    </row>
    <row r="15" spans="1:12" ht="14.4" x14ac:dyDescent="0.3">
      <c r="L15" s="36"/>
    </row>
    <row r="16" spans="1:12" ht="14.4" x14ac:dyDescent="0.3">
      <c r="L16" s="36"/>
    </row>
    <row r="17" spans="12:12" ht="14.4" x14ac:dyDescent="0.3">
      <c r="L17" s="36"/>
    </row>
    <row r="18" spans="12:12" ht="14.4" x14ac:dyDescent="0.3">
      <c r="L18" s="36"/>
    </row>
    <row r="19" spans="12:12" ht="14.4" x14ac:dyDescent="0.3">
      <c r="L19" s="36"/>
    </row>
    <row r="20" spans="12:12" ht="14.4" x14ac:dyDescent="0.3">
      <c r="L20" s="36"/>
    </row>
    <row r="21" spans="12:12" ht="15.75" customHeight="1" x14ac:dyDescent="0.3">
      <c r="L21" s="36"/>
    </row>
    <row r="22" spans="12:12" ht="15.75" customHeight="1" x14ac:dyDescent="0.3">
      <c r="L22" s="36"/>
    </row>
    <row r="23" spans="12:12" ht="15.75" customHeight="1" x14ac:dyDescent="0.3">
      <c r="L23" s="36"/>
    </row>
    <row r="24" spans="12:12" ht="15.75" customHeight="1" x14ac:dyDescent="0.3">
      <c r="L24" s="36"/>
    </row>
    <row r="25" spans="12:12" ht="15.75" customHeight="1" x14ac:dyDescent="0.3">
      <c r="L25" s="36"/>
    </row>
    <row r="26" spans="12:12" ht="15.75" customHeight="1" x14ac:dyDescent="0.3">
      <c r="L26" s="36"/>
    </row>
    <row r="27" spans="12:12" ht="15.75" customHeight="1" x14ac:dyDescent="0.3">
      <c r="L27" s="36"/>
    </row>
    <row r="28" spans="12:12" ht="15.75" customHeight="1" x14ac:dyDescent="0.3">
      <c r="L28" s="36"/>
    </row>
    <row r="29" spans="12:12" ht="15.75" customHeight="1" x14ac:dyDescent="0.3">
      <c r="L29" s="36"/>
    </row>
    <row r="30" spans="12:12" ht="15.75" customHeight="1" x14ac:dyDescent="0.3">
      <c r="L30" s="36"/>
    </row>
    <row r="31" spans="12:12" ht="15.75" customHeight="1" x14ac:dyDescent="0.3">
      <c r="L31" s="36"/>
    </row>
    <row r="32" spans="12:12" ht="15.75" customHeight="1" x14ac:dyDescent="0.3">
      <c r="L32" s="36"/>
    </row>
    <row r="33" spans="12:12" ht="15.75" customHeight="1" x14ac:dyDescent="0.3">
      <c r="L33" s="36"/>
    </row>
    <row r="34" spans="12:12" ht="15.75" customHeight="1" x14ac:dyDescent="0.3">
      <c r="L34" s="36"/>
    </row>
    <row r="35" spans="12:12" ht="15.75" customHeight="1" x14ac:dyDescent="0.3">
      <c r="L35" s="36"/>
    </row>
    <row r="36" spans="12:12" ht="15.75" customHeight="1" x14ac:dyDescent="0.3">
      <c r="L36" s="36"/>
    </row>
    <row r="37" spans="12:12" ht="15.75" customHeight="1" x14ac:dyDescent="0.3">
      <c r="L37" s="36"/>
    </row>
    <row r="38" spans="12:12" ht="15.75" customHeight="1" x14ac:dyDescent="0.3">
      <c r="L38" s="36"/>
    </row>
    <row r="39" spans="12:12" ht="15.75" customHeight="1" x14ac:dyDescent="0.3">
      <c r="L39" s="36"/>
    </row>
    <row r="40" spans="12:12" ht="15.75" customHeight="1" x14ac:dyDescent="0.3">
      <c r="L40" s="36"/>
    </row>
    <row r="41" spans="12:12" ht="15.75" customHeight="1" x14ac:dyDescent="0.3">
      <c r="L41" s="36"/>
    </row>
    <row r="42" spans="12:12" ht="15.75" customHeight="1" x14ac:dyDescent="0.3">
      <c r="L42" s="36"/>
    </row>
    <row r="43" spans="12:12" ht="15.75" customHeight="1" x14ac:dyDescent="0.3">
      <c r="L43" s="36"/>
    </row>
    <row r="44" spans="12:12" ht="15.75" customHeight="1" x14ac:dyDescent="0.3">
      <c r="L44" s="36"/>
    </row>
    <row r="45" spans="12:12" ht="15.75" customHeight="1" x14ac:dyDescent="0.3">
      <c r="L45" s="36"/>
    </row>
    <row r="46" spans="12:12" ht="15.75" customHeight="1" x14ac:dyDescent="0.3">
      <c r="L46" s="36"/>
    </row>
    <row r="47" spans="12:12" ht="15.75" customHeight="1" x14ac:dyDescent="0.3">
      <c r="L47" s="36"/>
    </row>
    <row r="48" spans="12:12" ht="15.75" customHeight="1" x14ac:dyDescent="0.3">
      <c r="L48" s="36"/>
    </row>
    <row r="49" spans="12:12" ht="15.75" customHeight="1" x14ac:dyDescent="0.3">
      <c r="L49" s="36"/>
    </row>
    <row r="50" spans="12:12" ht="15.75" customHeight="1" x14ac:dyDescent="0.3">
      <c r="L50" s="36"/>
    </row>
    <row r="51" spans="12:12" ht="15.75" customHeight="1" x14ac:dyDescent="0.3">
      <c r="L51" s="36"/>
    </row>
    <row r="52" spans="12:12" ht="15.75" customHeight="1" x14ac:dyDescent="0.3">
      <c r="L52" s="36"/>
    </row>
    <row r="53" spans="12:12" ht="15.75" customHeight="1" x14ac:dyDescent="0.3">
      <c r="L53" s="36"/>
    </row>
    <row r="54" spans="12:12" ht="15.75" customHeight="1" x14ac:dyDescent="0.3">
      <c r="L54" s="36"/>
    </row>
    <row r="55" spans="12:12" ht="15.75" customHeight="1" x14ac:dyDescent="0.3">
      <c r="L55" s="36"/>
    </row>
    <row r="56" spans="12:12" ht="15.75" customHeight="1" x14ac:dyDescent="0.3">
      <c r="L56" s="36"/>
    </row>
    <row r="57" spans="12:12" ht="15.75" customHeight="1" x14ac:dyDescent="0.3">
      <c r="L57" s="36"/>
    </row>
    <row r="58" spans="12:12" ht="15.75" customHeight="1" x14ac:dyDescent="0.3">
      <c r="L58" s="36"/>
    </row>
    <row r="59" spans="12:12" ht="15.75" customHeight="1" x14ac:dyDescent="0.3">
      <c r="L59" s="36"/>
    </row>
    <row r="60" spans="12:12" ht="15.75" customHeight="1" x14ac:dyDescent="0.3">
      <c r="L60" s="36"/>
    </row>
    <row r="61" spans="12:12" ht="15.75" customHeight="1" x14ac:dyDescent="0.3">
      <c r="L61" s="36"/>
    </row>
    <row r="62" spans="12:12" ht="15.75" customHeight="1" x14ac:dyDescent="0.3">
      <c r="L62" s="36"/>
    </row>
    <row r="63" spans="12:12" ht="15.75" customHeight="1" x14ac:dyDescent="0.3">
      <c r="L63" s="36"/>
    </row>
    <row r="64" spans="12:12" ht="15.75" customHeight="1" x14ac:dyDescent="0.3">
      <c r="L64" s="36"/>
    </row>
    <row r="65" spans="12:12" ht="15.75" customHeight="1" x14ac:dyDescent="0.3">
      <c r="L65" s="36"/>
    </row>
    <row r="66" spans="12:12" ht="15.75" customHeight="1" x14ac:dyDescent="0.3">
      <c r="L66" s="36"/>
    </row>
    <row r="67" spans="12:12" ht="15.75" customHeight="1" x14ac:dyDescent="0.3">
      <c r="L67" s="36"/>
    </row>
    <row r="68" spans="12:12" ht="15.75" customHeight="1" x14ac:dyDescent="0.3">
      <c r="L68" s="36"/>
    </row>
    <row r="69" spans="12:12" ht="15.75" customHeight="1" x14ac:dyDescent="0.3">
      <c r="L69" s="36"/>
    </row>
    <row r="70" spans="12:12" ht="15.75" customHeight="1" x14ac:dyDescent="0.3">
      <c r="L70" s="36"/>
    </row>
    <row r="71" spans="12:12" ht="15.75" customHeight="1" x14ac:dyDescent="0.3">
      <c r="L71" s="36"/>
    </row>
    <row r="72" spans="12:12" ht="15.75" customHeight="1" x14ac:dyDescent="0.3">
      <c r="L72" s="36"/>
    </row>
    <row r="73" spans="12:12" ht="15.75" customHeight="1" x14ac:dyDescent="0.3">
      <c r="L73" s="36"/>
    </row>
    <row r="74" spans="12:12" ht="15.75" customHeight="1" x14ac:dyDescent="0.3">
      <c r="L74" s="36"/>
    </row>
    <row r="75" spans="12:12" ht="15.75" customHeight="1" x14ac:dyDescent="0.3">
      <c r="L75" s="36"/>
    </row>
    <row r="76" spans="12:12" ht="15.75" customHeight="1" x14ac:dyDescent="0.3">
      <c r="L76" s="36"/>
    </row>
    <row r="77" spans="12:12" ht="15.75" customHeight="1" x14ac:dyDescent="0.3">
      <c r="L77" s="36"/>
    </row>
    <row r="78" spans="12:12" ht="15.75" customHeight="1" x14ac:dyDescent="0.3">
      <c r="L78" s="36"/>
    </row>
    <row r="79" spans="12:12" ht="15.75" customHeight="1" x14ac:dyDescent="0.3">
      <c r="L79" s="36"/>
    </row>
    <row r="80" spans="12:12" ht="15.75" customHeight="1" x14ac:dyDescent="0.3">
      <c r="L80" s="36"/>
    </row>
    <row r="81" spans="12:12" ht="15.75" customHeight="1" x14ac:dyDescent="0.3">
      <c r="L81" s="36"/>
    </row>
    <row r="82" spans="12:12" ht="15.75" customHeight="1" x14ac:dyDescent="0.3">
      <c r="L82" s="36"/>
    </row>
    <row r="83" spans="12:12" ht="15.75" customHeight="1" x14ac:dyDescent="0.3">
      <c r="L83" s="36"/>
    </row>
    <row r="84" spans="12:12" ht="15.75" customHeight="1" x14ac:dyDescent="0.3">
      <c r="L84" s="36"/>
    </row>
    <row r="85" spans="12:12" ht="15.75" customHeight="1" x14ac:dyDescent="0.3">
      <c r="L85" s="36"/>
    </row>
    <row r="86" spans="12:12" ht="15.75" customHeight="1" x14ac:dyDescent="0.3">
      <c r="L86" s="36"/>
    </row>
    <row r="87" spans="12:12" ht="15.75" customHeight="1" x14ac:dyDescent="0.3">
      <c r="L87" s="36"/>
    </row>
    <row r="88" spans="12:12" ht="15.75" customHeight="1" x14ac:dyDescent="0.3">
      <c r="L88" s="36"/>
    </row>
    <row r="89" spans="12:12" ht="15.75" customHeight="1" x14ac:dyDescent="0.3">
      <c r="L89" s="36"/>
    </row>
    <row r="90" spans="12:12" ht="15.75" customHeight="1" x14ac:dyDescent="0.3">
      <c r="L90" s="36"/>
    </row>
    <row r="91" spans="12:12" ht="15.75" customHeight="1" x14ac:dyDescent="0.3">
      <c r="L91" s="36"/>
    </row>
    <row r="92" spans="12:12" ht="15.75" customHeight="1" x14ac:dyDescent="0.3">
      <c r="L92" s="36"/>
    </row>
    <row r="93" spans="12:12" ht="15.75" customHeight="1" x14ac:dyDescent="0.3">
      <c r="L93" s="36"/>
    </row>
    <row r="94" spans="12:12" ht="15.75" customHeight="1" x14ac:dyDescent="0.3">
      <c r="L94" s="36"/>
    </row>
    <row r="95" spans="12:12" ht="15.75" customHeight="1" x14ac:dyDescent="0.3">
      <c r="L95" s="36"/>
    </row>
    <row r="96" spans="12:12" ht="15.75" customHeight="1" x14ac:dyDescent="0.3">
      <c r="L96" s="36"/>
    </row>
    <row r="97" spans="12:12" ht="15.75" customHeight="1" x14ac:dyDescent="0.3">
      <c r="L97" s="36"/>
    </row>
    <row r="98" spans="12:12" ht="15.75" customHeight="1" x14ac:dyDescent="0.3">
      <c r="L98" s="36"/>
    </row>
    <row r="99" spans="12:12" ht="15.75" customHeight="1" x14ac:dyDescent="0.3">
      <c r="L99" s="36"/>
    </row>
    <row r="100" spans="12:12" ht="15.75" customHeight="1" x14ac:dyDescent="0.3">
      <c r="L100" s="36"/>
    </row>
    <row r="101" spans="12:12" ht="15.75" customHeight="1" x14ac:dyDescent="0.3">
      <c r="L101" s="36"/>
    </row>
    <row r="102" spans="12:12" ht="15.75" customHeight="1" x14ac:dyDescent="0.3">
      <c r="L102" s="36"/>
    </row>
    <row r="103" spans="12:12" ht="15.75" customHeight="1" x14ac:dyDescent="0.3">
      <c r="L103" s="36"/>
    </row>
    <row r="104" spans="12:12" ht="15.75" customHeight="1" x14ac:dyDescent="0.3">
      <c r="L104" s="36"/>
    </row>
    <row r="105" spans="12:12" ht="15.75" customHeight="1" x14ac:dyDescent="0.3">
      <c r="L105" s="36"/>
    </row>
    <row r="106" spans="12:12" ht="15.75" customHeight="1" x14ac:dyDescent="0.3">
      <c r="L106" s="36"/>
    </row>
    <row r="107" spans="12:12" ht="15.75" customHeight="1" x14ac:dyDescent="0.3">
      <c r="L107" s="36"/>
    </row>
    <row r="108" spans="12:12" ht="15.75" customHeight="1" x14ac:dyDescent="0.3">
      <c r="L108" s="36"/>
    </row>
    <row r="109" spans="12:12" ht="15.75" customHeight="1" x14ac:dyDescent="0.3">
      <c r="L109" s="36"/>
    </row>
    <row r="110" spans="12:12" ht="15.75" customHeight="1" x14ac:dyDescent="0.3">
      <c r="L110" s="36"/>
    </row>
    <row r="111" spans="12:12" ht="15.75" customHeight="1" x14ac:dyDescent="0.3">
      <c r="L111" s="36"/>
    </row>
    <row r="112" spans="12:12" ht="15.75" customHeight="1" x14ac:dyDescent="0.3">
      <c r="L112" s="36"/>
    </row>
    <row r="113" spans="12:12" ht="15.75" customHeight="1" x14ac:dyDescent="0.3">
      <c r="L113" s="36"/>
    </row>
    <row r="114" spans="12:12" ht="15.75" customHeight="1" x14ac:dyDescent="0.3">
      <c r="L114" s="36"/>
    </row>
    <row r="115" spans="12:12" ht="15.75" customHeight="1" x14ac:dyDescent="0.3">
      <c r="L115" s="36"/>
    </row>
    <row r="116" spans="12:12" ht="15.75" customHeight="1" x14ac:dyDescent="0.3">
      <c r="L116" s="36"/>
    </row>
    <row r="117" spans="12:12" ht="15.75" customHeight="1" x14ac:dyDescent="0.3">
      <c r="L117" s="36"/>
    </row>
    <row r="118" spans="12:12" ht="15.75" customHeight="1" x14ac:dyDescent="0.3">
      <c r="L118" s="36"/>
    </row>
    <row r="119" spans="12:12" ht="15.75" customHeight="1" x14ac:dyDescent="0.3">
      <c r="L119" s="36"/>
    </row>
    <row r="120" spans="12:12" ht="15.75" customHeight="1" x14ac:dyDescent="0.3">
      <c r="L120" s="36"/>
    </row>
    <row r="121" spans="12:12" ht="15.75" customHeight="1" x14ac:dyDescent="0.3">
      <c r="L121" s="36"/>
    </row>
    <row r="122" spans="12:12" ht="15.75" customHeight="1" x14ac:dyDescent="0.3">
      <c r="L122" s="36"/>
    </row>
    <row r="123" spans="12:12" ht="15.75" customHeight="1" x14ac:dyDescent="0.3">
      <c r="L123" s="36"/>
    </row>
    <row r="124" spans="12:12" ht="15.75" customHeight="1" x14ac:dyDescent="0.3">
      <c r="L124" s="36"/>
    </row>
    <row r="125" spans="12:12" ht="15.75" customHeight="1" x14ac:dyDescent="0.3">
      <c r="L125" s="36"/>
    </row>
    <row r="126" spans="12:12" ht="15.75" customHeight="1" x14ac:dyDescent="0.3">
      <c r="L126" s="36"/>
    </row>
    <row r="127" spans="12:12" ht="15.75" customHeight="1" x14ac:dyDescent="0.3">
      <c r="L127" s="36"/>
    </row>
    <row r="128" spans="12:12" ht="15.75" customHeight="1" x14ac:dyDescent="0.3">
      <c r="L128" s="36"/>
    </row>
    <row r="129" spans="12:12" ht="15.75" customHeight="1" x14ac:dyDescent="0.3">
      <c r="L129" s="36"/>
    </row>
    <row r="130" spans="12:12" ht="15.75" customHeight="1" x14ac:dyDescent="0.3">
      <c r="L130" s="36"/>
    </row>
    <row r="131" spans="12:12" ht="15.75" customHeight="1" x14ac:dyDescent="0.3">
      <c r="L131" s="36"/>
    </row>
    <row r="132" spans="12:12" ht="15.75" customHeight="1" x14ac:dyDescent="0.3">
      <c r="L132" s="36"/>
    </row>
    <row r="133" spans="12:12" ht="15.75" customHeight="1" x14ac:dyDescent="0.3">
      <c r="L133" s="36"/>
    </row>
    <row r="134" spans="12:12" ht="15.75" customHeight="1" x14ac:dyDescent="0.3">
      <c r="L134" s="36"/>
    </row>
    <row r="135" spans="12:12" ht="15.75" customHeight="1" x14ac:dyDescent="0.3">
      <c r="L135" s="36"/>
    </row>
    <row r="136" spans="12:12" ht="15.75" customHeight="1" x14ac:dyDescent="0.3">
      <c r="L136" s="36"/>
    </row>
    <row r="137" spans="12:12" ht="15.75" customHeight="1" x14ac:dyDescent="0.3">
      <c r="L137" s="36"/>
    </row>
    <row r="138" spans="12:12" ht="15.75" customHeight="1" x14ac:dyDescent="0.3">
      <c r="L138" s="36"/>
    </row>
    <row r="139" spans="12:12" ht="15.75" customHeight="1" x14ac:dyDescent="0.3">
      <c r="L139" s="36"/>
    </row>
    <row r="140" spans="12:12" ht="15.75" customHeight="1" x14ac:dyDescent="0.3">
      <c r="L140" s="36"/>
    </row>
    <row r="141" spans="12:12" ht="15.75" customHeight="1" x14ac:dyDescent="0.3">
      <c r="L141" s="36"/>
    </row>
    <row r="142" spans="12:12" ht="15.75" customHeight="1" x14ac:dyDescent="0.3">
      <c r="L142" s="36"/>
    </row>
    <row r="143" spans="12:12" ht="15.75" customHeight="1" x14ac:dyDescent="0.3">
      <c r="L143" s="36"/>
    </row>
    <row r="144" spans="12:12" ht="15.75" customHeight="1" x14ac:dyDescent="0.3">
      <c r="L144" s="36"/>
    </row>
    <row r="145" spans="12:12" ht="15.75" customHeight="1" x14ac:dyDescent="0.3">
      <c r="L145" s="36"/>
    </row>
    <row r="146" spans="12:12" ht="15.75" customHeight="1" x14ac:dyDescent="0.3">
      <c r="L146" s="36"/>
    </row>
    <row r="147" spans="12:12" ht="15.75" customHeight="1" x14ac:dyDescent="0.3">
      <c r="L147" s="36"/>
    </row>
    <row r="148" spans="12:12" ht="15.75" customHeight="1" x14ac:dyDescent="0.3">
      <c r="L148" s="36"/>
    </row>
    <row r="149" spans="12:12" ht="15.75" customHeight="1" x14ac:dyDescent="0.3">
      <c r="L149" s="36"/>
    </row>
    <row r="150" spans="12:12" ht="15.75" customHeight="1" x14ac:dyDescent="0.3">
      <c r="L150" s="36"/>
    </row>
    <row r="151" spans="12:12" ht="15.75" customHeight="1" x14ac:dyDescent="0.3">
      <c r="L151" s="36"/>
    </row>
    <row r="152" spans="12:12" ht="15.75" customHeight="1" x14ac:dyDescent="0.3">
      <c r="L152" s="36"/>
    </row>
    <row r="153" spans="12:12" ht="15.75" customHeight="1" x14ac:dyDescent="0.3">
      <c r="L153" s="36"/>
    </row>
    <row r="154" spans="12:12" ht="15.75" customHeight="1" x14ac:dyDescent="0.3">
      <c r="L154" s="36"/>
    </row>
    <row r="155" spans="12:12" ht="15.75" customHeight="1" x14ac:dyDescent="0.3">
      <c r="L155" s="36"/>
    </row>
    <row r="156" spans="12:12" ht="15.75" customHeight="1" x14ac:dyDescent="0.3">
      <c r="L156" s="36"/>
    </row>
    <row r="157" spans="12:12" ht="15.75" customHeight="1" x14ac:dyDescent="0.3">
      <c r="L157" s="36"/>
    </row>
    <row r="158" spans="12:12" ht="15.75" customHeight="1" x14ac:dyDescent="0.3">
      <c r="L158" s="36"/>
    </row>
    <row r="159" spans="12:12" ht="15.75" customHeight="1" x14ac:dyDescent="0.3">
      <c r="L159" s="36"/>
    </row>
    <row r="160" spans="12:12" ht="15.75" customHeight="1" x14ac:dyDescent="0.3">
      <c r="L160" s="36"/>
    </row>
    <row r="161" spans="12:12" ht="15.75" customHeight="1" x14ac:dyDescent="0.3">
      <c r="L161" s="36"/>
    </row>
    <row r="162" spans="12:12" ht="15.75" customHeight="1" x14ac:dyDescent="0.3">
      <c r="L162" s="36"/>
    </row>
    <row r="163" spans="12:12" ht="15.75" customHeight="1" x14ac:dyDescent="0.3">
      <c r="L163" s="36"/>
    </row>
    <row r="164" spans="12:12" ht="15.75" customHeight="1" x14ac:dyDescent="0.3">
      <c r="L164" s="36"/>
    </row>
    <row r="165" spans="12:12" ht="15.75" customHeight="1" x14ac:dyDescent="0.3">
      <c r="L165" s="36"/>
    </row>
    <row r="166" spans="12:12" ht="15.75" customHeight="1" x14ac:dyDescent="0.3">
      <c r="L166" s="36"/>
    </row>
    <row r="167" spans="12:12" ht="15.75" customHeight="1" x14ac:dyDescent="0.3">
      <c r="L167" s="36"/>
    </row>
    <row r="168" spans="12:12" ht="15.75" customHeight="1" x14ac:dyDescent="0.3">
      <c r="L168" s="36"/>
    </row>
    <row r="169" spans="12:12" ht="15.75" customHeight="1" x14ac:dyDescent="0.3">
      <c r="L169" s="36"/>
    </row>
    <row r="170" spans="12:12" ht="15.75" customHeight="1" x14ac:dyDescent="0.3">
      <c r="L170" s="36"/>
    </row>
    <row r="171" spans="12:12" ht="15.75" customHeight="1" x14ac:dyDescent="0.3">
      <c r="L171" s="36"/>
    </row>
    <row r="172" spans="12:12" ht="15.75" customHeight="1" x14ac:dyDescent="0.3">
      <c r="L172" s="36"/>
    </row>
    <row r="173" spans="12:12" ht="15.75" customHeight="1" x14ac:dyDescent="0.3">
      <c r="L173" s="36"/>
    </row>
    <row r="174" spans="12:12" ht="15.75" customHeight="1" x14ac:dyDescent="0.3">
      <c r="L174" s="36"/>
    </row>
    <row r="175" spans="12:12" ht="15.75" customHeight="1" x14ac:dyDescent="0.3">
      <c r="L175" s="36"/>
    </row>
    <row r="176" spans="12:12" ht="15.75" customHeight="1" x14ac:dyDescent="0.3">
      <c r="L176" s="36"/>
    </row>
    <row r="177" spans="12:12" ht="15.75" customHeight="1" x14ac:dyDescent="0.3">
      <c r="L177" s="36"/>
    </row>
    <row r="178" spans="12:12" ht="15.75" customHeight="1" x14ac:dyDescent="0.3">
      <c r="L178" s="36"/>
    </row>
    <row r="179" spans="12:12" ht="15.75" customHeight="1" x14ac:dyDescent="0.3">
      <c r="L179" s="36"/>
    </row>
    <row r="180" spans="12:12" ht="15.75" customHeight="1" x14ac:dyDescent="0.3">
      <c r="L180" s="36"/>
    </row>
    <row r="181" spans="12:12" ht="15.75" customHeight="1" x14ac:dyDescent="0.3">
      <c r="L181" s="36"/>
    </row>
    <row r="182" spans="12:12" ht="15.75" customHeight="1" x14ac:dyDescent="0.3">
      <c r="L182" s="36"/>
    </row>
    <row r="183" spans="12:12" ht="15.75" customHeight="1" x14ac:dyDescent="0.3">
      <c r="L183" s="36"/>
    </row>
    <row r="184" spans="12:12" ht="15.75" customHeight="1" x14ac:dyDescent="0.3">
      <c r="L184" s="36"/>
    </row>
    <row r="185" spans="12:12" ht="15.75" customHeight="1" x14ac:dyDescent="0.3">
      <c r="L185" s="36"/>
    </row>
    <row r="186" spans="12:12" ht="15.75" customHeight="1" x14ac:dyDescent="0.3">
      <c r="L186" s="36"/>
    </row>
    <row r="187" spans="12:12" ht="15.75" customHeight="1" x14ac:dyDescent="0.3">
      <c r="L187" s="36"/>
    </row>
    <row r="188" spans="12:12" ht="15.75" customHeight="1" x14ac:dyDescent="0.3">
      <c r="L188" s="36"/>
    </row>
    <row r="189" spans="12:12" ht="15.75" customHeight="1" x14ac:dyDescent="0.3">
      <c r="L189" s="36"/>
    </row>
    <row r="190" spans="12:12" ht="15.75" customHeight="1" x14ac:dyDescent="0.3">
      <c r="L190" s="36"/>
    </row>
    <row r="191" spans="12:12" ht="15.75" customHeight="1" x14ac:dyDescent="0.3">
      <c r="L191" s="36"/>
    </row>
    <row r="192" spans="12:12" ht="15.75" customHeight="1" x14ac:dyDescent="0.3">
      <c r="L192" s="36"/>
    </row>
    <row r="193" spans="12:12" ht="15.75" customHeight="1" x14ac:dyDescent="0.3">
      <c r="L193" s="36"/>
    </row>
    <row r="194" spans="12:12" ht="15.75" customHeight="1" x14ac:dyDescent="0.3">
      <c r="L194" s="36"/>
    </row>
    <row r="195" spans="12:12" ht="15.75" customHeight="1" x14ac:dyDescent="0.3">
      <c r="L195" s="36"/>
    </row>
    <row r="196" spans="12:12" ht="15.75" customHeight="1" x14ac:dyDescent="0.3">
      <c r="L196" s="36"/>
    </row>
    <row r="197" spans="12:12" ht="15.75" customHeight="1" x14ac:dyDescent="0.3">
      <c r="L197" s="36"/>
    </row>
    <row r="198" spans="12:12" ht="15.75" customHeight="1" x14ac:dyDescent="0.3">
      <c r="L198" s="36"/>
    </row>
    <row r="199" spans="12:12" ht="15.75" customHeight="1" x14ac:dyDescent="0.3">
      <c r="L199" s="36"/>
    </row>
    <row r="200" spans="12:12" ht="15.75" customHeight="1" x14ac:dyDescent="0.3">
      <c r="L200" s="36"/>
    </row>
    <row r="201" spans="12:12" ht="15.75" customHeight="1" x14ac:dyDescent="0.3">
      <c r="L201" s="36"/>
    </row>
    <row r="202" spans="12:12" ht="15.75" customHeight="1" x14ac:dyDescent="0.3">
      <c r="L202" s="36"/>
    </row>
    <row r="203" spans="12:12" ht="15.75" customHeight="1" x14ac:dyDescent="0.3">
      <c r="L203" s="36"/>
    </row>
    <row r="204" spans="12:12" ht="15.75" customHeight="1" x14ac:dyDescent="0.3">
      <c r="L204" s="36"/>
    </row>
    <row r="205" spans="12:12" ht="15.75" customHeight="1" x14ac:dyDescent="0.3">
      <c r="L205" s="36"/>
    </row>
    <row r="206" spans="12:12" ht="15.75" customHeight="1" x14ac:dyDescent="0.3">
      <c r="L206" s="36"/>
    </row>
    <row r="207" spans="12:12" ht="15.75" customHeight="1" x14ac:dyDescent="0.3">
      <c r="L207" s="36"/>
    </row>
    <row r="208" spans="12:12" ht="15.75" customHeight="1" x14ac:dyDescent="0.3">
      <c r="L208" s="36"/>
    </row>
    <row r="209" spans="12:12" ht="15.75" customHeight="1" x14ac:dyDescent="0.3">
      <c r="L209" s="36"/>
    </row>
    <row r="210" spans="12:12" ht="15.75" customHeight="1" x14ac:dyDescent="0.3">
      <c r="L210" s="36"/>
    </row>
    <row r="211" spans="12:12" ht="15.75" customHeight="1" x14ac:dyDescent="0.3">
      <c r="L211" s="36"/>
    </row>
    <row r="212" spans="12:12" ht="15.75" customHeight="1" x14ac:dyDescent="0.3">
      <c r="L212" s="36"/>
    </row>
    <row r="213" spans="12:12" ht="15.75" customHeight="1" x14ac:dyDescent="0.3">
      <c r="L213" s="36"/>
    </row>
    <row r="214" spans="12:12" ht="15.75" customHeight="1" x14ac:dyDescent="0.3">
      <c r="L214" s="36"/>
    </row>
    <row r="215" spans="12:12" ht="15.75" customHeight="1" x14ac:dyDescent="0.3">
      <c r="L215" s="36"/>
    </row>
    <row r="216" spans="12:12" ht="15.75" customHeight="1" x14ac:dyDescent="0.3">
      <c r="L216" s="36"/>
    </row>
    <row r="217" spans="12:12" ht="15.75" customHeight="1" x14ac:dyDescent="0.3">
      <c r="L217" s="36"/>
    </row>
    <row r="218" spans="12:12" ht="15.75" customHeight="1" x14ac:dyDescent="0.3">
      <c r="L218" s="36"/>
    </row>
    <row r="219" spans="12:12" ht="15.75" customHeight="1" x14ac:dyDescent="0.3">
      <c r="L219" s="36"/>
    </row>
    <row r="220" spans="12:12" ht="15.75" customHeight="1" x14ac:dyDescent="0.3">
      <c r="L220" s="36"/>
    </row>
    <row r="221" spans="12:12" ht="15.75" customHeight="1" x14ac:dyDescent="0.3">
      <c r="L221" s="36"/>
    </row>
    <row r="222" spans="12:12" ht="15.75" customHeight="1" x14ac:dyDescent="0.3">
      <c r="L222" s="36"/>
    </row>
    <row r="223" spans="12:12" ht="15.75" customHeight="1" x14ac:dyDescent="0.3">
      <c r="L223" s="36"/>
    </row>
    <row r="224" spans="12:12" ht="15.75" customHeight="1" x14ac:dyDescent="0.3">
      <c r="L224" s="36"/>
    </row>
    <row r="225" spans="12:12" ht="15.75" customHeight="1" x14ac:dyDescent="0.3">
      <c r="L225" s="36"/>
    </row>
    <row r="226" spans="12:12" ht="15.75" customHeight="1" x14ac:dyDescent="0.3">
      <c r="L226" s="36"/>
    </row>
    <row r="227" spans="12:12" ht="15.75" customHeight="1" x14ac:dyDescent="0.3">
      <c r="L227" s="36"/>
    </row>
    <row r="228" spans="12:12" ht="15.75" customHeight="1" x14ac:dyDescent="0.3">
      <c r="L228" s="36"/>
    </row>
    <row r="229" spans="12:12" ht="15.75" customHeight="1" x14ac:dyDescent="0.3">
      <c r="L229" s="36"/>
    </row>
    <row r="230" spans="12:12" ht="15.75" customHeight="1" x14ac:dyDescent="0.3">
      <c r="L230" s="36"/>
    </row>
    <row r="231" spans="12:12" ht="15.75" customHeight="1" x14ac:dyDescent="0.3">
      <c r="L231" s="36"/>
    </row>
    <row r="232" spans="12:12" ht="15.75" customHeight="1" x14ac:dyDescent="0.3">
      <c r="L232" s="36"/>
    </row>
    <row r="233" spans="12:12" ht="15.75" customHeight="1" x14ac:dyDescent="0.3">
      <c r="L233" s="36"/>
    </row>
    <row r="234" spans="12:12" ht="15.75" customHeight="1" x14ac:dyDescent="0.3">
      <c r="L234" s="36"/>
    </row>
    <row r="235" spans="12:12" ht="15.75" customHeight="1" x14ac:dyDescent="0.3">
      <c r="L235" s="36"/>
    </row>
    <row r="236" spans="12:12" ht="15.75" customHeight="1" x14ac:dyDescent="0.3">
      <c r="L236" s="36"/>
    </row>
    <row r="237" spans="12:12" ht="15.75" customHeight="1" x14ac:dyDescent="0.3">
      <c r="L237" s="36"/>
    </row>
    <row r="238" spans="12:12" ht="15.75" customHeight="1" x14ac:dyDescent="0.3">
      <c r="L238" s="36"/>
    </row>
    <row r="239" spans="12:12" ht="15.75" customHeight="1" x14ac:dyDescent="0.3">
      <c r="L239" s="36"/>
    </row>
    <row r="240" spans="12:12" ht="15.75" customHeight="1" x14ac:dyDescent="0.3">
      <c r="L240" s="36"/>
    </row>
    <row r="241" spans="12:12" ht="15.75" customHeight="1" x14ac:dyDescent="0.3">
      <c r="L241" s="36"/>
    </row>
    <row r="242" spans="12:12" ht="15.75" customHeight="1" x14ac:dyDescent="0.3">
      <c r="L242" s="36"/>
    </row>
    <row r="243" spans="12:12" ht="15.75" customHeight="1" x14ac:dyDescent="0.3">
      <c r="L243" s="36"/>
    </row>
    <row r="244" spans="12:12" ht="15.75" customHeight="1" x14ac:dyDescent="0.3">
      <c r="L244" s="36"/>
    </row>
    <row r="245" spans="12:12" ht="15.75" customHeight="1" x14ac:dyDescent="0.3">
      <c r="L245" s="36"/>
    </row>
    <row r="246" spans="12:12" ht="15.75" customHeight="1" x14ac:dyDescent="0.3">
      <c r="L246" s="36"/>
    </row>
    <row r="247" spans="12:12" ht="15.75" customHeight="1" x14ac:dyDescent="0.3">
      <c r="L247" s="36"/>
    </row>
    <row r="248" spans="12:12" ht="15.75" customHeight="1" x14ac:dyDescent="0.3">
      <c r="L248" s="36"/>
    </row>
    <row r="249" spans="12:12" ht="15.75" customHeight="1" x14ac:dyDescent="0.3">
      <c r="L249" s="36"/>
    </row>
    <row r="250" spans="12:12" ht="15.75" customHeight="1" x14ac:dyDescent="0.3">
      <c r="L250" s="36"/>
    </row>
    <row r="251" spans="12:12" ht="15.75" customHeight="1" x14ac:dyDescent="0.3">
      <c r="L251" s="36"/>
    </row>
    <row r="252" spans="12:12" ht="15.75" customHeight="1" x14ac:dyDescent="0.3">
      <c r="L252" s="36"/>
    </row>
    <row r="253" spans="12:12" ht="15.75" customHeight="1" x14ac:dyDescent="0.3">
      <c r="L253" s="36"/>
    </row>
    <row r="254" spans="12:12" ht="15.75" customHeight="1" x14ac:dyDescent="0.3">
      <c r="L254" s="36"/>
    </row>
    <row r="255" spans="12:12" ht="15.75" customHeight="1" x14ac:dyDescent="0.3">
      <c r="L255" s="36"/>
    </row>
    <row r="256" spans="12:12" ht="15.75" customHeight="1" x14ac:dyDescent="0.3">
      <c r="L256" s="36"/>
    </row>
    <row r="257" spans="12:12" ht="15.75" customHeight="1" x14ac:dyDescent="0.3">
      <c r="L257" s="36"/>
    </row>
    <row r="258" spans="12:12" ht="15.75" customHeight="1" x14ac:dyDescent="0.3">
      <c r="L258" s="36"/>
    </row>
    <row r="259" spans="12:12" ht="15.75" customHeight="1" x14ac:dyDescent="0.3">
      <c r="L259" s="36"/>
    </row>
    <row r="260" spans="12:12" ht="15.75" customHeight="1" x14ac:dyDescent="0.3">
      <c r="L260" s="36"/>
    </row>
    <row r="261" spans="12:12" ht="15.75" customHeight="1" x14ac:dyDescent="0.3">
      <c r="L261" s="36"/>
    </row>
    <row r="262" spans="12:12" ht="15.75" customHeight="1" x14ac:dyDescent="0.3">
      <c r="L262" s="36"/>
    </row>
    <row r="263" spans="12:12" ht="15.75" customHeight="1" x14ac:dyDescent="0.3">
      <c r="L263" s="36"/>
    </row>
    <row r="264" spans="12:12" ht="15.75" customHeight="1" x14ac:dyDescent="0.3">
      <c r="L264" s="36"/>
    </row>
    <row r="265" spans="12:12" ht="15.75" customHeight="1" x14ac:dyDescent="0.3">
      <c r="L265" s="36"/>
    </row>
    <row r="266" spans="12:12" ht="15.75" customHeight="1" x14ac:dyDescent="0.3">
      <c r="L266" s="36"/>
    </row>
    <row r="267" spans="12:12" ht="15.75" customHeight="1" x14ac:dyDescent="0.3">
      <c r="L267" s="36"/>
    </row>
    <row r="268" spans="12:12" ht="15.75" customHeight="1" x14ac:dyDescent="0.3">
      <c r="L268" s="36"/>
    </row>
    <row r="269" spans="12:12" ht="15.75" customHeight="1" x14ac:dyDescent="0.3">
      <c r="L269" s="36"/>
    </row>
    <row r="270" spans="12:12" ht="15.75" customHeight="1" x14ac:dyDescent="0.3">
      <c r="L270" s="36"/>
    </row>
    <row r="271" spans="12:12" ht="15.75" customHeight="1" x14ac:dyDescent="0.3">
      <c r="L271" s="36"/>
    </row>
    <row r="272" spans="12:12" ht="15.75" customHeight="1" x14ac:dyDescent="0.3">
      <c r="L272" s="36"/>
    </row>
    <row r="273" spans="12:12" ht="15.75" customHeight="1" x14ac:dyDescent="0.3">
      <c r="L273" s="36"/>
    </row>
    <row r="274" spans="12:12" ht="15.75" customHeight="1" x14ac:dyDescent="0.3">
      <c r="L274" s="36"/>
    </row>
    <row r="275" spans="12:12" ht="15.75" customHeight="1" x14ac:dyDescent="0.3">
      <c r="L275" s="36"/>
    </row>
    <row r="276" spans="12:12" ht="15.75" customHeight="1" x14ac:dyDescent="0.3">
      <c r="L276" s="36"/>
    </row>
    <row r="277" spans="12:12" ht="15.75" customHeight="1" x14ac:dyDescent="0.3">
      <c r="L277" s="36"/>
    </row>
    <row r="278" spans="12:12" ht="15.75" customHeight="1" x14ac:dyDescent="0.3">
      <c r="L278" s="36"/>
    </row>
    <row r="279" spans="12:12" ht="15.75" customHeight="1" x14ac:dyDescent="0.3">
      <c r="L279" s="36"/>
    </row>
    <row r="280" spans="12:12" ht="15.75" customHeight="1" x14ac:dyDescent="0.3">
      <c r="L280" s="36"/>
    </row>
    <row r="281" spans="12:12" ht="15.75" customHeight="1" x14ac:dyDescent="0.3">
      <c r="L281" s="36"/>
    </row>
    <row r="282" spans="12:12" ht="15.75" customHeight="1" x14ac:dyDescent="0.3">
      <c r="L282" s="36"/>
    </row>
    <row r="283" spans="12:12" ht="15.75" customHeight="1" x14ac:dyDescent="0.3">
      <c r="L283" s="36"/>
    </row>
    <row r="284" spans="12:12" ht="15.75" customHeight="1" x14ac:dyDescent="0.3">
      <c r="L284" s="36"/>
    </row>
    <row r="285" spans="12:12" ht="15.75" customHeight="1" x14ac:dyDescent="0.3">
      <c r="L285" s="36"/>
    </row>
    <row r="286" spans="12:12" ht="15.75" customHeight="1" x14ac:dyDescent="0.3">
      <c r="L286" s="36"/>
    </row>
    <row r="287" spans="12:12" ht="15.75" customHeight="1" x14ac:dyDescent="0.3">
      <c r="L287" s="36"/>
    </row>
    <row r="288" spans="12:12" ht="15.75" customHeight="1" x14ac:dyDescent="0.3">
      <c r="L288" s="36"/>
    </row>
    <row r="289" spans="12:12" ht="15.75" customHeight="1" x14ac:dyDescent="0.3">
      <c r="L289" s="36"/>
    </row>
    <row r="290" spans="12:12" ht="15.75" customHeight="1" x14ac:dyDescent="0.3">
      <c r="L290" s="36"/>
    </row>
    <row r="291" spans="12:12" ht="15.75" customHeight="1" x14ac:dyDescent="0.3">
      <c r="L291" s="36"/>
    </row>
    <row r="292" spans="12:12" ht="15.75" customHeight="1" x14ac:dyDescent="0.3">
      <c r="L292" s="36"/>
    </row>
    <row r="293" spans="12:12" ht="15.75" customHeight="1" x14ac:dyDescent="0.3">
      <c r="L293" s="36"/>
    </row>
    <row r="294" spans="12:12" ht="15.75" customHeight="1" x14ac:dyDescent="0.3">
      <c r="L294" s="36"/>
    </row>
    <row r="295" spans="12:12" ht="15.75" customHeight="1" x14ac:dyDescent="0.3">
      <c r="L295" s="36"/>
    </row>
    <row r="296" spans="12:12" ht="15.75" customHeight="1" x14ac:dyDescent="0.3">
      <c r="L296" s="36"/>
    </row>
    <row r="297" spans="12:12" ht="15.75" customHeight="1" x14ac:dyDescent="0.3">
      <c r="L297" s="36"/>
    </row>
    <row r="298" spans="12:12" ht="15.75" customHeight="1" x14ac:dyDescent="0.3">
      <c r="L298" s="36"/>
    </row>
    <row r="299" spans="12:12" ht="15.75" customHeight="1" x14ac:dyDescent="0.3">
      <c r="L299" s="36"/>
    </row>
    <row r="300" spans="12:12" ht="15.75" customHeight="1" x14ac:dyDescent="0.3">
      <c r="L300" s="36"/>
    </row>
    <row r="301" spans="12:12" ht="15.75" customHeight="1" x14ac:dyDescent="0.3">
      <c r="L301" s="36"/>
    </row>
    <row r="302" spans="12:12" ht="15.75" customHeight="1" x14ac:dyDescent="0.3">
      <c r="L302" s="36"/>
    </row>
    <row r="303" spans="12:12" ht="15.75" customHeight="1" x14ac:dyDescent="0.3">
      <c r="L303" s="36"/>
    </row>
    <row r="304" spans="12:12" ht="15.75" customHeight="1" x14ac:dyDescent="0.3">
      <c r="L304" s="36"/>
    </row>
    <row r="305" spans="12:12" ht="15.75" customHeight="1" x14ac:dyDescent="0.3">
      <c r="L305" s="36"/>
    </row>
    <row r="306" spans="12:12" ht="15.75" customHeight="1" x14ac:dyDescent="0.3">
      <c r="L306" s="36"/>
    </row>
    <row r="307" spans="12:12" ht="15.75" customHeight="1" x14ac:dyDescent="0.3">
      <c r="L307" s="36"/>
    </row>
    <row r="308" spans="12:12" ht="15.75" customHeight="1" x14ac:dyDescent="0.3">
      <c r="L308" s="36"/>
    </row>
    <row r="309" spans="12:12" ht="15.75" customHeight="1" x14ac:dyDescent="0.3">
      <c r="L309" s="36"/>
    </row>
    <row r="310" spans="12:12" ht="15.75" customHeight="1" x14ac:dyDescent="0.3">
      <c r="L310" s="36"/>
    </row>
    <row r="311" spans="12:12" ht="15.75" customHeight="1" x14ac:dyDescent="0.3">
      <c r="L311" s="36"/>
    </row>
    <row r="312" spans="12:12" ht="15.75" customHeight="1" x14ac:dyDescent="0.3">
      <c r="L312" s="36"/>
    </row>
    <row r="313" spans="12:12" ht="15.75" customHeight="1" x14ac:dyDescent="0.3">
      <c r="L313" s="36"/>
    </row>
    <row r="314" spans="12:12" ht="15.75" customHeight="1" x14ac:dyDescent="0.3">
      <c r="L314" s="36"/>
    </row>
    <row r="315" spans="12:12" ht="15.75" customHeight="1" x14ac:dyDescent="0.3">
      <c r="L315" s="36"/>
    </row>
    <row r="316" spans="12:12" ht="15.75" customHeight="1" x14ac:dyDescent="0.3">
      <c r="L316" s="36"/>
    </row>
    <row r="317" spans="12:12" ht="15.75" customHeight="1" x14ac:dyDescent="0.3">
      <c r="L317" s="36"/>
    </row>
    <row r="318" spans="12:12" ht="15.75" customHeight="1" x14ac:dyDescent="0.3">
      <c r="L318" s="36"/>
    </row>
    <row r="319" spans="12:12" ht="15.75" customHeight="1" x14ac:dyDescent="0.3">
      <c r="L319" s="36"/>
    </row>
    <row r="320" spans="12:12" ht="15.75" customHeight="1" x14ac:dyDescent="0.3">
      <c r="L320" s="36"/>
    </row>
    <row r="321" spans="12:12" ht="15.75" customHeight="1" x14ac:dyDescent="0.3">
      <c r="L321" s="36"/>
    </row>
    <row r="322" spans="12:12" ht="15.75" customHeight="1" x14ac:dyDescent="0.3">
      <c r="L322" s="36"/>
    </row>
    <row r="323" spans="12:12" ht="15.75" customHeight="1" x14ac:dyDescent="0.3">
      <c r="L323" s="36"/>
    </row>
    <row r="324" spans="12:12" ht="15.75" customHeight="1" x14ac:dyDescent="0.3">
      <c r="L324" s="36"/>
    </row>
    <row r="325" spans="12:12" ht="15.75" customHeight="1" x14ac:dyDescent="0.3">
      <c r="L325" s="36"/>
    </row>
    <row r="326" spans="12:12" ht="15.75" customHeight="1" x14ac:dyDescent="0.3">
      <c r="L326" s="36"/>
    </row>
    <row r="327" spans="12:12" ht="15.75" customHeight="1" x14ac:dyDescent="0.3">
      <c r="L327" s="36"/>
    </row>
    <row r="328" spans="12:12" ht="15.75" customHeight="1" x14ac:dyDescent="0.3">
      <c r="L328" s="36"/>
    </row>
    <row r="329" spans="12:12" ht="15.75" customHeight="1" x14ac:dyDescent="0.3">
      <c r="L329" s="36"/>
    </row>
    <row r="330" spans="12:12" ht="15.75" customHeight="1" x14ac:dyDescent="0.3">
      <c r="L330" s="36"/>
    </row>
    <row r="331" spans="12:12" ht="15.75" customHeight="1" x14ac:dyDescent="0.3">
      <c r="L331" s="36"/>
    </row>
    <row r="332" spans="12:12" ht="15.75" customHeight="1" x14ac:dyDescent="0.3">
      <c r="L332" s="36"/>
    </row>
    <row r="333" spans="12:12" ht="15.75" customHeight="1" x14ac:dyDescent="0.3">
      <c r="L333" s="36"/>
    </row>
    <row r="334" spans="12:12" ht="15.75" customHeight="1" x14ac:dyDescent="0.3">
      <c r="L334" s="36"/>
    </row>
    <row r="335" spans="12:12" ht="15.75" customHeight="1" x14ac:dyDescent="0.3">
      <c r="L335" s="36"/>
    </row>
    <row r="336" spans="12:12" ht="15.75" customHeight="1" x14ac:dyDescent="0.3">
      <c r="L336" s="36"/>
    </row>
    <row r="337" spans="12:12" ht="15.75" customHeight="1" x14ac:dyDescent="0.3">
      <c r="L337" s="36"/>
    </row>
    <row r="338" spans="12:12" ht="15.75" customHeight="1" x14ac:dyDescent="0.3">
      <c r="L338" s="36"/>
    </row>
    <row r="339" spans="12:12" ht="15.75" customHeight="1" x14ac:dyDescent="0.3">
      <c r="L339" s="36"/>
    </row>
    <row r="340" spans="12:12" ht="15.75" customHeight="1" x14ac:dyDescent="0.3">
      <c r="L340" s="36"/>
    </row>
    <row r="341" spans="12:12" ht="15.75" customHeight="1" x14ac:dyDescent="0.3">
      <c r="L341" s="36"/>
    </row>
    <row r="342" spans="12:12" ht="15.75" customHeight="1" x14ac:dyDescent="0.3">
      <c r="L342" s="36"/>
    </row>
    <row r="343" spans="12:12" ht="15.75" customHeight="1" x14ac:dyDescent="0.3">
      <c r="L343" s="36"/>
    </row>
    <row r="344" spans="12:12" ht="15.75" customHeight="1" x14ac:dyDescent="0.3">
      <c r="L344" s="36"/>
    </row>
    <row r="345" spans="12:12" ht="15.75" customHeight="1" x14ac:dyDescent="0.3">
      <c r="L345" s="36"/>
    </row>
    <row r="346" spans="12:12" ht="15.75" customHeight="1" x14ac:dyDescent="0.3">
      <c r="L346" s="36"/>
    </row>
    <row r="347" spans="12:12" ht="15.75" customHeight="1" x14ac:dyDescent="0.3">
      <c r="L347" s="36"/>
    </row>
    <row r="348" spans="12:12" ht="15.75" customHeight="1" x14ac:dyDescent="0.3">
      <c r="L348" s="36"/>
    </row>
    <row r="349" spans="12:12" ht="15.75" customHeight="1" x14ac:dyDescent="0.3">
      <c r="L349" s="36"/>
    </row>
    <row r="350" spans="12:12" ht="15.75" customHeight="1" x14ac:dyDescent="0.3">
      <c r="L350" s="36"/>
    </row>
    <row r="351" spans="12:12" ht="15.75" customHeight="1" x14ac:dyDescent="0.3">
      <c r="L351" s="36"/>
    </row>
    <row r="352" spans="12:12" ht="15.75" customHeight="1" x14ac:dyDescent="0.3">
      <c r="L352" s="36"/>
    </row>
    <row r="353" spans="12:12" ht="15.75" customHeight="1" x14ac:dyDescent="0.3">
      <c r="L353" s="36"/>
    </row>
    <row r="354" spans="12:12" ht="15.75" customHeight="1" x14ac:dyDescent="0.3">
      <c r="L354" s="36"/>
    </row>
    <row r="355" spans="12:12" ht="15.75" customHeight="1" x14ac:dyDescent="0.3">
      <c r="L355" s="36"/>
    </row>
    <row r="356" spans="12:12" ht="15.75" customHeight="1" x14ac:dyDescent="0.3">
      <c r="L356" s="36"/>
    </row>
    <row r="357" spans="12:12" ht="15.75" customHeight="1" x14ac:dyDescent="0.3">
      <c r="L357" s="36"/>
    </row>
    <row r="358" spans="12:12" ht="15.75" customHeight="1" x14ac:dyDescent="0.3">
      <c r="L358" s="36"/>
    </row>
    <row r="359" spans="12:12" ht="15.75" customHeight="1" x14ac:dyDescent="0.3">
      <c r="L359" s="36"/>
    </row>
    <row r="360" spans="12:12" ht="15.75" customHeight="1" x14ac:dyDescent="0.3">
      <c r="L360" s="36"/>
    </row>
    <row r="361" spans="12:12" ht="15.75" customHeight="1" x14ac:dyDescent="0.3">
      <c r="L361" s="36"/>
    </row>
    <row r="362" spans="12:12" ht="15.75" customHeight="1" x14ac:dyDescent="0.3">
      <c r="L362" s="36"/>
    </row>
    <row r="363" spans="12:12" ht="15.75" customHeight="1" x14ac:dyDescent="0.3">
      <c r="L363" s="36"/>
    </row>
    <row r="364" spans="12:12" ht="15.75" customHeight="1" x14ac:dyDescent="0.3">
      <c r="L364" s="36"/>
    </row>
    <row r="365" spans="12:12" ht="15.75" customHeight="1" x14ac:dyDescent="0.3">
      <c r="L365" s="36"/>
    </row>
    <row r="366" spans="12:12" ht="15.75" customHeight="1" x14ac:dyDescent="0.3">
      <c r="L366" s="36"/>
    </row>
    <row r="367" spans="12:12" ht="15.75" customHeight="1" x14ac:dyDescent="0.3">
      <c r="L367" s="36"/>
    </row>
    <row r="368" spans="12:12" ht="15.75" customHeight="1" x14ac:dyDescent="0.3">
      <c r="L368" s="36"/>
    </row>
    <row r="369" spans="12:12" ht="15.75" customHeight="1" x14ac:dyDescent="0.3">
      <c r="L369" s="36"/>
    </row>
    <row r="370" spans="12:12" ht="15.75" customHeight="1" x14ac:dyDescent="0.3">
      <c r="L370" s="36"/>
    </row>
    <row r="371" spans="12:12" ht="15.75" customHeight="1" x14ac:dyDescent="0.3">
      <c r="L371" s="36"/>
    </row>
    <row r="372" spans="12:12" ht="15.75" customHeight="1" x14ac:dyDescent="0.3">
      <c r="L372" s="36"/>
    </row>
    <row r="373" spans="12:12" ht="15.75" customHeight="1" x14ac:dyDescent="0.3">
      <c r="L373" s="36"/>
    </row>
    <row r="374" spans="12:12" ht="15.75" customHeight="1" x14ac:dyDescent="0.3">
      <c r="L374" s="36"/>
    </row>
    <row r="375" spans="12:12" ht="15.75" customHeight="1" x14ac:dyDescent="0.3">
      <c r="L375" s="36"/>
    </row>
    <row r="376" spans="12:12" ht="15.75" customHeight="1" x14ac:dyDescent="0.3">
      <c r="L376" s="36"/>
    </row>
    <row r="377" spans="12:12" ht="15.75" customHeight="1" x14ac:dyDescent="0.3">
      <c r="L377" s="36"/>
    </row>
    <row r="378" spans="12:12" ht="15.75" customHeight="1" x14ac:dyDescent="0.3">
      <c r="L378" s="36"/>
    </row>
    <row r="379" spans="12:12" ht="15.75" customHeight="1" x14ac:dyDescent="0.3">
      <c r="L379" s="36"/>
    </row>
    <row r="380" spans="12:12" ht="15.75" customHeight="1" x14ac:dyDescent="0.3">
      <c r="L380" s="36"/>
    </row>
    <row r="381" spans="12:12" ht="15.75" customHeight="1" x14ac:dyDescent="0.3">
      <c r="L381" s="36"/>
    </row>
    <row r="382" spans="12:12" ht="15.75" customHeight="1" x14ac:dyDescent="0.3">
      <c r="L382" s="36"/>
    </row>
    <row r="383" spans="12:12" ht="15.75" customHeight="1" x14ac:dyDescent="0.3">
      <c r="L383" s="36"/>
    </row>
    <row r="384" spans="12:12" ht="15.75" customHeight="1" x14ac:dyDescent="0.3">
      <c r="L384" s="36"/>
    </row>
    <row r="385" spans="12:12" ht="15.75" customHeight="1" x14ac:dyDescent="0.3">
      <c r="L385" s="36"/>
    </row>
    <row r="386" spans="12:12" ht="15.75" customHeight="1" x14ac:dyDescent="0.3">
      <c r="L386" s="36"/>
    </row>
    <row r="387" spans="12:12" ht="15.75" customHeight="1" x14ac:dyDescent="0.3">
      <c r="L387" s="36"/>
    </row>
    <row r="388" spans="12:12" ht="15.75" customHeight="1" x14ac:dyDescent="0.3">
      <c r="L388" s="36"/>
    </row>
    <row r="389" spans="12:12" ht="15.75" customHeight="1" x14ac:dyDescent="0.3">
      <c r="L389" s="36"/>
    </row>
    <row r="390" spans="12:12" ht="15.75" customHeight="1" x14ac:dyDescent="0.3">
      <c r="L390" s="36"/>
    </row>
    <row r="391" spans="12:12" ht="15.75" customHeight="1" x14ac:dyDescent="0.3">
      <c r="L391" s="36"/>
    </row>
    <row r="392" spans="12:12" ht="15.75" customHeight="1" x14ac:dyDescent="0.3">
      <c r="L392" s="36"/>
    </row>
    <row r="393" spans="12:12" ht="15.75" customHeight="1" x14ac:dyDescent="0.3">
      <c r="L393" s="36"/>
    </row>
    <row r="394" spans="12:12" ht="15.75" customHeight="1" x14ac:dyDescent="0.3">
      <c r="L394" s="36"/>
    </row>
    <row r="395" spans="12:12" ht="15.75" customHeight="1" x14ac:dyDescent="0.3">
      <c r="L395" s="36"/>
    </row>
    <row r="396" spans="12:12" ht="15.75" customHeight="1" x14ac:dyDescent="0.3">
      <c r="L396" s="36"/>
    </row>
    <row r="397" spans="12:12" ht="15.75" customHeight="1" x14ac:dyDescent="0.3">
      <c r="L397" s="36"/>
    </row>
    <row r="398" spans="12:12" ht="15.75" customHeight="1" x14ac:dyDescent="0.3">
      <c r="L398" s="36"/>
    </row>
    <row r="399" spans="12:12" ht="15.75" customHeight="1" x14ac:dyDescent="0.3">
      <c r="L399" s="36"/>
    </row>
    <row r="400" spans="12:12" ht="15.75" customHeight="1" x14ac:dyDescent="0.3">
      <c r="L400" s="36"/>
    </row>
    <row r="401" spans="12:12" ht="15.75" customHeight="1" x14ac:dyDescent="0.3">
      <c r="L401" s="36"/>
    </row>
    <row r="402" spans="12:12" ht="15.75" customHeight="1" x14ac:dyDescent="0.3">
      <c r="L402" s="36"/>
    </row>
    <row r="403" spans="12:12" ht="15.75" customHeight="1" x14ac:dyDescent="0.3">
      <c r="L403" s="36"/>
    </row>
    <row r="404" spans="12:12" ht="15.75" customHeight="1" x14ac:dyDescent="0.3">
      <c r="L404" s="36"/>
    </row>
    <row r="405" spans="12:12" ht="15.75" customHeight="1" x14ac:dyDescent="0.3">
      <c r="L405" s="36"/>
    </row>
    <row r="406" spans="12:12" ht="15.75" customHeight="1" x14ac:dyDescent="0.3">
      <c r="L406" s="36"/>
    </row>
    <row r="407" spans="12:12" ht="15.75" customHeight="1" x14ac:dyDescent="0.3">
      <c r="L407" s="36"/>
    </row>
    <row r="408" spans="12:12" ht="15.75" customHeight="1" x14ac:dyDescent="0.3">
      <c r="L408" s="36"/>
    </row>
    <row r="409" spans="12:12" ht="15.75" customHeight="1" x14ac:dyDescent="0.3">
      <c r="L409" s="36"/>
    </row>
    <row r="410" spans="12:12" ht="15.75" customHeight="1" x14ac:dyDescent="0.3">
      <c r="L410" s="36"/>
    </row>
    <row r="411" spans="12:12" ht="15.75" customHeight="1" x14ac:dyDescent="0.3">
      <c r="L411" s="36"/>
    </row>
    <row r="412" spans="12:12" ht="15.75" customHeight="1" x14ac:dyDescent="0.3">
      <c r="L412" s="36"/>
    </row>
    <row r="413" spans="12:12" ht="15.75" customHeight="1" x14ac:dyDescent="0.3">
      <c r="L413" s="36"/>
    </row>
    <row r="414" spans="12:12" ht="15.75" customHeight="1" x14ac:dyDescent="0.3">
      <c r="L414" s="36"/>
    </row>
    <row r="415" spans="12:12" ht="15.75" customHeight="1" x14ac:dyDescent="0.3">
      <c r="L415" s="36"/>
    </row>
    <row r="416" spans="12:12" ht="15.75" customHeight="1" x14ac:dyDescent="0.3">
      <c r="L416" s="36"/>
    </row>
    <row r="417" spans="12:12" ht="15.75" customHeight="1" x14ac:dyDescent="0.3">
      <c r="L417" s="36"/>
    </row>
    <row r="418" spans="12:12" ht="15.75" customHeight="1" x14ac:dyDescent="0.3">
      <c r="L418" s="36"/>
    </row>
    <row r="419" spans="12:12" ht="15.75" customHeight="1" x14ac:dyDescent="0.3">
      <c r="L419" s="36"/>
    </row>
    <row r="420" spans="12:12" ht="15.75" customHeight="1" x14ac:dyDescent="0.3">
      <c r="L420" s="36"/>
    </row>
    <row r="421" spans="12:12" ht="15.75" customHeight="1" x14ac:dyDescent="0.3">
      <c r="L421" s="36"/>
    </row>
    <row r="422" spans="12:12" ht="15.75" customHeight="1" x14ac:dyDescent="0.3">
      <c r="L422" s="36"/>
    </row>
    <row r="423" spans="12:12" ht="15.75" customHeight="1" x14ac:dyDescent="0.3">
      <c r="L423" s="36"/>
    </row>
    <row r="424" spans="12:12" ht="15.75" customHeight="1" x14ac:dyDescent="0.3">
      <c r="L424" s="36"/>
    </row>
    <row r="425" spans="12:12" ht="15.75" customHeight="1" x14ac:dyDescent="0.3">
      <c r="L425" s="36"/>
    </row>
    <row r="426" spans="12:12" ht="15.75" customHeight="1" x14ac:dyDescent="0.3">
      <c r="L426" s="36"/>
    </row>
    <row r="427" spans="12:12" ht="15.75" customHeight="1" x14ac:dyDescent="0.3">
      <c r="L427" s="36"/>
    </row>
    <row r="428" spans="12:12" ht="15.75" customHeight="1" x14ac:dyDescent="0.3">
      <c r="L428" s="36"/>
    </row>
    <row r="429" spans="12:12" ht="15.75" customHeight="1" x14ac:dyDescent="0.3">
      <c r="L429" s="36"/>
    </row>
    <row r="430" spans="12:12" ht="15.75" customHeight="1" x14ac:dyDescent="0.3">
      <c r="L430" s="36"/>
    </row>
    <row r="431" spans="12:12" ht="15.75" customHeight="1" x14ac:dyDescent="0.3">
      <c r="L431" s="36"/>
    </row>
    <row r="432" spans="12:12" ht="15.75" customHeight="1" x14ac:dyDescent="0.3">
      <c r="L432" s="36"/>
    </row>
    <row r="433" spans="12:12" ht="15.75" customHeight="1" x14ac:dyDescent="0.3">
      <c r="L433" s="36"/>
    </row>
    <row r="434" spans="12:12" ht="15.75" customHeight="1" x14ac:dyDescent="0.3">
      <c r="L434" s="36"/>
    </row>
    <row r="435" spans="12:12" ht="15.75" customHeight="1" x14ac:dyDescent="0.3">
      <c r="L435" s="36"/>
    </row>
    <row r="436" spans="12:12" ht="15.75" customHeight="1" x14ac:dyDescent="0.3">
      <c r="L436" s="36"/>
    </row>
    <row r="437" spans="12:12" ht="15.75" customHeight="1" x14ac:dyDescent="0.3">
      <c r="L437" s="36"/>
    </row>
    <row r="438" spans="12:12" ht="15.75" customHeight="1" x14ac:dyDescent="0.3">
      <c r="L438" s="36"/>
    </row>
    <row r="439" spans="12:12" ht="15.75" customHeight="1" x14ac:dyDescent="0.3">
      <c r="L439" s="36"/>
    </row>
    <row r="440" spans="12:12" ht="15.75" customHeight="1" x14ac:dyDescent="0.3">
      <c r="L440" s="36"/>
    </row>
    <row r="441" spans="12:12" ht="15.75" customHeight="1" x14ac:dyDescent="0.3">
      <c r="L441" s="36"/>
    </row>
    <row r="442" spans="12:12" ht="15.75" customHeight="1" x14ac:dyDescent="0.3">
      <c r="L442" s="36"/>
    </row>
    <row r="443" spans="12:12" ht="15.75" customHeight="1" x14ac:dyDescent="0.3">
      <c r="L443" s="36"/>
    </row>
    <row r="444" spans="12:12" ht="15.75" customHeight="1" x14ac:dyDescent="0.3">
      <c r="L444" s="36"/>
    </row>
    <row r="445" spans="12:12" ht="15.75" customHeight="1" x14ac:dyDescent="0.3">
      <c r="L445" s="36"/>
    </row>
    <row r="446" spans="12:12" ht="15.75" customHeight="1" x14ac:dyDescent="0.3">
      <c r="L446" s="36"/>
    </row>
    <row r="447" spans="12:12" ht="15.75" customHeight="1" x14ac:dyDescent="0.3">
      <c r="L447" s="36"/>
    </row>
    <row r="448" spans="12:12" ht="15.75" customHeight="1" x14ac:dyDescent="0.3">
      <c r="L448" s="36"/>
    </row>
    <row r="449" spans="12:12" ht="15.75" customHeight="1" x14ac:dyDescent="0.3">
      <c r="L449" s="36"/>
    </row>
    <row r="450" spans="12:12" ht="15.75" customHeight="1" x14ac:dyDescent="0.3">
      <c r="L450" s="36"/>
    </row>
    <row r="451" spans="12:12" ht="15.75" customHeight="1" x14ac:dyDescent="0.3">
      <c r="L451" s="36"/>
    </row>
    <row r="452" spans="12:12" ht="15.75" customHeight="1" x14ac:dyDescent="0.3">
      <c r="L452" s="36"/>
    </row>
    <row r="453" spans="12:12" ht="15.75" customHeight="1" x14ac:dyDescent="0.3">
      <c r="L453" s="36"/>
    </row>
    <row r="454" spans="12:12" ht="15.75" customHeight="1" x14ac:dyDescent="0.3">
      <c r="L454" s="36"/>
    </row>
    <row r="455" spans="12:12" ht="15.75" customHeight="1" x14ac:dyDescent="0.3">
      <c r="L455" s="36"/>
    </row>
    <row r="456" spans="12:12" ht="15.75" customHeight="1" x14ac:dyDescent="0.3">
      <c r="L456" s="36"/>
    </row>
    <row r="457" spans="12:12" ht="15.75" customHeight="1" x14ac:dyDescent="0.3">
      <c r="L457" s="36"/>
    </row>
    <row r="458" spans="12:12" ht="15.75" customHeight="1" x14ac:dyDescent="0.3">
      <c r="L458" s="36"/>
    </row>
    <row r="459" spans="12:12" ht="15.75" customHeight="1" x14ac:dyDescent="0.3">
      <c r="L459" s="36"/>
    </row>
    <row r="460" spans="12:12" ht="15.75" customHeight="1" x14ac:dyDescent="0.3">
      <c r="L460" s="36"/>
    </row>
    <row r="461" spans="12:12" ht="15.75" customHeight="1" x14ac:dyDescent="0.3">
      <c r="L461" s="36"/>
    </row>
    <row r="462" spans="12:12" ht="15.75" customHeight="1" x14ac:dyDescent="0.3">
      <c r="L462" s="36"/>
    </row>
    <row r="463" spans="12:12" ht="15.75" customHeight="1" x14ac:dyDescent="0.3">
      <c r="L463" s="36"/>
    </row>
    <row r="464" spans="12:12" ht="15.75" customHeight="1" x14ac:dyDescent="0.3">
      <c r="L464" s="36"/>
    </row>
    <row r="465" spans="12:12" ht="15.75" customHeight="1" x14ac:dyDescent="0.3">
      <c r="L465" s="36"/>
    </row>
    <row r="466" spans="12:12" ht="15.75" customHeight="1" x14ac:dyDescent="0.3">
      <c r="L466" s="36"/>
    </row>
    <row r="467" spans="12:12" ht="15.75" customHeight="1" x14ac:dyDescent="0.3">
      <c r="L467" s="36"/>
    </row>
    <row r="468" spans="12:12" ht="15.75" customHeight="1" x14ac:dyDescent="0.3">
      <c r="L468" s="36"/>
    </row>
    <row r="469" spans="12:12" ht="15.75" customHeight="1" x14ac:dyDescent="0.3">
      <c r="L469" s="36"/>
    </row>
    <row r="470" spans="12:12" ht="15.75" customHeight="1" x14ac:dyDescent="0.3">
      <c r="L470" s="36"/>
    </row>
    <row r="471" spans="12:12" ht="15.75" customHeight="1" x14ac:dyDescent="0.3">
      <c r="L471" s="36"/>
    </row>
    <row r="472" spans="12:12" ht="15.75" customHeight="1" x14ac:dyDescent="0.3">
      <c r="L472" s="36"/>
    </row>
    <row r="473" spans="12:12" ht="15.75" customHeight="1" x14ac:dyDescent="0.3">
      <c r="L473" s="36"/>
    </row>
    <row r="474" spans="12:12" ht="15.75" customHeight="1" x14ac:dyDescent="0.3">
      <c r="L474" s="36"/>
    </row>
    <row r="475" spans="12:12" ht="15.75" customHeight="1" x14ac:dyDescent="0.3">
      <c r="L475" s="36"/>
    </row>
    <row r="476" spans="12:12" ht="15.75" customHeight="1" x14ac:dyDescent="0.3">
      <c r="L476" s="36"/>
    </row>
    <row r="477" spans="12:12" ht="15.75" customHeight="1" x14ac:dyDescent="0.3">
      <c r="L477" s="36"/>
    </row>
    <row r="478" spans="12:12" ht="15.75" customHeight="1" x14ac:dyDescent="0.3">
      <c r="L478" s="36"/>
    </row>
    <row r="479" spans="12:12" ht="15.75" customHeight="1" x14ac:dyDescent="0.3">
      <c r="L479" s="36"/>
    </row>
    <row r="480" spans="12:12" ht="15.75" customHeight="1" x14ac:dyDescent="0.3">
      <c r="L480" s="36"/>
    </row>
    <row r="481" spans="12:12" ht="15.75" customHeight="1" x14ac:dyDescent="0.3">
      <c r="L481" s="36"/>
    </row>
    <row r="482" spans="12:12" ht="15.75" customHeight="1" x14ac:dyDescent="0.3">
      <c r="L482" s="36"/>
    </row>
    <row r="483" spans="12:12" ht="15.75" customHeight="1" x14ac:dyDescent="0.3">
      <c r="L483" s="36"/>
    </row>
    <row r="484" spans="12:12" ht="15.75" customHeight="1" x14ac:dyDescent="0.3">
      <c r="L484" s="36"/>
    </row>
    <row r="485" spans="12:12" ht="15.75" customHeight="1" x14ac:dyDescent="0.3">
      <c r="L485" s="36"/>
    </row>
    <row r="486" spans="12:12" ht="15.75" customHeight="1" x14ac:dyDescent="0.3">
      <c r="L486" s="36"/>
    </row>
    <row r="487" spans="12:12" ht="15.75" customHeight="1" x14ac:dyDescent="0.3">
      <c r="L487" s="36"/>
    </row>
    <row r="488" spans="12:12" ht="15.75" customHeight="1" x14ac:dyDescent="0.3">
      <c r="L488" s="36"/>
    </row>
    <row r="489" spans="12:12" ht="15.75" customHeight="1" x14ac:dyDescent="0.3">
      <c r="L489" s="36"/>
    </row>
    <row r="490" spans="12:12" ht="15.75" customHeight="1" x14ac:dyDescent="0.3">
      <c r="L490" s="36"/>
    </row>
    <row r="491" spans="12:12" ht="15.75" customHeight="1" x14ac:dyDescent="0.3">
      <c r="L491" s="36"/>
    </row>
    <row r="492" spans="12:12" ht="15.75" customHeight="1" x14ac:dyDescent="0.3">
      <c r="L492" s="36"/>
    </row>
    <row r="493" spans="12:12" ht="15.75" customHeight="1" x14ac:dyDescent="0.3">
      <c r="L493" s="36"/>
    </row>
    <row r="494" spans="12:12" ht="15.75" customHeight="1" x14ac:dyDescent="0.3">
      <c r="L494" s="36"/>
    </row>
    <row r="495" spans="12:12" ht="15.75" customHeight="1" x14ac:dyDescent="0.3">
      <c r="L495" s="36"/>
    </row>
    <row r="496" spans="12:12" ht="15.75" customHeight="1" x14ac:dyDescent="0.3">
      <c r="L496" s="36"/>
    </row>
    <row r="497" spans="12:12" ht="15.75" customHeight="1" x14ac:dyDescent="0.3">
      <c r="L497" s="36"/>
    </row>
    <row r="498" spans="12:12" ht="15.75" customHeight="1" x14ac:dyDescent="0.3">
      <c r="L498" s="36"/>
    </row>
    <row r="499" spans="12:12" ht="15.75" customHeight="1" x14ac:dyDescent="0.3">
      <c r="L499" s="36"/>
    </row>
    <row r="500" spans="12:12" ht="15.75" customHeight="1" x14ac:dyDescent="0.3">
      <c r="L500" s="36"/>
    </row>
    <row r="501" spans="12:12" ht="15.75" customHeight="1" x14ac:dyDescent="0.3">
      <c r="L501" s="36"/>
    </row>
    <row r="502" spans="12:12" ht="15.75" customHeight="1" x14ac:dyDescent="0.3">
      <c r="L502" s="36"/>
    </row>
    <row r="503" spans="12:12" ht="15.75" customHeight="1" x14ac:dyDescent="0.3">
      <c r="L503" s="36"/>
    </row>
    <row r="504" spans="12:12" ht="15.75" customHeight="1" x14ac:dyDescent="0.3">
      <c r="L504" s="36"/>
    </row>
    <row r="505" spans="12:12" ht="15.75" customHeight="1" x14ac:dyDescent="0.3">
      <c r="L505" s="36"/>
    </row>
    <row r="506" spans="12:12" ht="15.75" customHeight="1" x14ac:dyDescent="0.3">
      <c r="L506" s="36"/>
    </row>
    <row r="507" spans="12:12" ht="15.75" customHeight="1" x14ac:dyDescent="0.3">
      <c r="L507" s="36"/>
    </row>
    <row r="508" spans="12:12" ht="15.75" customHeight="1" x14ac:dyDescent="0.3">
      <c r="L508" s="36"/>
    </row>
    <row r="509" spans="12:12" ht="15.75" customHeight="1" x14ac:dyDescent="0.3">
      <c r="L509" s="36"/>
    </row>
    <row r="510" spans="12:12" ht="15.75" customHeight="1" x14ac:dyDescent="0.3">
      <c r="L510" s="36"/>
    </row>
    <row r="511" spans="12:12" ht="15.75" customHeight="1" x14ac:dyDescent="0.3">
      <c r="L511" s="36"/>
    </row>
    <row r="512" spans="12:12" ht="15.75" customHeight="1" x14ac:dyDescent="0.3">
      <c r="L512" s="36"/>
    </row>
    <row r="513" spans="12:12" ht="15.75" customHeight="1" x14ac:dyDescent="0.3">
      <c r="L513" s="36"/>
    </row>
    <row r="514" spans="12:12" ht="15.75" customHeight="1" x14ac:dyDescent="0.3">
      <c r="L514" s="36"/>
    </row>
    <row r="515" spans="12:12" ht="15.75" customHeight="1" x14ac:dyDescent="0.3">
      <c r="L515" s="36"/>
    </row>
    <row r="516" spans="12:12" ht="15.75" customHeight="1" x14ac:dyDescent="0.3">
      <c r="L516" s="36"/>
    </row>
    <row r="517" spans="12:12" ht="15.75" customHeight="1" x14ac:dyDescent="0.3">
      <c r="L517" s="36"/>
    </row>
    <row r="518" spans="12:12" ht="15.75" customHeight="1" x14ac:dyDescent="0.3">
      <c r="L518" s="36"/>
    </row>
    <row r="519" spans="12:12" ht="15.75" customHeight="1" x14ac:dyDescent="0.3">
      <c r="L519" s="36"/>
    </row>
    <row r="520" spans="12:12" ht="15.75" customHeight="1" x14ac:dyDescent="0.3">
      <c r="L520" s="36"/>
    </row>
    <row r="521" spans="12:12" ht="15.75" customHeight="1" x14ac:dyDescent="0.3">
      <c r="L521" s="36"/>
    </row>
    <row r="522" spans="12:12" ht="15.75" customHeight="1" x14ac:dyDescent="0.3">
      <c r="L522" s="36"/>
    </row>
    <row r="523" spans="12:12" ht="15.75" customHeight="1" x14ac:dyDescent="0.3">
      <c r="L523" s="36"/>
    </row>
    <row r="524" spans="12:12" ht="15.75" customHeight="1" x14ac:dyDescent="0.3">
      <c r="L524" s="36"/>
    </row>
    <row r="525" spans="12:12" ht="15.75" customHeight="1" x14ac:dyDescent="0.3">
      <c r="L525" s="36"/>
    </row>
    <row r="526" spans="12:12" ht="15.75" customHeight="1" x14ac:dyDescent="0.3">
      <c r="L526" s="36"/>
    </row>
    <row r="527" spans="12:12" ht="15.75" customHeight="1" x14ac:dyDescent="0.3">
      <c r="L527" s="36"/>
    </row>
    <row r="528" spans="12:12" ht="15.75" customHeight="1" x14ac:dyDescent="0.3">
      <c r="L528" s="36"/>
    </row>
    <row r="529" spans="12:12" ht="15.75" customHeight="1" x14ac:dyDescent="0.3">
      <c r="L529" s="36"/>
    </row>
    <row r="530" spans="12:12" ht="15.75" customHeight="1" x14ac:dyDescent="0.3">
      <c r="L530" s="36"/>
    </row>
    <row r="531" spans="12:12" ht="15.75" customHeight="1" x14ac:dyDescent="0.3">
      <c r="L531" s="36"/>
    </row>
    <row r="532" spans="12:12" ht="15.75" customHeight="1" x14ac:dyDescent="0.3">
      <c r="L532" s="36"/>
    </row>
    <row r="533" spans="12:12" ht="15.75" customHeight="1" x14ac:dyDescent="0.3">
      <c r="L533" s="36"/>
    </row>
    <row r="534" spans="12:12" ht="15.75" customHeight="1" x14ac:dyDescent="0.3">
      <c r="L534" s="36"/>
    </row>
    <row r="535" spans="12:12" ht="15.75" customHeight="1" x14ac:dyDescent="0.3">
      <c r="L535" s="36"/>
    </row>
    <row r="536" spans="12:12" ht="15.75" customHeight="1" x14ac:dyDescent="0.3">
      <c r="L536" s="36"/>
    </row>
    <row r="537" spans="12:12" ht="15.75" customHeight="1" x14ac:dyDescent="0.3">
      <c r="L537" s="36"/>
    </row>
    <row r="538" spans="12:12" ht="15.75" customHeight="1" x14ac:dyDescent="0.3">
      <c r="L538" s="36"/>
    </row>
    <row r="539" spans="12:12" ht="15.75" customHeight="1" x14ac:dyDescent="0.3">
      <c r="L539" s="36"/>
    </row>
    <row r="540" spans="12:12" ht="15.75" customHeight="1" x14ac:dyDescent="0.3">
      <c r="L540" s="36"/>
    </row>
    <row r="541" spans="12:12" ht="15.75" customHeight="1" x14ac:dyDescent="0.3">
      <c r="L541" s="36"/>
    </row>
    <row r="542" spans="12:12" ht="15.75" customHeight="1" x14ac:dyDescent="0.3">
      <c r="L542" s="36"/>
    </row>
    <row r="543" spans="12:12" ht="15.75" customHeight="1" x14ac:dyDescent="0.3">
      <c r="L543" s="36"/>
    </row>
    <row r="544" spans="12:12" ht="15.75" customHeight="1" x14ac:dyDescent="0.3">
      <c r="L544" s="36"/>
    </row>
    <row r="545" spans="12:12" ht="15.75" customHeight="1" x14ac:dyDescent="0.3">
      <c r="L545" s="36"/>
    </row>
    <row r="546" spans="12:12" ht="15.75" customHeight="1" x14ac:dyDescent="0.3">
      <c r="L546" s="36"/>
    </row>
    <row r="547" spans="12:12" ht="15.75" customHeight="1" x14ac:dyDescent="0.3">
      <c r="L547" s="36"/>
    </row>
    <row r="548" spans="12:12" ht="15.75" customHeight="1" x14ac:dyDescent="0.3">
      <c r="L548" s="36"/>
    </row>
    <row r="549" spans="12:12" ht="15.75" customHeight="1" x14ac:dyDescent="0.3">
      <c r="L549" s="36"/>
    </row>
    <row r="550" spans="12:12" ht="15.75" customHeight="1" x14ac:dyDescent="0.3">
      <c r="L550" s="36"/>
    </row>
    <row r="551" spans="12:12" ht="15.75" customHeight="1" x14ac:dyDescent="0.3">
      <c r="L551" s="36"/>
    </row>
    <row r="552" spans="12:12" ht="15.75" customHeight="1" x14ac:dyDescent="0.3">
      <c r="L552" s="36"/>
    </row>
    <row r="553" spans="12:12" ht="15.75" customHeight="1" x14ac:dyDescent="0.3">
      <c r="L553" s="36"/>
    </row>
    <row r="554" spans="12:12" ht="15.75" customHeight="1" x14ac:dyDescent="0.3">
      <c r="L554" s="36"/>
    </row>
    <row r="555" spans="12:12" ht="15.75" customHeight="1" x14ac:dyDescent="0.3">
      <c r="L555" s="36"/>
    </row>
    <row r="556" spans="12:12" ht="15.75" customHeight="1" x14ac:dyDescent="0.3">
      <c r="L556" s="36"/>
    </row>
    <row r="557" spans="12:12" ht="15.75" customHeight="1" x14ac:dyDescent="0.3">
      <c r="L557" s="36"/>
    </row>
    <row r="558" spans="12:12" ht="15.75" customHeight="1" x14ac:dyDescent="0.3">
      <c r="L558" s="36"/>
    </row>
    <row r="559" spans="12:12" ht="15.75" customHeight="1" x14ac:dyDescent="0.3">
      <c r="L559" s="36"/>
    </row>
    <row r="560" spans="12:12" ht="15.75" customHeight="1" x14ac:dyDescent="0.3">
      <c r="L560" s="36"/>
    </row>
    <row r="561" spans="12:12" ht="15.75" customHeight="1" x14ac:dyDescent="0.3">
      <c r="L561" s="36"/>
    </row>
    <row r="562" spans="12:12" ht="15.75" customHeight="1" x14ac:dyDescent="0.3">
      <c r="L562" s="36"/>
    </row>
    <row r="563" spans="12:12" ht="15.75" customHeight="1" x14ac:dyDescent="0.3">
      <c r="L563" s="36"/>
    </row>
    <row r="564" spans="12:12" ht="15.75" customHeight="1" x14ac:dyDescent="0.3">
      <c r="L564" s="36"/>
    </row>
    <row r="565" spans="12:12" ht="15.75" customHeight="1" x14ac:dyDescent="0.3">
      <c r="L565" s="36"/>
    </row>
    <row r="566" spans="12:12" ht="15.75" customHeight="1" x14ac:dyDescent="0.3">
      <c r="L566" s="36"/>
    </row>
    <row r="567" spans="12:12" ht="15.75" customHeight="1" x14ac:dyDescent="0.3">
      <c r="L567" s="36"/>
    </row>
    <row r="568" spans="12:12" ht="15.75" customHeight="1" x14ac:dyDescent="0.3">
      <c r="L568" s="36"/>
    </row>
    <row r="569" spans="12:12" ht="15.75" customHeight="1" x14ac:dyDescent="0.3">
      <c r="L569" s="36"/>
    </row>
    <row r="570" spans="12:12" ht="15.75" customHeight="1" x14ac:dyDescent="0.3">
      <c r="L570" s="36"/>
    </row>
    <row r="571" spans="12:12" ht="15.75" customHeight="1" x14ac:dyDescent="0.3">
      <c r="L571" s="36"/>
    </row>
    <row r="572" spans="12:12" ht="15.75" customHeight="1" x14ac:dyDescent="0.3">
      <c r="L572" s="36"/>
    </row>
    <row r="573" spans="12:12" ht="15.75" customHeight="1" x14ac:dyDescent="0.3">
      <c r="L573" s="36"/>
    </row>
    <row r="574" spans="12:12" ht="15.75" customHeight="1" x14ac:dyDescent="0.3">
      <c r="L574" s="36"/>
    </row>
    <row r="575" spans="12:12" ht="15.75" customHeight="1" x14ac:dyDescent="0.3">
      <c r="L575" s="36"/>
    </row>
    <row r="576" spans="12:12" ht="15.75" customHeight="1" x14ac:dyDescent="0.3">
      <c r="L576" s="36"/>
    </row>
    <row r="577" spans="12:12" ht="15.75" customHeight="1" x14ac:dyDescent="0.3">
      <c r="L577" s="36"/>
    </row>
    <row r="578" spans="12:12" ht="15.75" customHeight="1" x14ac:dyDescent="0.3">
      <c r="L578" s="36"/>
    </row>
    <row r="579" spans="12:12" ht="15.75" customHeight="1" x14ac:dyDescent="0.3">
      <c r="L579" s="36"/>
    </row>
    <row r="580" spans="12:12" ht="15.75" customHeight="1" x14ac:dyDescent="0.3">
      <c r="L580" s="36"/>
    </row>
    <row r="581" spans="12:12" ht="15.75" customHeight="1" x14ac:dyDescent="0.3">
      <c r="L581" s="36"/>
    </row>
    <row r="582" spans="12:12" ht="15.75" customHeight="1" x14ac:dyDescent="0.3">
      <c r="L582" s="36"/>
    </row>
    <row r="583" spans="12:12" ht="15.75" customHeight="1" x14ac:dyDescent="0.3">
      <c r="L583" s="36"/>
    </row>
    <row r="584" spans="12:12" ht="15.75" customHeight="1" x14ac:dyDescent="0.3">
      <c r="L584" s="36"/>
    </row>
    <row r="585" spans="12:12" ht="15.75" customHeight="1" x14ac:dyDescent="0.3">
      <c r="L585" s="36"/>
    </row>
    <row r="586" spans="12:12" ht="15.75" customHeight="1" x14ac:dyDescent="0.3">
      <c r="L586" s="36"/>
    </row>
    <row r="587" spans="12:12" ht="15.75" customHeight="1" x14ac:dyDescent="0.3">
      <c r="L587" s="36"/>
    </row>
    <row r="588" spans="12:12" ht="15.75" customHeight="1" x14ac:dyDescent="0.3">
      <c r="L588" s="36"/>
    </row>
    <row r="589" spans="12:12" ht="15.75" customHeight="1" x14ac:dyDescent="0.3">
      <c r="L589" s="36"/>
    </row>
    <row r="590" spans="12:12" ht="15.75" customHeight="1" x14ac:dyDescent="0.3">
      <c r="L590" s="36"/>
    </row>
    <row r="591" spans="12:12" ht="15.75" customHeight="1" x14ac:dyDescent="0.3">
      <c r="L591" s="36"/>
    </row>
    <row r="592" spans="12:12" ht="15.75" customHeight="1" x14ac:dyDescent="0.3">
      <c r="L592" s="36"/>
    </row>
    <row r="593" spans="12:12" ht="15.75" customHeight="1" x14ac:dyDescent="0.3">
      <c r="L593" s="36"/>
    </row>
    <row r="594" spans="12:12" ht="15.75" customHeight="1" x14ac:dyDescent="0.3">
      <c r="L594" s="36"/>
    </row>
    <row r="595" spans="12:12" ht="15.75" customHeight="1" x14ac:dyDescent="0.3">
      <c r="L595" s="36"/>
    </row>
    <row r="596" spans="12:12" ht="15.75" customHeight="1" x14ac:dyDescent="0.3">
      <c r="L596" s="36"/>
    </row>
    <row r="597" spans="12:12" ht="15.75" customHeight="1" x14ac:dyDescent="0.3">
      <c r="L597" s="36"/>
    </row>
    <row r="598" spans="12:12" ht="15.75" customHeight="1" x14ac:dyDescent="0.3">
      <c r="L598" s="36"/>
    </row>
    <row r="599" spans="12:12" ht="15.75" customHeight="1" x14ac:dyDescent="0.3">
      <c r="L599" s="36"/>
    </row>
    <row r="600" spans="12:12" ht="15.75" customHeight="1" x14ac:dyDescent="0.3">
      <c r="L600" s="36"/>
    </row>
    <row r="601" spans="12:12" ht="15.75" customHeight="1" x14ac:dyDescent="0.3">
      <c r="L601" s="36"/>
    </row>
    <row r="602" spans="12:12" ht="15.75" customHeight="1" x14ac:dyDescent="0.3">
      <c r="L602" s="36"/>
    </row>
    <row r="603" spans="12:12" ht="15.75" customHeight="1" x14ac:dyDescent="0.3">
      <c r="L603" s="36"/>
    </row>
    <row r="604" spans="12:12" ht="15.75" customHeight="1" x14ac:dyDescent="0.3">
      <c r="L604" s="36"/>
    </row>
    <row r="605" spans="12:12" ht="15.75" customHeight="1" x14ac:dyDescent="0.3">
      <c r="L605" s="36"/>
    </row>
    <row r="606" spans="12:12" ht="15.75" customHeight="1" x14ac:dyDescent="0.3">
      <c r="L606" s="36"/>
    </row>
    <row r="607" spans="12:12" ht="15.75" customHeight="1" x14ac:dyDescent="0.3">
      <c r="L607" s="36"/>
    </row>
    <row r="608" spans="12:12" ht="15.75" customHeight="1" x14ac:dyDescent="0.3">
      <c r="L608" s="36"/>
    </row>
    <row r="609" spans="12:12" ht="15.75" customHeight="1" x14ac:dyDescent="0.3">
      <c r="L609" s="36"/>
    </row>
    <row r="610" spans="12:12" ht="15.75" customHeight="1" x14ac:dyDescent="0.3">
      <c r="L610" s="36"/>
    </row>
    <row r="611" spans="12:12" ht="15.75" customHeight="1" x14ac:dyDescent="0.3">
      <c r="L611" s="36"/>
    </row>
    <row r="612" spans="12:12" ht="15.75" customHeight="1" x14ac:dyDescent="0.3">
      <c r="L612" s="36"/>
    </row>
    <row r="613" spans="12:12" ht="15.75" customHeight="1" x14ac:dyDescent="0.3">
      <c r="L613" s="36"/>
    </row>
    <row r="614" spans="12:12" ht="15.75" customHeight="1" x14ac:dyDescent="0.3">
      <c r="L614" s="36"/>
    </row>
    <row r="615" spans="12:12" ht="15.75" customHeight="1" x14ac:dyDescent="0.3">
      <c r="L615" s="36"/>
    </row>
    <row r="616" spans="12:12" ht="15.75" customHeight="1" x14ac:dyDescent="0.3">
      <c r="L616" s="36"/>
    </row>
    <row r="617" spans="12:12" ht="15.75" customHeight="1" x14ac:dyDescent="0.3">
      <c r="L617" s="36"/>
    </row>
    <row r="618" spans="12:12" ht="15.75" customHeight="1" x14ac:dyDescent="0.3">
      <c r="L618" s="36"/>
    </row>
    <row r="619" spans="12:12" ht="15.75" customHeight="1" x14ac:dyDescent="0.3">
      <c r="L619" s="36"/>
    </row>
    <row r="620" spans="12:12" ht="15.75" customHeight="1" x14ac:dyDescent="0.3">
      <c r="L620" s="36"/>
    </row>
    <row r="621" spans="12:12" ht="15.75" customHeight="1" x14ac:dyDescent="0.3">
      <c r="L621" s="36"/>
    </row>
    <row r="622" spans="12:12" ht="15.75" customHeight="1" x14ac:dyDescent="0.3">
      <c r="L622" s="36"/>
    </row>
    <row r="623" spans="12:12" ht="15.75" customHeight="1" x14ac:dyDescent="0.3">
      <c r="L623" s="36"/>
    </row>
    <row r="624" spans="12:12" ht="15.75" customHeight="1" x14ac:dyDescent="0.3">
      <c r="L624" s="36"/>
    </row>
    <row r="625" spans="12:12" ht="15.75" customHeight="1" x14ac:dyDescent="0.3">
      <c r="L625" s="36"/>
    </row>
    <row r="626" spans="12:12" ht="15.75" customHeight="1" x14ac:dyDescent="0.3">
      <c r="L626" s="36"/>
    </row>
    <row r="627" spans="12:12" ht="15.75" customHeight="1" x14ac:dyDescent="0.3">
      <c r="L627" s="36"/>
    </row>
    <row r="628" spans="12:12" ht="15.75" customHeight="1" x14ac:dyDescent="0.3">
      <c r="L628" s="36"/>
    </row>
    <row r="629" spans="12:12" ht="15.75" customHeight="1" x14ac:dyDescent="0.3">
      <c r="L629" s="36"/>
    </row>
    <row r="630" spans="12:12" ht="15.75" customHeight="1" x14ac:dyDescent="0.3">
      <c r="L630" s="36"/>
    </row>
    <row r="631" spans="12:12" ht="15.75" customHeight="1" x14ac:dyDescent="0.3">
      <c r="L631" s="36"/>
    </row>
    <row r="632" spans="12:12" ht="15.75" customHeight="1" x14ac:dyDescent="0.3">
      <c r="L632" s="36"/>
    </row>
    <row r="633" spans="12:12" ht="15.75" customHeight="1" x14ac:dyDescent="0.3">
      <c r="L633" s="36"/>
    </row>
    <row r="634" spans="12:12" ht="15.75" customHeight="1" x14ac:dyDescent="0.3">
      <c r="L634" s="36"/>
    </row>
    <row r="635" spans="12:12" ht="15.75" customHeight="1" x14ac:dyDescent="0.3">
      <c r="L635" s="36"/>
    </row>
    <row r="636" spans="12:12" ht="15.75" customHeight="1" x14ac:dyDescent="0.3">
      <c r="L636" s="36"/>
    </row>
    <row r="637" spans="12:12" ht="15.75" customHeight="1" x14ac:dyDescent="0.3">
      <c r="L637" s="36"/>
    </row>
    <row r="638" spans="12:12" ht="15.75" customHeight="1" x14ac:dyDescent="0.3">
      <c r="L638" s="36"/>
    </row>
    <row r="639" spans="12:12" ht="15.75" customHeight="1" x14ac:dyDescent="0.3">
      <c r="L639" s="36"/>
    </row>
    <row r="640" spans="12:12" ht="15.75" customHeight="1" x14ac:dyDescent="0.3">
      <c r="L640" s="36"/>
    </row>
    <row r="641" spans="12:12" ht="15.75" customHeight="1" x14ac:dyDescent="0.3">
      <c r="L641" s="36"/>
    </row>
    <row r="642" spans="12:12" ht="15.75" customHeight="1" x14ac:dyDescent="0.3">
      <c r="L642" s="36"/>
    </row>
    <row r="643" spans="12:12" ht="15.75" customHeight="1" x14ac:dyDescent="0.3">
      <c r="L643" s="36"/>
    </row>
    <row r="644" spans="12:12" ht="15.75" customHeight="1" x14ac:dyDescent="0.3">
      <c r="L644" s="36"/>
    </row>
    <row r="645" spans="12:12" ht="15.75" customHeight="1" x14ac:dyDescent="0.3">
      <c r="L645" s="36"/>
    </row>
    <row r="646" spans="12:12" ht="15.75" customHeight="1" x14ac:dyDescent="0.3">
      <c r="L646" s="36"/>
    </row>
    <row r="647" spans="12:12" ht="15.75" customHeight="1" x14ac:dyDescent="0.3">
      <c r="L647" s="36"/>
    </row>
    <row r="648" spans="12:12" ht="15.75" customHeight="1" x14ac:dyDescent="0.3">
      <c r="L648" s="36"/>
    </row>
    <row r="649" spans="12:12" ht="15.75" customHeight="1" x14ac:dyDescent="0.3">
      <c r="L649" s="36"/>
    </row>
    <row r="650" spans="12:12" ht="15.75" customHeight="1" x14ac:dyDescent="0.3">
      <c r="L650" s="36"/>
    </row>
    <row r="651" spans="12:12" ht="15.75" customHeight="1" x14ac:dyDescent="0.3">
      <c r="L651" s="36"/>
    </row>
    <row r="652" spans="12:12" ht="15.75" customHeight="1" x14ac:dyDescent="0.3">
      <c r="L652" s="36"/>
    </row>
    <row r="653" spans="12:12" ht="15.75" customHeight="1" x14ac:dyDescent="0.3">
      <c r="L653" s="36"/>
    </row>
    <row r="654" spans="12:12" ht="15.75" customHeight="1" x14ac:dyDescent="0.3">
      <c r="L654" s="36"/>
    </row>
    <row r="655" spans="12:12" ht="15.75" customHeight="1" x14ac:dyDescent="0.3">
      <c r="L655" s="36"/>
    </row>
    <row r="656" spans="12:12" ht="15.75" customHeight="1" x14ac:dyDescent="0.3">
      <c r="L656" s="36"/>
    </row>
    <row r="657" spans="12:12" ht="15.75" customHeight="1" x14ac:dyDescent="0.3">
      <c r="L657" s="36"/>
    </row>
    <row r="658" spans="12:12" ht="15.75" customHeight="1" x14ac:dyDescent="0.3">
      <c r="L658" s="36"/>
    </row>
    <row r="659" spans="12:12" ht="15.75" customHeight="1" x14ac:dyDescent="0.3">
      <c r="L659" s="36"/>
    </row>
    <row r="660" spans="12:12" ht="15.75" customHeight="1" x14ac:dyDescent="0.3">
      <c r="L660" s="36"/>
    </row>
    <row r="661" spans="12:12" ht="15.75" customHeight="1" x14ac:dyDescent="0.3">
      <c r="L661" s="36"/>
    </row>
    <row r="662" spans="12:12" ht="15.75" customHeight="1" x14ac:dyDescent="0.3">
      <c r="L662" s="36"/>
    </row>
    <row r="663" spans="12:12" ht="15.75" customHeight="1" x14ac:dyDescent="0.3">
      <c r="L663" s="36"/>
    </row>
    <row r="664" spans="12:12" ht="15.75" customHeight="1" x14ac:dyDescent="0.3">
      <c r="L664" s="36"/>
    </row>
    <row r="665" spans="12:12" ht="15.75" customHeight="1" x14ac:dyDescent="0.3">
      <c r="L665" s="36"/>
    </row>
    <row r="666" spans="12:12" ht="15.75" customHeight="1" x14ac:dyDescent="0.3">
      <c r="L666" s="36"/>
    </row>
    <row r="667" spans="12:12" ht="15.75" customHeight="1" x14ac:dyDescent="0.3">
      <c r="L667" s="36"/>
    </row>
    <row r="668" spans="12:12" ht="15.75" customHeight="1" x14ac:dyDescent="0.3">
      <c r="L668" s="36"/>
    </row>
    <row r="669" spans="12:12" ht="15.75" customHeight="1" x14ac:dyDescent="0.3">
      <c r="L669" s="36"/>
    </row>
    <row r="670" spans="12:12" ht="15.75" customHeight="1" x14ac:dyDescent="0.3">
      <c r="L670" s="36"/>
    </row>
    <row r="671" spans="12:12" ht="15.75" customHeight="1" x14ac:dyDescent="0.3">
      <c r="L671" s="36"/>
    </row>
    <row r="672" spans="12:12" ht="15.75" customHeight="1" x14ac:dyDescent="0.3">
      <c r="L672" s="36"/>
    </row>
    <row r="673" spans="12:12" ht="15.75" customHeight="1" x14ac:dyDescent="0.3">
      <c r="L673" s="36"/>
    </row>
    <row r="674" spans="12:12" ht="15.75" customHeight="1" x14ac:dyDescent="0.3">
      <c r="L674" s="36"/>
    </row>
    <row r="675" spans="12:12" ht="15.75" customHeight="1" x14ac:dyDescent="0.3">
      <c r="L675" s="36"/>
    </row>
    <row r="676" spans="12:12" ht="15.75" customHeight="1" x14ac:dyDescent="0.3">
      <c r="L676" s="36"/>
    </row>
    <row r="677" spans="12:12" ht="15.75" customHeight="1" x14ac:dyDescent="0.3">
      <c r="L677" s="36"/>
    </row>
    <row r="678" spans="12:12" ht="15.75" customHeight="1" x14ac:dyDescent="0.3">
      <c r="L678" s="36"/>
    </row>
    <row r="679" spans="12:12" ht="15.75" customHeight="1" x14ac:dyDescent="0.3">
      <c r="L679" s="36"/>
    </row>
    <row r="680" spans="12:12" ht="15.75" customHeight="1" x14ac:dyDescent="0.3">
      <c r="L680" s="36"/>
    </row>
    <row r="681" spans="12:12" ht="15.75" customHeight="1" x14ac:dyDescent="0.3">
      <c r="L681" s="36"/>
    </row>
    <row r="682" spans="12:12" ht="15.75" customHeight="1" x14ac:dyDescent="0.3">
      <c r="L682" s="36"/>
    </row>
    <row r="683" spans="12:12" ht="15.75" customHeight="1" x14ac:dyDescent="0.3">
      <c r="L683" s="36"/>
    </row>
    <row r="684" spans="12:12" ht="15.75" customHeight="1" x14ac:dyDescent="0.3">
      <c r="L684" s="36"/>
    </row>
    <row r="685" spans="12:12" ht="15.75" customHeight="1" x14ac:dyDescent="0.3">
      <c r="L685" s="36"/>
    </row>
    <row r="686" spans="12:12" ht="15.75" customHeight="1" x14ac:dyDescent="0.3">
      <c r="L686" s="36"/>
    </row>
    <row r="687" spans="12:12" ht="15.75" customHeight="1" x14ac:dyDescent="0.3">
      <c r="L687" s="36"/>
    </row>
    <row r="688" spans="12:12" ht="15.75" customHeight="1" x14ac:dyDescent="0.3">
      <c r="L688" s="36"/>
    </row>
    <row r="689" spans="12:12" ht="15.75" customHeight="1" x14ac:dyDescent="0.3">
      <c r="L689" s="36"/>
    </row>
    <row r="690" spans="12:12" ht="15.75" customHeight="1" x14ac:dyDescent="0.3">
      <c r="L690" s="36"/>
    </row>
    <row r="691" spans="12:12" ht="15.75" customHeight="1" x14ac:dyDescent="0.3">
      <c r="L691" s="36"/>
    </row>
    <row r="692" spans="12:12" ht="15.75" customHeight="1" x14ac:dyDescent="0.3">
      <c r="L692" s="36"/>
    </row>
    <row r="693" spans="12:12" ht="15.75" customHeight="1" x14ac:dyDescent="0.3">
      <c r="L693" s="36"/>
    </row>
    <row r="694" spans="12:12" ht="15.75" customHeight="1" x14ac:dyDescent="0.3">
      <c r="L694" s="36"/>
    </row>
    <row r="695" spans="12:12" ht="15.75" customHeight="1" x14ac:dyDescent="0.3">
      <c r="L695" s="36"/>
    </row>
    <row r="696" spans="12:12" ht="15.75" customHeight="1" x14ac:dyDescent="0.3">
      <c r="L696" s="36"/>
    </row>
    <row r="697" spans="12:12" ht="15.75" customHeight="1" x14ac:dyDescent="0.3">
      <c r="L697" s="36"/>
    </row>
    <row r="698" spans="12:12" ht="15.75" customHeight="1" x14ac:dyDescent="0.3">
      <c r="L698" s="36"/>
    </row>
    <row r="699" spans="12:12" ht="15.75" customHeight="1" x14ac:dyDescent="0.3">
      <c r="L699" s="36"/>
    </row>
    <row r="700" spans="12:12" ht="15.75" customHeight="1" x14ac:dyDescent="0.3">
      <c r="L700" s="36"/>
    </row>
    <row r="701" spans="12:12" ht="15.75" customHeight="1" x14ac:dyDescent="0.3">
      <c r="L701" s="36"/>
    </row>
    <row r="702" spans="12:12" ht="15.75" customHeight="1" x14ac:dyDescent="0.3">
      <c r="L702" s="36"/>
    </row>
    <row r="703" spans="12:12" ht="15.75" customHeight="1" x14ac:dyDescent="0.3">
      <c r="L703" s="36"/>
    </row>
    <row r="704" spans="12:12" ht="15.75" customHeight="1" x14ac:dyDescent="0.3">
      <c r="L704" s="36"/>
    </row>
    <row r="705" spans="12:12" ht="15.75" customHeight="1" x14ac:dyDescent="0.3">
      <c r="L705" s="36"/>
    </row>
    <row r="706" spans="12:12" ht="15.75" customHeight="1" x14ac:dyDescent="0.3">
      <c r="L706" s="36"/>
    </row>
    <row r="707" spans="12:12" ht="15.75" customHeight="1" x14ac:dyDescent="0.3">
      <c r="L707" s="36"/>
    </row>
    <row r="708" spans="12:12" ht="15.75" customHeight="1" x14ac:dyDescent="0.3">
      <c r="L708" s="36"/>
    </row>
    <row r="709" spans="12:12" ht="15.75" customHeight="1" x14ac:dyDescent="0.3">
      <c r="L709" s="36"/>
    </row>
    <row r="710" spans="12:12" ht="15.75" customHeight="1" x14ac:dyDescent="0.3">
      <c r="L710" s="36"/>
    </row>
    <row r="711" spans="12:12" ht="15.75" customHeight="1" x14ac:dyDescent="0.3">
      <c r="L711" s="36"/>
    </row>
    <row r="712" spans="12:12" ht="15.75" customHeight="1" x14ac:dyDescent="0.3">
      <c r="L712" s="36"/>
    </row>
    <row r="713" spans="12:12" ht="15.75" customHeight="1" x14ac:dyDescent="0.3">
      <c r="L713" s="36"/>
    </row>
    <row r="714" spans="12:12" ht="15.75" customHeight="1" x14ac:dyDescent="0.3">
      <c r="L714" s="36"/>
    </row>
    <row r="715" spans="12:12" ht="15.75" customHeight="1" x14ac:dyDescent="0.3">
      <c r="L715" s="36"/>
    </row>
    <row r="716" spans="12:12" ht="15.75" customHeight="1" x14ac:dyDescent="0.3">
      <c r="L716" s="36"/>
    </row>
    <row r="717" spans="12:12" ht="15.75" customHeight="1" x14ac:dyDescent="0.3">
      <c r="L717" s="36"/>
    </row>
    <row r="718" spans="12:12" ht="15.75" customHeight="1" x14ac:dyDescent="0.3">
      <c r="L718" s="36"/>
    </row>
    <row r="719" spans="12:12" ht="15.75" customHeight="1" x14ac:dyDescent="0.3">
      <c r="L719" s="36"/>
    </row>
    <row r="720" spans="12:12" ht="15.75" customHeight="1" x14ac:dyDescent="0.3">
      <c r="L720" s="36"/>
    </row>
    <row r="721" spans="12:12" ht="15.75" customHeight="1" x14ac:dyDescent="0.3">
      <c r="L721" s="36"/>
    </row>
    <row r="722" spans="12:12" ht="15.75" customHeight="1" x14ac:dyDescent="0.3">
      <c r="L722" s="36"/>
    </row>
    <row r="723" spans="12:12" ht="15.75" customHeight="1" x14ac:dyDescent="0.3">
      <c r="L723" s="36"/>
    </row>
    <row r="724" spans="12:12" ht="15.75" customHeight="1" x14ac:dyDescent="0.3">
      <c r="L724" s="36"/>
    </row>
    <row r="725" spans="12:12" ht="15.75" customHeight="1" x14ac:dyDescent="0.3">
      <c r="L725" s="36"/>
    </row>
    <row r="726" spans="12:12" ht="15.75" customHeight="1" x14ac:dyDescent="0.3">
      <c r="L726" s="36"/>
    </row>
    <row r="727" spans="12:12" ht="15.75" customHeight="1" x14ac:dyDescent="0.3">
      <c r="L727" s="36"/>
    </row>
    <row r="728" spans="12:12" ht="15.75" customHeight="1" x14ac:dyDescent="0.3">
      <c r="L728" s="36"/>
    </row>
    <row r="729" spans="12:12" ht="15.75" customHeight="1" x14ac:dyDescent="0.3">
      <c r="L729" s="36"/>
    </row>
    <row r="730" spans="12:12" ht="15.75" customHeight="1" x14ac:dyDescent="0.3">
      <c r="L730" s="36"/>
    </row>
    <row r="731" spans="12:12" ht="15.75" customHeight="1" x14ac:dyDescent="0.3">
      <c r="L731" s="36"/>
    </row>
    <row r="732" spans="12:12" ht="15.75" customHeight="1" x14ac:dyDescent="0.3">
      <c r="L732" s="36"/>
    </row>
    <row r="733" spans="12:12" ht="15.75" customHeight="1" x14ac:dyDescent="0.3">
      <c r="L733" s="36"/>
    </row>
    <row r="734" spans="12:12" ht="15.75" customHeight="1" x14ac:dyDescent="0.3">
      <c r="L734" s="36"/>
    </row>
    <row r="735" spans="12:12" ht="15.75" customHeight="1" x14ac:dyDescent="0.3">
      <c r="L735" s="36"/>
    </row>
    <row r="736" spans="12:12" ht="15.75" customHeight="1" x14ac:dyDescent="0.3">
      <c r="L736" s="36"/>
    </row>
    <row r="737" spans="12:12" ht="15.75" customHeight="1" x14ac:dyDescent="0.3">
      <c r="L737" s="36"/>
    </row>
    <row r="738" spans="12:12" ht="15.75" customHeight="1" x14ac:dyDescent="0.3">
      <c r="L738" s="36"/>
    </row>
    <row r="739" spans="12:12" ht="15.75" customHeight="1" x14ac:dyDescent="0.3">
      <c r="L739" s="36"/>
    </row>
    <row r="740" spans="12:12" ht="15.75" customHeight="1" x14ac:dyDescent="0.3">
      <c r="L740" s="36"/>
    </row>
    <row r="741" spans="12:12" ht="15.75" customHeight="1" x14ac:dyDescent="0.3">
      <c r="L741" s="36"/>
    </row>
    <row r="742" spans="12:12" ht="15.75" customHeight="1" x14ac:dyDescent="0.3">
      <c r="L742" s="36"/>
    </row>
    <row r="743" spans="12:12" ht="15.75" customHeight="1" x14ac:dyDescent="0.3">
      <c r="L743" s="36"/>
    </row>
    <row r="744" spans="12:12" ht="15.75" customHeight="1" x14ac:dyDescent="0.3">
      <c r="L744" s="36"/>
    </row>
    <row r="745" spans="12:12" ht="15.75" customHeight="1" x14ac:dyDescent="0.3">
      <c r="L745" s="36"/>
    </row>
    <row r="746" spans="12:12" ht="15.75" customHeight="1" x14ac:dyDescent="0.3">
      <c r="L746" s="36"/>
    </row>
    <row r="747" spans="12:12" ht="15.75" customHeight="1" x14ac:dyDescent="0.3">
      <c r="L747" s="36"/>
    </row>
    <row r="748" spans="12:12" ht="15.75" customHeight="1" x14ac:dyDescent="0.3">
      <c r="L748" s="36"/>
    </row>
    <row r="749" spans="12:12" ht="15.75" customHeight="1" x14ac:dyDescent="0.3">
      <c r="L749" s="36"/>
    </row>
    <row r="750" spans="12:12" ht="15.75" customHeight="1" x14ac:dyDescent="0.3">
      <c r="L750" s="36"/>
    </row>
    <row r="751" spans="12:12" ht="15.75" customHeight="1" x14ac:dyDescent="0.3">
      <c r="L751" s="36"/>
    </row>
    <row r="752" spans="12:12" ht="15.75" customHeight="1" x14ac:dyDescent="0.3">
      <c r="L752" s="36"/>
    </row>
    <row r="753" spans="12:12" ht="15.75" customHeight="1" x14ac:dyDescent="0.3">
      <c r="L753" s="36"/>
    </row>
    <row r="754" spans="12:12" ht="15.75" customHeight="1" x14ac:dyDescent="0.3">
      <c r="L754" s="36"/>
    </row>
    <row r="755" spans="12:12" ht="15.75" customHeight="1" x14ac:dyDescent="0.3">
      <c r="L755" s="36"/>
    </row>
    <row r="756" spans="12:12" ht="15.75" customHeight="1" x14ac:dyDescent="0.3">
      <c r="L756" s="36"/>
    </row>
    <row r="757" spans="12:12" ht="15.75" customHeight="1" x14ac:dyDescent="0.3">
      <c r="L757" s="36"/>
    </row>
    <row r="758" spans="12:12" ht="15.75" customHeight="1" x14ac:dyDescent="0.3">
      <c r="L758" s="36"/>
    </row>
    <row r="759" spans="12:12" ht="15.75" customHeight="1" x14ac:dyDescent="0.3">
      <c r="L759" s="36"/>
    </row>
    <row r="760" spans="12:12" ht="15.75" customHeight="1" x14ac:dyDescent="0.3">
      <c r="L760" s="36"/>
    </row>
    <row r="761" spans="12:12" ht="15.75" customHeight="1" x14ac:dyDescent="0.3">
      <c r="L761" s="36"/>
    </row>
    <row r="762" spans="12:12" ht="15.75" customHeight="1" x14ac:dyDescent="0.3">
      <c r="L762" s="36"/>
    </row>
    <row r="763" spans="12:12" ht="15.75" customHeight="1" x14ac:dyDescent="0.3">
      <c r="L763" s="36"/>
    </row>
    <row r="764" spans="12:12" ht="15.75" customHeight="1" x14ac:dyDescent="0.3">
      <c r="L764" s="36"/>
    </row>
    <row r="765" spans="12:12" ht="15.75" customHeight="1" x14ac:dyDescent="0.3">
      <c r="L765" s="36"/>
    </row>
    <row r="766" spans="12:12" ht="15.75" customHeight="1" x14ac:dyDescent="0.3">
      <c r="L766" s="36"/>
    </row>
    <row r="767" spans="12:12" ht="15.75" customHeight="1" x14ac:dyDescent="0.3">
      <c r="L767" s="36"/>
    </row>
    <row r="768" spans="12:12" ht="15.75" customHeight="1" x14ac:dyDescent="0.3">
      <c r="L768" s="36"/>
    </row>
    <row r="769" spans="12:12" ht="15.75" customHeight="1" x14ac:dyDescent="0.3">
      <c r="L769" s="36"/>
    </row>
    <row r="770" spans="12:12" ht="15.75" customHeight="1" x14ac:dyDescent="0.3">
      <c r="L770" s="36"/>
    </row>
    <row r="771" spans="12:12" ht="15.75" customHeight="1" x14ac:dyDescent="0.3">
      <c r="L771" s="36"/>
    </row>
    <row r="772" spans="12:12" ht="15.75" customHeight="1" x14ac:dyDescent="0.3">
      <c r="L772" s="36"/>
    </row>
    <row r="773" spans="12:12" ht="15.75" customHeight="1" x14ac:dyDescent="0.3">
      <c r="L773" s="36"/>
    </row>
    <row r="774" spans="12:12" ht="15.75" customHeight="1" x14ac:dyDescent="0.3">
      <c r="L774" s="36"/>
    </row>
    <row r="775" spans="12:12" ht="15.75" customHeight="1" x14ac:dyDescent="0.3">
      <c r="L775" s="36"/>
    </row>
    <row r="776" spans="12:12" ht="15.75" customHeight="1" x14ac:dyDescent="0.3">
      <c r="L776" s="36"/>
    </row>
    <row r="777" spans="12:12" ht="15.75" customHeight="1" x14ac:dyDescent="0.3">
      <c r="L777" s="36"/>
    </row>
    <row r="778" spans="12:12" ht="15.75" customHeight="1" x14ac:dyDescent="0.3">
      <c r="L778" s="36"/>
    </row>
    <row r="779" spans="12:12" ht="15.75" customHeight="1" x14ac:dyDescent="0.3">
      <c r="L779" s="36"/>
    </row>
    <row r="780" spans="12:12" ht="15.75" customHeight="1" x14ac:dyDescent="0.3">
      <c r="L780" s="36"/>
    </row>
    <row r="781" spans="12:12" ht="15.75" customHeight="1" x14ac:dyDescent="0.3">
      <c r="L781" s="36"/>
    </row>
    <row r="782" spans="12:12" ht="15.75" customHeight="1" x14ac:dyDescent="0.3">
      <c r="L782" s="36"/>
    </row>
    <row r="783" spans="12:12" ht="15.75" customHeight="1" x14ac:dyDescent="0.3">
      <c r="L783" s="36"/>
    </row>
    <row r="784" spans="12:12" ht="15.75" customHeight="1" x14ac:dyDescent="0.3">
      <c r="L784" s="36"/>
    </row>
    <row r="785" spans="12:12" ht="15.75" customHeight="1" x14ac:dyDescent="0.3">
      <c r="L785" s="36"/>
    </row>
    <row r="786" spans="12:12" ht="15.75" customHeight="1" x14ac:dyDescent="0.3">
      <c r="L786" s="36"/>
    </row>
    <row r="787" spans="12:12" ht="15.75" customHeight="1" x14ac:dyDescent="0.3">
      <c r="L787" s="36"/>
    </row>
    <row r="788" spans="12:12" ht="15.75" customHeight="1" x14ac:dyDescent="0.3">
      <c r="L788" s="36"/>
    </row>
    <row r="789" spans="12:12" ht="15.75" customHeight="1" x14ac:dyDescent="0.3">
      <c r="L789" s="36"/>
    </row>
    <row r="790" spans="12:12" ht="15.75" customHeight="1" x14ac:dyDescent="0.3">
      <c r="L790" s="36"/>
    </row>
    <row r="791" spans="12:12" ht="15.75" customHeight="1" x14ac:dyDescent="0.3">
      <c r="L791" s="36"/>
    </row>
    <row r="792" spans="12:12" ht="15.75" customHeight="1" x14ac:dyDescent="0.3">
      <c r="L792" s="36"/>
    </row>
    <row r="793" spans="12:12" ht="15.75" customHeight="1" x14ac:dyDescent="0.3">
      <c r="L793" s="36"/>
    </row>
    <row r="794" spans="12:12" ht="15.75" customHeight="1" x14ac:dyDescent="0.3">
      <c r="L794" s="36"/>
    </row>
    <row r="795" spans="12:12" ht="15.75" customHeight="1" x14ac:dyDescent="0.3">
      <c r="L795" s="36"/>
    </row>
    <row r="796" spans="12:12" ht="15.75" customHeight="1" x14ac:dyDescent="0.3">
      <c r="L796" s="36"/>
    </row>
    <row r="797" spans="12:12" ht="15.75" customHeight="1" x14ac:dyDescent="0.3">
      <c r="L797" s="36"/>
    </row>
    <row r="798" spans="12:12" ht="15.75" customHeight="1" x14ac:dyDescent="0.3">
      <c r="L798" s="36"/>
    </row>
    <row r="799" spans="12:12" ht="15.75" customHeight="1" x14ac:dyDescent="0.3">
      <c r="L799" s="36"/>
    </row>
    <row r="800" spans="12:12" ht="15.75" customHeight="1" x14ac:dyDescent="0.3">
      <c r="L800" s="36"/>
    </row>
    <row r="801" spans="12:12" ht="15.75" customHeight="1" x14ac:dyDescent="0.3">
      <c r="L801" s="36"/>
    </row>
    <row r="802" spans="12:12" ht="15.75" customHeight="1" x14ac:dyDescent="0.3">
      <c r="L802" s="36"/>
    </row>
    <row r="803" spans="12:12" ht="15.75" customHeight="1" x14ac:dyDescent="0.3">
      <c r="L803" s="36"/>
    </row>
    <row r="804" spans="12:12" ht="15.75" customHeight="1" x14ac:dyDescent="0.3">
      <c r="L804" s="36"/>
    </row>
    <row r="805" spans="12:12" ht="15.75" customHeight="1" x14ac:dyDescent="0.3">
      <c r="L805" s="36"/>
    </row>
    <row r="806" spans="12:12" ht="15.75" customHeight="1" x14ac:dyDescent="0.3">
      <c r="L806" s="36"/>
    </row>
    <row r="807" spans="12:12" ht="15.75" customHeight="1" x14ac:dyDescent="0.3">
      <c r="L807" s="36"/>
    </row>
    <row r="808" spans="12:12" ht="15.75" customHeight="1" x14ac:dyDescent="0.3">
      <c r="L808" s="36"/>
    </row>
    <row r="809" spans="12:12" ht="15.75" customHeight="1" x14ac:dyDescent="0.3">
      <c r="L809" s="36"/>
    </row>
    <row r="810" spans="12:12" ht="15.75" customHeight="1" x14ac:dyDescent="0.3">
      <c r="L810" s="36"/>
    </row>
    <row r="811" spans="12:12" ht="15.75" customHeight="1" x14ac:dyDescent="0.3">
      <c r="L811" s="36"/>
    </row>
    <row r="812" spans="12:12" ht="15.75" customHeight="1" x14ac:dyDescent="0.3">
      <c r="L812" s="36"/>
    </row>
    <row r="813" spans="12:12" ht="15.75" customHeight="1" x14ac:dyDescent="0.3">
      <c r="L813" s="36"/>
    </row>
    <row r="814" spans="12:12" ht="15.75" customHeight="1" x14ac:dyDescent="0.3">
      <c r="L814" s="36"/>
    </row>
    <row r="815" spans="12:12" ht="15.75" customHeight="1" x14ac:dyDescent="0.3">
      <c r="L815" s="36"/>
    </row>
    <row r="816" spans="12:12" ht="15.75" customHeight="1" x14ac:dyDescent="0.3">
      <c r="L816" s="36"/>
    </row>
    <row r="817" spans="12:12" ht="15.75" customHeight="1" x14ac:dyDescent="0.3">
      <c r="L817" s="36"/>
    </row>
    <row r="818" spans="12:12" ht="15.75" customHeight="1" x14ac:dyDescent="0.3">
      <c r="L818" s="36"/>
    </row>
    <row r="819" spans="12:12" ht="15.75" customHeight="1" x14ac:dyDescent="0.3">
      <c r="L819" s="36"/>
    </row>
    <row r="820" spans="12:12" ht="15.75" customHeight="1" x14ac:dyDescent="0.3">
      <c r="L820" s="36"/>
    </row>
    <row r="821" spans="12:12" ht="15.75" customHeight="1" x14ac:dyDescent="0.3">
      <c r="L821" s="36"/>
    </row>
    <row r="822" spans="12:12" ht="15.75" customHeight="1" x14ac:dyDescent="0.3">
      <c r="L822" s="36"/>
    </row>
    <row r="823" spans="12:12" ht="15.75" customHeight="1" x14ac:dyDescent="0.3">
      <c r="L823" s="36"/>
    </row>
    <row r="824" spans="12:12" ht="15.75" customHeight="1" x14ac:dyDescent="0.3">
      <c r="L824" s="36"/>
    </row>
    <row r="825" spans="12:12" ht="15.75" customHeight="1" x14ac:dyDescent="0.3">
      <c r="L825" s="36"/>
    </row>
    <row r="826" spans="12:12" ht="15.75" customHeight="1" x14ac:dyDescent="0.3">
      <c r="L826" s="36"/>
    </row>
    <row r="827" spans="12:12" ht="15.75" customHeight="1" x14ac:dyDescent="0.3">
      <c r="L827" s="36"/>
    </row>
    <row r="828" spans="12:12" ht="15.75" customHeight="1" x14ac:dyDescent="0.3">
      <c r="L828" s="36"/>
    </row>
    <row r="829" spans="12:12" ht="15.75" customHeight="1" x14ac:dyDescent="0.3">
      <c r="L829" s="36"/>
    </row>
    <row r="830" spans="12:12" ht="15.75" customHeight="1" x14ac:dyDescent="0.3">
      <c r="L830" s="36"/>
    </row>
    <row r="831" spans="12:12" ht="15.75" customHeight="1" x14ac:dyDescent="0.3">
      <c r="L831" s="36"/>
    </row>
    <row r="832" spans="12:12" ht="15.75" customHeight="1" x14ac:dyDescent="0.3">
      <c r="L832" s="36"/>
    </row>
    <row r="833" spans="12:12" ht="15.75" customHeight="1" x14ac:dyDescent="0.3">
      <c r="L833" s="36"/>
    </row>
    <row r="834" spans="12:12" ht="15.75" customHeight="1" x14ac:dyDescent="0.3">
      <c r="L834" s="36"/>
    </row>
    <row r="835" spans="12:12" ht="15.75" customHeight="1" x14ac:dyDescent="0.3">
      <c r="L835" s="36"/>
    </row>
    <row r="836" spans="12:12" ht="15.75" customHeight="1" x14ac:dyDescent="0.3">
      <c r="L836" s="36"/>
    </row>
    <row r="837" spans="12:12" ht="15.75" customHeight="1" x14ac:dyDescent="0.3">
      <c r="L837" s="36"/>
    </row>
    <row r="838" spans="12:12" ht="15.75" customHeight="1" x14ac:dyDescent="0.3">
      <c r="L838" s="36"/>
    </row>
    <row r="839" spans="12:12" ht="15.75" customHeight="1" x14ac:dyDescent="0.3">
      <c r="L839" s="36"/>
    </row>
    <row r="840" spans="12:12" ht="15.75" customHeight="1" x14ac:dyDescent="0.3">
      <c r="L840" s="36"/>
    </row>
    <row r="841" spans="12:12" ht="15.75" customHeight="1" x14ac:dyDescent="0.3">
      <c r="L841" s="36"/>
    </row>
    <row r="842" spans="12:12" ht="15.75" customHeight="1" x14ac:dyDescent="0.3">
      <c r="L842" s="36"/>
    </row>
    <row r="843" spans="12:12" ht="15.75" customHeight="1" x14ac:dyDescent="0.3">
      <c r="L843" s="36"/>
    </row>
    <row r="844" spans="12:12" ht="15.75" customHeight="1" x14ac:dyDescent="0.3">
      <c r="L844" s="36"/>
    </row>
    <row r="845" spans="12:12" ht="15.75" customHeight="1" x14ac:dyDescent="0.3">
      <c r="L845" s="36"/>
    </row>
    <row r="846" spans="12:12" ht="15.75" customHeight="1" x14ac:dyDescent="0.3">
      <c r="L846" s="36"/>
    </row>
    <row r="847" spans="12:12" ht="15.75" customHeight="1" x14ac:dyDescent="0.3">
      <c r="L847" s="36"/>
    </row>
    <row r="848" spans="12:12" ht="15.75" customHeight="1" x14ac:dyDescent="0.3">
      <c r="L848" s="36"/>
    </row>
    <row r="849" spans="12:12" ht="15.75" customHeight="1" x14ac:dyDescent="0.3">
      <c r="L849" s="36"/>
    </row>
    <row r="850" spans="12:12" ht="15.75" customHeight="1" x14ac:dyDescent="0.3">
      <c r="L850" s="36"/>
    </row>
    <row r="851" spans="12:12" ht="15.75" customHeight="1" x14ac:dyDescent="0.3">
      <c r="L851" s="36"/>
    </row>
    <row r="852" spans="12:12" ht="15.75" customHeight="1" x14ac:dyDescent="0.3">
      <c r="L852" s="36"/>
    </row>
    <row r="853" spans="12:12" ht="15.75" customHeight="1" x14ac:dyDescent="0.3">
      <c r="L853" s="36"/>
    </row>
    <row r="854" spans="12:12" ht="15.75" customHeight="1" x14ac:dyDescent="0.3">
      <c r="L854" s="36"/>
    </row>
    <row r="855" spans="12:12" ht="15.75" customHeight="1" x14ac:dyDescent="0.3">
      <c r="L855" s="36"/>
    </row>
    <row r="856" spans="12:12" ht="15.75" customHeight="1" x14ac:dyDescent="0.3">
      <c r="L856" s="36"/>
    </row>
    <row r="857" spans="12:12" ht="15.75" customHeight="1" x14ac:dyDescent="0.3">
      <c r="L857" s="36"/>
    </row>
    <row r="858" spans="12:12" ht="15.75" customHeight="1" x14ac:dyDescent="0.3">
      <c r="L858" s="36"/>
    </row>
    <row r="859" spans="12:12" ht="15.75" customHeight="1" x14ac:dyDescent="0.3">
      <c r="L859" s="36"/>
    </row>
    <row r="860" spans="12:12" ht="15.75" customHeight="1" x14ac:dyDescent="0.3">
      <c r="L860" s="36"/>
    </row>
    <row r="861" spans="12:12" ht="15.75" customHeight="1" x14ac:dyDescent="0.3">
      <c r="L861" s="36"/>
    </row>
    <row r="862" spans="12:12" ht="15.75" customHeight="1" x14ac:dyDescent="0.3">
      <c r="L862" s="36"/>
    </row>
    <row r="863" spans="12:12" ht="15.75" customHeight="1" x14ac:dyDescent="0.3">
      <c r="L863" s="36"/>
    </row>
    <row r="864" spans="12:12" ht="15.75" customHeight="1" x14ac:dyDescent="0.3">
      <c r="L864" s="36"/>
    </row>
    <row r="865" spans="12:12" ht="15.75" customHeight="1" x14ac:dyDescent="0.3">
      <c r="L865" s="36"/>
    </row>
    <row r="866" spans="12:12" ht="15.75" customHeight="1" x14ac:dyDescent="0.3">
      <c r="L866" s="36"/>
    </row>
    <row r="867" spans="12:12" ht="15.75" customHeight="1" x14ac:dyDescent="0.3">
      <c r="L867" s="36"/>
    </row>
    <row r="868" spans="12:12" ht="15.75" customHeight="1" x14ac:dyDescent="0.3">
      <c r="L868" s="36"/>
    </row>
    <row r="869" spans="12:12" ht="15.75" customHeight="1" x14ac:dyDescent="0.3">
      <c r="L869" s="36"/>
    </row>
    <row r="870" spans="12:12" ht="15.75" customHeight="1" x14ac:dyDescent="0.3">
      <c r="L870" s="36"/>
    </row>
    <row r="871" spans="12:12" ht="15.75" customHeight="1" x14ac:dyDescent="0.3">
      <c r="L871" s="36"/>
    </row>
    <row r="872" spans="12:12" ht="15.75" customHeight="1" x14ac:dyDescent="0.3">
      <c r="L872" s="36"/>
    </row>
    <row r="873" spans="12:12" ht="15.75" customHeight="1" x14ac:dyDescent="0.3">
      <c r="L873" s="36"/>
    </row>
    <row r="874" spans="12:12" ht="15.75" customHeight="1" x14ac:dyDescent="0.3">
      <c r="L874" s="36"/>
    </row>
    <row r="875" spans="12:12" ht="15.75" customHeight="1" x14ac:dyDescent="0.3">
      <c r="L875" s="36"/>
    </row>
    <row r="876" spans="12:12" ht="15.75" customHeight="1" x14ac:dyDescent="0.3">
      <c r="L876" s="36"/>
    </row>
    <row r="877" spans="12:12" ht="15.75" customHeight="1" x14ac:dyDescent="0.3">
      <c r="L877" s="36"/>
    </row>
    <row r="878" spans="12:12" ht="15.75" customHeight="1" x14ac:dyDescent="0.3">
      <c r="L878" s="36"/>
    </row>
    <row r="879" spans="12:12" ht="15.75" customHeight="1" x14ac:dyDescent="0.3">
      <c r="L879" s="36"/>
    </row>
    <row r="880" spans="12:12" ht="15.75" customHeight="1" x14ac:dyDescent="0.3">
      <c r="L880" s="36"/>
    </row>
    <row r="881" spans="12:12" ht="15.75" customHeight="1" x14ac:dyDescent="0.3">
      <c r="L881" s="36"/>
    </row>
    <row r="882" spans="12:12" ht="15.75" customHeight="1" x14ac:dyDescent="0.3">
      <c r="L882" s="36"/>
    </row>
    <row r="883" spans="12:12" ht="15.75" customHeight="1" x14ac:dyDescent="0.3">
      <c r="L883" s="36"/>
    </row>
    <row r="884" spans="12:12" ht="15.75" customHeight="1" x14ac:dyDescent="0.3">
      <c r="L884" s="36"/>
    </row>
    <row r="885" spans="12:12" ht="15.75" customHeight="1" x14ac:dyDescent="0.3">
      <c r="L885" s="36"/>
    </row>
    <row r="886" spans="12:12" ht="15.75" customHeight="1" x14ac:dyDescent="0.3">
      <c r="L886" s="36"/>
    </row>
    <row r="887" spans="12:12" ht="15.75" customHeight="1" x14ac:dyDescent="0.3">
      <c r="L887" s="36"/>
    </row>
    <row r="888" spans="12:12" ht="15.75" customHeight="1" x14ac:dyDescent="0.3">
      <c r="L888" s="36"/>
    </row>
    <row r="889" spans="12:12" ht="15.75" customHeight="1" x14ac:dyDescent="0.3">
      <c r="L889" s="36"/>
    </row>
    <row r="890" spans="12:12" ht="15.75" customHeight="1" x14ac:dyDescent="0.3">
      <c r="L890" s="36"/>
    </row>
    <row r="891" spans="12:12" ht="15.75" customHeight="1" x14ac:dyDescent="0.3">
      <c r="L891" s="36"/>
    </row>
    <row r="892" spans="12:12" ht="15.75" customHeight="1" x14ac:dyDescent="0.3">
      <c r="L892" s="36"/>
    </row>
    <row r="893" spans="12:12" ht="15.75" customHeight="1" x14ac:dyDescent="0.3">
      <c r="L893" s="36"/>
    </row>
    <row r="894" spans="12:12" ht="15.75" customHeight="1" x14ac:dyDescent="0.3">
      <c r="L894" s="36"/>
    </row>
    <row r="895" spans="12:12" ht="15.75" customHeight="1" x14ac:dyDescent="0.3">
      <c r="L895" s="36"/>
    </row>
    <row r="896" spans="12:12" ht="15.75" customHeight="1" x14ac:dyDescent="0.3">
      <c r="L896" s="36"/>
    </row>
    <row r="897" spans="12:12" ht="15.75" customHeight="1" x14ac:dyDescent="0.3">
      <c r="L897" s="36"/>
    </row>
    <row r="898" spans="12:12" ht="15.75" customHeight="1" x14ac:dyDescent="0.3">
      <c r="L898" s="36"/>
    </row>
    <row r="899" spans="12:12" ht="15.75" customHeight="1" x14ac:dyDescent="0.3">
      <c r="L899" s="36"/>
    </row>
    <row r="900" spans="12:12" ht="15.75" customHeight="1" x14ac:dyDescent="0.3">
      <c r="L900" s="36"/>
    </row>
    <row r="901" spans="12:12" ht="15.75" customHeight="1" x14ac:dyDescent="0.3">
      <c r="L901" s="36"/>
    </row>
    <row r="902" spans="12:12" ht="15.75" customHeight="1" x14ac:dyDescent="0.3">
      <c r="L902" s="36"/>
    </row>
    <row r="903" spans="12:12" ht="15.75" customHeight="1" x14ac:dyDescent="0.3">
      <c r="L903" s="36"/>
    </row>
    <row r="904" spans="12:12" ht="15.75" customHeight="1" x14ac:dyDescent="0.3">
      <c r="L904" s="36"/>
    </row>
    <row r="905" spans="12:12" ht="15.75" customHeight="1" x14ac:dyDescent="0.3">
      <c r="L905" s="36"/>
    </row>
    <row r="906" spans="12:12" ht="15.75" customHeight="1" x14ac:dyDescent="0.3">
      <c r="L906" s="36"/>
    </row>
    <row r="907" spans="12:12" ht="15.75" customHeight="1" x14ac:dyDescent="0.3">
      <c r="L907" s="36"/>
    </row>
    <row r="908" spans="12:12" ht="15.75" customHeight="1" x14ac:dyDescent="0.3">
      <c r="L908" s="36"/>
    </row>
    <row r="909" spans="12:12" ht="15.75" customHeight="1" x14ac:dyDescent="0.3">
      <c r="L909" s="36"/>
    </row>
    <row r="910" spans="12:12" ht="15.75" customHeight="1" x14ac:dyDescent="0.3">
      <c r="L910" s="36"/>
    </row>
    <row r="911" spans="12:12" ht="15.75" customHeight="1" x14ac:dyDescent="0.3">
      <c r="L911" s="36"/>
    </row>
    <row r="912" spans="12:12" ht="15.75" customHeight="1" x14ac:dyDescent="0.3">
      <c r="L912" s="36"/>
    </row>
    <row r="913" spans="12:12" ht="15.75" customHeight="1" x14ac:dyDescent="0.3">
      <c r="L913" s="36"/>
    </row>
    <row r="914" spans="12:12" ht="15.75" customHeight="1" x14ac:dyDescent="0.3">
      <c r="L914" s="36"/>
    </row>
    <row r="915" spans="12:12" ht="15.75" customHeight="1" x14ac:dyDescent="0.3">
      <c r="L915" s="36"/>
    </row>
    <row r="916" spans="12:12" ht="15.75" customHeight="1" x14ac:dyDescent="0.3">
      <c r="L916" s="36"/>
    </row>
    <row r="917" spans="12:12" ht="15.75" customHeight="1" x14ac:dyDescent="0.3">
      <c r="L917" s="36"/>
    </row>
    <row r="918" spans="12:12" ht="15.75" customHeight="1" x14ac:dyDescent="0.3">
      <c r="L918" s="36"/>
    </row>
    <row r="919" spans="12:12" ht="15.75" customHeight="1" x14ac:dyDescent="0.3">
      <c r="L919" s="36"/>
    </row>
    <row r="920" spans="12:12" ht="15.75" customHeight="1" x14ac:dyDescent="0.3">
      <c r="L920" s="36"/>
    </row>
    <row r="921" spans="12:12" ht="15.75" customHeight="1" x14ac:dyDescent="0.3">
      <c r="L921" s="36"/>
    </row>
    <row r="922" spans="12:12" ht="15.75" customHeight="1" x14ac:dyDescent="0.3">
      <c r="L922" s="36"/>
    </row>
    <row r="923" spans="12:12" ht="15.75" customHeight="1" x14ac:dyDescent="0.3">
      <c r="L923" s="36"/>
    </row>
    <row r="924" spans="12:12" ht="15.75" customHeight="1" x14ac:dyDescent="0.3">
      <c r="L924" s="36"/>
    </row>
    <row r="925" spans="12:12" ht="15.75" customHeight="1" x14ac:dyDescent="0.3">
      <c r="L925" s="36"/>
    </row>
    <row r="926" spans="12:12" ht="15.75" customHeight="1" x14ac:dyDescent="0.3">
      <c r="L926" s="36"/>
    </row>
    <row r="927" spans="12:12" ht="15.75" customHeight="1" x14ac:dyDescent="0.3">
      <c r="L927" s="36"/>
    </row>
    <row r="928" spans="12:12" ht="15.75" customHeight="1" x14ac:dyDescent="0.3">
      <c r="L928" s="36"/>
    </row>
    <row r="929" spans="12:12" ht="15.75" customHeight="1" x14ac:dyDescent="0.3">
      <c r="L929" s="36"/>
    </row>
    <row r="930" spans="12:12" ht="15.75" customHeight="1" x14ac:dyDescent="0.3">
      <c r="L930" s="36"/>
    </row>
    <row r="931" spans="12:12" ht="15.75" customHeight="1" x14ac:dyDescent="0.3">
      <c r="L931" s="36"/>
    </row>
    <row r="932" spans="12:12" ht="15.75" customHeight="1" x14ac:dyDescent="0.3">
      <c r="L932" s="36"/>
    </row>
    <row r="933" spans="12:12" ht="15.75" customHeight="1" x14ac:dyDescent="0.3">
      <c r="L933" s="36"/>
    </row>
    <row r="934" spans="12:12" ht="15.75" customHeight="1" x14ac:dyDescent="0.3">
      <c r="L934" s="36"/>
    </row>
    <row r="935" spans="12:12" ht="15.75" customHeight="1" x14ac:dyDescent="0.3">
      <c r="L935" s="36"/>
    </row>
    <row r="936" spans="12:12" ht="15.75" customHeight="1" x14ac:dyDescent="0.3">
      <c r="L936" s="36"/>
    </row>
    <row r="937" spans="12:12" ht="15.75" customHeight="1" x14ac:dyDescent="0.3">
      <c r="L937" s="36"/>
    </row>
    <row r="938" spans="12:12" ht="15.75" customHeight="1" x14ac:dyDescent="0.3">
      <c r="L938" s="36"/>
    </row>
    <row r="939" spans="12:12" ht="15.75" customHeight="1" x14ac:dyDescent="0.3">
      <c r="L939" s="36"/>
    </row>
    <row r="940" spans="12:12" ht="15.75" customHeight="1" x14ac:dyDescent="0.3">
      <c r="L940" s="36"/>
    </row>
    <row r="941" spans="12:12" ht="15.75" customHeight="1" x14ac:dyDescent="0.3">
      <c r="L941" s="36"/>
    </row>
    <row r="942" spans="12:12" ht="15.75" customHeight="1" x14ac:dyDescent="0.3">
      <c r="L942" s="36"/>
    </row>
    <row r="943" spans="12:12" ht="15.75" customHeight="1" x14ac:dyDescent="0.3">
      <c r="L943" s="36"/>
    </row>
    <row r="944" spans="12:12" ht="15.75" customHeight="1" x14ac:dyDescent="0.3">
      <c r="L944" s="36"/>
    </row>
    <row r="945" spans="12:12" ht="15.75" customHeight="1" x14ac:dyDescent="0.3">
      <c r="L945" s="36"/>
    </row>
    <row r="946" spans="12:12" ht="15.75" customHeight="1" x14ac:dyDescent="0.3">
      <c r="L946" s="36"/>
    </row>
    <row r="947" spans="12:12" ht="15.75" customHeight="1" x14ac:dyDescent="0.3">
      <c r="L947" s="36"/>
    </row>
    <row r="948" spans="12:12" ht="15.75" customHeight="1" x14ac:dyDescent="0.3">
      <c r="L948" s="36"/>
    </row>
    <row r="949" spans="12:12" ht="15.75" customHeight="1" x14ac:dyDescent="0.3">
      <c r="L949" s="36"/>
    </row>
    <row r="950" spans="12:12" ht="15.75" customHeight="1" x14ac:dyDescent="0.3">
      <c r="L950" s="36"/>
    </row>
    <row r="951" spans="12:12" ht="15.75" customHeight="1" x14ac:dyDescent="0.3">
      <c r="L951" s="36"/>
    </row>
    <row r="952" spans="12:12" ht="15.75" customHeight="1" x14ac:dyDescent="0.3">
      <c r="L952" s="36"/>
    </row>
    <row r="953" spans="12:12" ht="15.75" customHeight="1" x14ac:dyDescent="0.3">
      <c r="L953" s="36"/>
    </row>
    <row r="954" spans="12:12" ht="15.75" customHeight="1" x14ac:dyDescent="0.3">
      <c r="L954" s="36"/>
    </row>
    <row r="955" spans="12:12" ht="15.75" customHeight="1" x14ac:dyDescent="0.3">
      <c r="L955" s="36"/>
    </row>
    <row r="956" spans="12:12" ht="15.75" customHeight="1" x14ac:dyDescent="0.3">
      <c r="L956" s="36"/>
    </row>
    <row r="957" spans="12:12" ht="15.75" customHeight="1" x14ac:dyDescent="0.3">
      <c r="L957" s="36"/>
    </row>
    <row r="958" spans="12:12" ht="15.75" customHeight="1" x14ac:dyDescent="0.3">
      <c r="L958" s="36"/>
    </row>
    <row r="959" spans="12:12" ht="15.75" customHeight="1" x14ac:dyDescent="0.3">
      <c r="L959" s="36"/>
    </row>
    <row r="960" spans="12:12" ht="15.75" customHeight="1" x14ac:dyDescent="0.3">
      <c r="L960" s="36"/>
    </row>
    <row r="961" spans="12:12" ht="15.75" customHeight="1" x14ac:dyDescent="0.3">
      <c r="L961" s="36"/>
    </row>
    <row r="962" spans="12:12" ht="15.75" customHeight="1" x14ac:dyDescent="0.3">
      <c r="L962" s="36"/>
    </row>
    <row r="963" spans="12:12" ht="15.75" customHeight="1" x14ac:dyDescent="0.3">
      <c r="L963" s="36"/>
    </row>
    <row r="964" spans="12:12" ht="15.75" customHeight="1" x14ac:dyDescent="0.3">
      <c r="L964" s="36"/>
    </row>
    <row r="965" spans="12:12" ht="15.75" customHeight="1" x14ac:dyDescent="0.3">
      <c r="L965" s="36"/>
    </row>
    <row r="966" spans="12:12" ht="15.75" customHeight="1" x14ac:dyDescent="0.3">
      <c r="L966" s="36"/>
    </row>
    <row r="967" spans="12:12" ht="15.75" customHeight="1" x14ac:dyDescent="0.3">
      <c r="L967" s="36"/>
    </row>
    <row r="968" spans="12:12" ht="15.75" customHeight="1" x14ac:dyDescent="0.3">
      <c r="L968" s="36"/>
    </row>
    <row r="969" spans="12:12" ht="15.75" customHeight="1" x14ac:dyDescent="0.3">
      <c r="L969" s="36"/>
    </row>
    <row r="970" spans="12:12" ht="15.75" customHeight="1" x14ac:dyDescent="0.3">
      <c r="L970" s="36"/>
    </row>
    <row r="971" spans="12:12" ht="15.75" customHeight="1" x14ac:dyDescent="0.3">
      <c r="L971" s="36"/>
    </row>
    <row r="972" spans="12:12" ht="15.75" customHeight="1" x14ac:dyDescent="0.3">
      <c r="L972" s="36"/>
    </row>
    <row r="973" spans="12:12" ht="15.75" customHeight="1" x14ac:dyDescent="0.3">
      <c r="L973" s="36"/>
    </row>
    <row r="974" spans="12:12" ht="15.75" customHeight="1" x14ac:dyDescent="0.3">
      <c r="L974" s="36"/>
    </row>
    <row r="975" spans="12:12" ht="15.75" customHeight="1" x14ac:dyDescent="0.3">
      <c r="L975" s="36"/>
    </row>
    <row r="976" spans="12:12" ht="15.75" customHeight="1" x14ac:dyDescent="0.3">
      <c r="L976" s="36"/>
    </row>
    <row r="977" spans="12:12" ht="15.75" customHeight="1" x14ac:dyDescent="0.3">
      <c r="L977" s="36"/>
    </row>
    <row r="978" spans="12:12" ht="15.75" customHeight="1" x14ac:dyDescent="0.3">
      <c r="L978" s="36"/>
    </row>
    <row r="979" spans="12:12" ht="15.75" customHeight="1" x14ac:dyDescent="0.3">
      <c r="L979" s="36"/>
    </row>
    <row r="980" spans="12:12" ht="15.75" customHeight="1" x14ac:dyDescent="0.3">
      <c r="L980" s="36"/>
    </row>
    <row r="981" spans="12:12" ht="15.75" customHeight="1" x14ac:dyDescent="0.3">
      <c r="L981" s="36"/>
    </row>
    <row r="982" spans="12:12" ht="15.75" customHeight="1" x14ac:dyDescent="0.3">
      <c r="L982" s="36"/>
    </row>
    <row r="983" spans="12:12" ht="15.75" customHeight="1" x14ac:dyDescent="0.3">
      <c r="L983" s="36"/>
    </row>
    <row r="984" spans="12:12" ht="15.75" customHeight="1" x14ac:dyDescent="0.3">
      <c r="L984" s="36"/>
    </row>
    <row r="985" spans="12:12" ht="15.75" customHeight="1" x14ac:dyDescent="0.3">
      <c r="L985" s="36"/>
    </row>
    <row r="986" spans="12:12" ht="15.75" customHeight="1" x14ac:dyDescent="0.3">
      <c r="L986" s="36"/>
    </row>
    <row r="987" spans="12:12" ht="15.75" customHeight="1" x14ac:dyDescent="0.3">
      <c r="L987" s="36"/>
    </row>
    <row r="988" spans="12:12" ht="15.75" customHeight="1" x14ac:dyDescent="0.3">
      <c r="L988" s="36"/>
    </row>
    <row r="989" spans="12:12" ht="15.75" customHeight="1" x14ac:dyDescent="0.3">
      <c r="L989" s="36"/>
    </row>
    <row r="990" spans="12:12" ht="15.75" customHeight="1" x14ac:dyDescent="0.3">
      <c r="L990" s="36"/>
    </row>
    <row r="991" spans="12:12" ht="15.75" customHeight="1" x14ac:dyDescent="0.3">
      <c r="L991" s="36"/>
    </row>
    <row r="992" spans="12:12" ht="15.75" customHeight="1" x14ac:dyDescent="0.3">
      <c r="L992" s="36"/>
    </row>
    <row r="993" spans="12:12" ht="15.75" customHeight="1" x14ac:dyDescent="0.3">
      <c r="L993" s="36"/>
    </row>
    <row r="994" spans="12:12" ht="15.75" customHeight="1" x14ac:dyDescent="0.3">
      <c r="L994" s="36"/>
    </row>
    <row r="995" spans="12:12" ht="15.75" customHeight="1" x14ac:dyDescent="0.3">
      <c r="L995" s="36"/>
    </row>
    <row r="996" spans="12:12" ht="15.75" customHeight="1" x14ac:dyDescent="0.3">
      <c r="L996" s="36"/>
    </row>
    <row r="997" spans="12:12" ht="15.75" customHeight="1" x14ac:dyDescent="0.3">
      <c r="L997" s="36"/>
    </row>
    <row r="998" spans="12:12" ht="15.75" customHeight="1" x14ac:dyDescent="0.3">
      <c r="L998" s="36"/>
    </row>
    <row r="999" spans="12:12" ht="15.75" customHeight="1" x14ac:dyDescent="0.3">
      <c r="L999" s="36"/>
    </row>
    <row r="1000" spans="12:12" ht="15.75" customHeight="1" x14ac:dyDescent="0.3">
      <c r="L1000" s="36"/>
    </row>
  </sheetData>
  <scenarios current="0" sqref="D12">
    <scenario name="Mid Scenario" locked="1" count="5" user="Hp" comment="Created by Hp on 05/06/2022_x000a_Modified by Hp on 05/06/2022">
      <inputCells r="D2" val="30000" numFmtId="167"/>
      <inputCells r="D3" val="50000" numFmtId="168"/>
      <inputCells r="C6" val="20000" numFmtId="168"/>
      <inputCells r="B8" val="130" numFmtId="167"/>
      <inputCells r="C8" val="230000" numFmtId="168"/>
    </scenario>
  </scenario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E623-D239-4A39-8499-3189F125B9EC}">
  <sheetPr>
    <outlinePr summaryBelow="0"/>
  </sheetPr>
  <dimension ref="B1:E15"/>
  <sheetViews>
    <sheetView showGridLines="0" workbookViewId="0"/>
  </sheetViews>
  <sheetFormatPr defaultRowHeight="14.4" outlineLevelRow="1" outlineLevelCol="1" x14ac:dyDescent="0.3"/>
  <cols>
    <col min="3" max="3" width="19.33203125" bestFit="1" customWidth="1"/>
    <col min="4" max="5" width="14.6640625" bestFit="1" customWidth="1" outlineLevel="1"/>
  </cols>
  <sheetData>
    <row r="1" spans="2:5" ht="15" thickBot="1" x14ac:dyDescent="0.35"/>
    <row r="2" spans="2:5" ht="15.6" x14ac:dyDescent="0.3">
      <c r="B2" s="49" t="s">
        <v>2123</v>
      </c>
      <c r="C2" s="49"/>
      <c r="D2" s="54"/>
      <c r="E2" s="54"/>
    </row>
    <row r="3" spans="2:5" ht="15.6" collapsed="1" x14ac:dyDescent="0.3">
      <c r="B3" s="48"/>
      <c r="C3" s="48"/>
      <c r="D3" s="55" t="s">
        <v>2125</v>
      </c>
      <c r="E3" s="55" t="s">
        <v>2122</v>
      </c>
    </row>
    <row r="4" spans="2:5" ht="40.799999999999997" hidden="1" outlineLevel="1" x14ac:dyDescent="0.3">
      <c r="B4" s="51"/>
      <c r="C4" s="51"/>
      <c r="D4" s="44"/>
      <c r="E4" s="58" t="s">
        <v>2130</v>
      </c>
    </row>
    <row r="5" spans="2:5" x14ac:dyDescent="0.3">
      <c r="B5" s="52" t="s">
        <v>2124</v>
      </c>
      <c r="C5" s="52"/>
      <c r="D5" s="50"/>
      <c r="E5" s="50"/>
    </row>
    <row r="6" spans="2:5" outlineLevel="1" x14ac:dyDescent="0.3">
      <c r="B6" s="51"/>
      <c r="C6" s="51" t="s">
        <v>2115</v>
      </c>
      <c r="D6" s="45">
        <v>25000</v>
      </c>
      <c r="E6" s="56">
        <v>30000</v>
      </c>
    </row>
    <row r="7" spans="2:5" outlineLevel="1" x14ac:dyDescent="0.3">
      <c r="B7" s="51"/>
      <c r="C7" s="51" t="s">
        <v>2117</v>
      </c>
      <c r="D7" s="46">
        <v>50000</v>
      </c>
      <c r="E7" s="57">
        <v>50000</v>
      </c>
    </row>
    <row r="8" spans="2:5" outlineLevel="1" x14ac:dyDescent="0.3">
      <c r="B8" s="51"/>
      <c r="C8" s="51" t="s">
        <v>2118</v>
      </c>
      <c r="D8" s="46">
        <v>20000</v>
      </c>
      <c r="E8" s="57">
        <v>20000</v>
      </c>
    </row>
    <row r="9" spans="2:5" outlineLevel="1" x14ac:dyDescent="0.3">
      <c r="B9" s="51"/>
      <c r="C9" s="51" t="s">
        <v>2119</v>
      </c>
      <c r="D9" s="45">
        <v>130</v>
      </c>
      <c r="E9" s="56">
        <v>130</v>
      </c>
    </row>
    <row r="10" spans="2:5" outlineLevel="1" x14ac:dyDescent="0.3">
      <c r="B10" s="51"/>
      <c r="C10" s="51" t="s">
        <v>2120</v>
      </c>
      <c r="D10" s="46">
        <v>2500000</v>
      </c>
      <c r="E10" s="57">
        <v>230000</v>
      </c>
    </row>
    <row r="11" spans="2:5" x14ac:dyDescent="0.3">
      <c r="B11" s="52" t="s">
        <v>2126</v>
      </c>
      <c r="C11" s="52"/>
      <c r="D11" s="50"/>
      <c r="E11" s="50"/>
    </row>
    <row r="12" spans="2:5" ht="15" outlineLevel="1" thickBot="1" x14ac:dyDescent="0.35">
      <c r="B12" s="53"/>
      <c r="C12" s="53" t="s">
        <v>2121</v>
      </c>
      <c r="D12" s="47">
        <v>200000000</v>
      </c>
      <c r="E12" s="47">
        <v>620100000</v>
      </c>
    </row>
    <row r="13" spans="2:5" x14ac:dyDescent="0.3">
      <c r="B13" t="s">
        <v>2127</v>
      </c>
    </row>
    <row r="14" spans="2:5" x14ac:dyDescent="0.3">
      <c r="B14" t="s">
        <v>2128</v>
      </c>
    </row>
    <row r="15" spans="2:5" x14ac:dyDescent="0.3">
      <c r="B15" t="s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0168-B52C-4580-AAA2-827201FB4020}">
  <dimension ref="A1:L1000"/>
  <sheetViews>
    <sheetView tabSelected="1" workbookViewId="0">
      <selection activeCell="G6" sqref="G6"/>
    </sheetView>
  </sheetViews>
  <sheetFormatPr defaultColWidth="14.44140625" defaultRowHeight="15" customHeight="1" x14ac:dyDescent="0.3"/>
  <cols>
    <col min="1" max="1" width="16.33203125" style="35" customWidth="1"/>
    <col min="2" max="2" width="8.6640625" style="35" customWidth="1"/>
    <col min="3" max="3" width="15.5546875" style="35" customWidth="1"/>
    <col min="4" max="4" width="22" style="35" customWidth="1"/>
    <col min="5" max="6" width="8.6640625" style="35" customWidth="1"/>
    <col min="7" max="7" width="12.109375" style="35" customWidth="1"/>
    <col min="8" max="11" width="12.88671875" style="35" customWidth="1"/>
    <col min="12" max="12" width="13.88671875" style="35" customWidth="1"/>
    <col min="13" max="26" width="8.6640625" style="35" customWidth="1"/>
    <col min="27" max="16384" width="14.44140625" style="35"/>
  </cols>
  <sheetData>
    <row r="1" spans="1:12" ht="14.4" x14ac:dyDescent="0.3">
      <c r="A1" s="59" t="s">
        <v>2116</v>
      </c>
      <c r="G1"/>
      <c r="H1"/>
      <c r="I1"/>
      <c r="J1"/>
      <c r="K1"/>
      <c r="L1"/>
    </row>
    <row r="2" spans="1:12" ht="14.4" x14ac:dyDescent="0.3">
      <c r="A2" s="35" t="s">
        <v>2115</v>
      </c>
      <c r="D2" s="43">
        <v>25000</v>
      </c>
      <c r="G2"/>
      <c r="H2"/>
      <c r="I2"/>
      <c r="J2"/>
      <c r="K2"/>
      <c r="L2"/>
    </row>
    <row r="3" spans="1:12" ht="14.4" x14ac:dyDescent="0.3">
      <c r="A3" s="35" t="s">
        <v>2114</v>
      </c>
      <c r="D3" s="42">
        <v>50000</v>
      </c>
      <c r="G3"/>
      <c r="H3"/>
      <c r="I3"/>
      <c r="J3"/>
      <c r="K3"/>
      <c r="L3"/>
    </row>
    <row r="4" spans="1:12" ht="14.4" x14ac:dyDescent="0.3">
      <c r="A4" s="37" t="s">
        <v>2113</v>
      </c>
      <c r="D4" s="38">
        <f>D2*D3</f>
        <v>1250000000</v>
      </c>
      <c r="G4"/>
      <c r="H4"/>
      <c r="I4"/>
      <c r="J4"/>
      <c r="K4"/>
      <c r="L4"/>
    </row>
    <row r="5" spans="1:12" ht="14.4" x14ac:dyDescent="0.3">
      <c r="G5"/>
      <c r="H5"/>
      <c r="I5"/>
      <c r="J5"/>
      <c r="K5"/>
      <c r="L5"/>
    </row>
    <row r="6" spans="1:12" ht="14.4" x14ac:dyDescent="0.3">
      <c r="A6" s="35" t="s">
        <v>46</v>
      </c>
      <c r="C6" s="42">
        <v>20000</v>
      </c>
      <c r="D6" s="40">
        <f>D2*C6</f>
        <v>500000000</v>
      </c>
      <c r="G6"/>
      <c r="H6"/>
      <c r="I6"/>
      <c r="J6"/>
      <c r="K6"/>
      <c r="L6"/>
    </row>
    <row r="7" spans="1:12" ht="14.4" x14ac:dyDescent="0.3">
      <c r="A7" s="35" t="s">
        <v>2112</v>
      </c>
      <c r="C7" s="39">
        <v>0.1</v>
      </c>
      <c r="D7" s="40">
        <f>D4*C7</f>
        <v>125000000</v>
      </c>
      <c r="G7"/>
      <c r="H7"/>
      <c r="I7"/>
      <c r="J7"/>
      <c r="K7"/>
      <c r="L7"/>
    </row>
    <row r="8" spans="1:12" ht="14.4" x14ac:dyDescent="0.3">
      <c r="A8" s="35" t="s">
        <v>2111</v>
      </c>
      <c r="B8" s="43">
        <v>130</v>
      </c>
      <c r="C8" s="42">
        <v>2500000</v>
      </c>
      <c r="D8" s="40">
        <f>B8*C8</f>
        <v>325000000</v>
      </c>
      <c r="G8"/>
      <c r="H8"/>
      <c r="I8"/>
      <c r="J8"/>
      <c r="K8"/>
      <c r="L8"/>
    </row>
    <row r="9" spans="1:12" ht="14.4" x14ac:dyDescent="0.3">
      <c r="A9" s="35" t="s">
        <v>2110</v>
      </c>
      <c r="D9" s="40">
        <v>100000000</v>
      </c>
      <c r="G9"/>
      <c r="H9"/>
      <c r="I9"/>
      <c r="J9"/>
      <c r="K9"/>
      <c r="L9"/>
    </row>
    <row r="10" spans="1:12" ht="14.4" x14ac:dyDescent="0.3">
      <c r="A10" s="37" t="s">
        <v>2109</v>
      </c>
      <c r="D10" s="41">
        <f>SUM(D6:D9)</f>
        <v>1050000000</v>
      </c>
      <c r="G10"/>
      <c r="H10"/>
      <c r="I10"/>
      <c r="J10"/>
      <c r="K10"/>
      <c r="L10"/>
    </row>
    <row r="11" spans="1:12" ht="14.4" x14ac:dyDescent="0.3">
      <c r="G11"/>
      <c r="H11"/>
      <c r="I11"/>
      <c r="J11"/>
      <c r="K11"/>
      <c r="L11"/>
    </row>
    <row r="12" spans="1:12" ht="14.4" x14ac:dyDescent="0.3">
      <c r="A12" s="37" t="s">
        <v>2108</v>
      </c>
      <c r="D12" s="40">
        <f>D4-D10</f>
        <v>200000000</v>
      </c>
      <c r="G12"/>
      <c r="H12"/>
      <c r="I12"/>
      <c r="J12"/>
      <c r="K12"/>
      <c r="L12"/>
    </row>
    <row r="13" spans="1:12" ht="14.4" x14ac:dyDescent="0.3">
      <c r="L13" s="36"/>
    </row>
    <row r="14" spans="1:12" ht="14.4" x14ac:dyDescent="0.3">
      <c r="A14" s="59" t="s">
        <v>2131</v>
      </c>
      <c r="B14" s="59" t="s">
        <v>2132</v>
      </c>
      <c r="L14" s="36"/>
    </row>
    <row r="15" spans="1:12" ht="14.4" x14ac:dyDescent="0.3">
      <c r="A15" s="35" t="s">
        <v>2116</v>
      </c>
      <c r="L15" s="36"/>
    </row>
    <row r="16" spans="1:12" ht="14.4" x14ac:dyDescent="0.3">
      <c r="A16" s="35" t="s">
        <v>2115</v>
      </c>
      <c r="D16" s="43">
        <v>37000</v>
      </c>
      <c r="L16" s="36"/>
    </row>
    <row r="17" spans="1:12" ht="14.4" x14ac:dyDescent="0.3">
      <c r="A17" s="35" t="s">
        <v>2114</v>
      </c>
      <c r="D17" s="42">
        <v>50000</v>
      </c>
      <c r="L17" s="36"/>
    </row>
    <row r="18" spans="1:12" ht="14.4" x14ac:dyDescent="0.3">
      <c r="A18" s="37" t="s">
        <v>2113</v>
      </c>
      <c r="D18" s="38">
        <f>D16*D17</f>
        <v>1850000000</v>
      </c>
      <c r="L18" s="36"/>
    </row>
    <row r="19" spans="1:12" ht="14.4" x14ac:dyDescent="0.3">
      <c r="L19" s="36"/>
    </row>
    <row r="20" spans="1:12" ht="14.4" x14ac:dyDescent="0.3">
      <c r="A20" s="35" t="s">
        <v>46</v>
      </c>
      <c r="C20" s="42">
        <v>20000</v>
      </c>
      <c r="D20" s="40">
        <f>D16*C20</f>
        <v>740000000</v>
      </c>
      <c r="L20" s="36"/>
    </row>
    <row r="21" spans="1:12" ht="15.75" customHeight="1" x14ac:dyDescent="0.3">
      <c r="A21" s="35" t="s">
        <v>2112</v>
      </c>
      <c r="C21" s="39">
        <v>0.1</v>
      </c>
      <c r="D21" s="40">
        <f>D18*C21</f>
        <v>185000000</v>
      </c>
      <c r="L21" s="36"/>
    </row>
    <row r="22" spans="1:12" ht="15.75" customHeight="1" x14ac:dyDescent="0.3">
      <c r="A22" s="35" t="s">
        <v>2111</v>
      </c>
      <c r="B22" s="43">
        <v>130</v>
      </c>
      <c r="C22" s="42">
        <v>2500000</v>
      </c>
      <c r="D22" s="40">
        <f>B22*C22</f>
        <v>325000000</v>
      </c>
      <c r="L22" s="36"/>
    </row>
    <row r="23" spans="1:12" ht="15.75" customHeight="1" x14ac:dyDescent="0.3">
      <c r="A23" s="35" t="s">
        <v>2110</v>
      </c>
      <c r="D23" s="40">
        <v>100000000</v>
      </c>
      <c r="L23" s="36"/>
    </row>
    <row r="24" spans="1:12" ht="15.75" customHeight="1" x14ac:dyDescent="0.3">
      <c r="A24" s="37" t="s">
        <v>2109</v>
      </c>
      <c r="D24" s="41">
        <f>SUM(D20:D23)</f>
        <v>1350000000</v>
      </c>
      <c r="L24" s="36"/>
    </row>
    <row r="25" spans="1:12" ht="15.75" customHeight="1" x14ac:dyDescent="0.3">
      <c r="L25" s="36"/>
    </row>
    <row r="26" spans="1:12" ht="15.75" customHeight="1" x14ac:dyDescent="0.3">
      <c r="A26" s="37" t="s">
        <v>2108</v>
      </c>
      <c r="D26" s="40">
        <f>D18-D24</f>
        <v>500000000</v>
      </c>
      <c r="L26" s="36"/>
    </row>
    <row r="27" spans="1:12" ht="15.75" customHeight="1" x14ac:dyDescent="0.3">
      <c r="L27" s="36"/>
    </row>
    <row r="28" spans="1:12" ht="15.75" customHeight="1" x14ac:dyDescent="0.3">
      <c r="L28" s="36"/>
    </row>
    <row r="29" spans="1:12" ht="15.75" customHeight="1" x14ac:dyDescent="0.3">
      <c r="L29" s="36"/>
    </row>
    <row r="30" spans="1:12" ht="15.75" customHeight="1" x14ac:dyDescent="0.3">
      <c r="L30" s="36"/>
    </row>
    <row r="31" spans="1:12" ht="15.75" customHeight="1" x14ac:dyDescent="0.3">
      <c r="L31" s="36"/>
    </row>
    <row r="32" spans="1:12" ht="15.75" customHeight="1" x14ac:dyDescent="0.3">
      <c r="L32" s="36"/>
    </row>
    <row r="33" spans="12:12" ht="15.75" customHeight="1" x14ac:dyDescent="0.3">
      <c r="L33" s="36"/>
    </row>
    <row r="34" spans="12:12" ht="15.75" customHeight="1" x14ac:dyDescent="0.3">
      <c r="L34" s="36"/>
    </row>
    <row r="35" spans="12:12" ht="15.75" customHeight="1" x14ac:dyDescent="0.3">
      <c r="L35" s="36"/>
    </row>
    <row r="36" spans="12:12" ht="15.75" customHeight="1" x14ac:dyDescent="0.3">
      <c r="L36" s="36"/>
    </row>
    <row r="37" spans="12:12" ht="15.75" customHeight="1" x14ac:dyDescent="0.3">
      <c r="L37" s="36"/>
    </row>
    <row r="38" spans="12:12" ht="15.75" customHeight="1" x14ac:dyDescent="0.3">
      <c r="L38" s="36"/>
    </row>
    <row r="39" spans="12:12" ht="15.75" customHeight="1" x14ac:dyDescent="0.3">
      <c r="L39" s="36"/>
    </row>
    <row r="40" spans="12:12" ht="15.75" customHeight="1" x14ac:dyDescent="0.3">
      <c r="L40" s="36"/>
    </row>
    <row r="41" spans="12:12" ht="15.75" customHeight="1" x14ac:dyDescent="0.3">
      <c r="L41" s="36"/>
    </row>
    <row r="42" spans="12:12" ht="15.75" customHeight="1" x14ac:dyDescent="0.3">
      <c r="L42" s="36"/>
    </row>
    <row r="43" spans="12:12" ht="15.75" customHeight="1" x14ac:dyDescent="0.3">
      <c r="L43" s="36"/>
    </row>
    <row r="44" spans="12:12" ht="15.75" customHeight="1" x14ac:dyDescent="0.3">
      <c r="L44" s="36"/>
    </row>
    <row r="45" spans="12:12" ht="15.75" customHeight="1" x14ac:dyDescent="0.3">
      <c r="L45" s="36"/>
    </row>
    <row r="46" spans="12:12" ht="15.75" customHeight="1" x14ac:dyDescent="0.3">
      <c r="L46" s="36"/>
    </row>
    <row r="47" spans="12:12" ht="15.75" customHeight="1" x14ac:dyDescent="0.3">
      <c r="L47" s="36"/>
    </row>
    <row r="48" spans="12:12" ht="15.75" customHeight="1" x14ac:dyDescent="0.3">
      <c r="L48" s="36"/>
    </row>
    <row r="49" spans="12:12" ht="15.75" customHeight="1" x14ac:dyDescent="0.3">
      <c r="L49" s="36"/>
    </row>
    <row r="50" spans="12:12" ht="15.75" customHeight="1" x14ac:dyDescent="0.3">
      <c r="L50" s="36"/>
    </row>
    <row r="51" spans="12:12" ht="15.75" customHeight="1" x14ac:dyDescent="0.3">
      <c r="L51" s="36"/>
    </row>
    <row r="52" spans="12:12" ht="15.75" customHeight="1" x14ac:dyDescent="0.3">
      <c r="L52" s="36"/>
    </row>
    <row r="53" spans="12:12" ht="15.75" customHeight="1" x14ac:dyDescent="0.3">
      <c r="L53" s="36"/>
    </row>
    <row r="54" spans="12:12" ht="15.75" customHeight="1" x14ac:dyDescent="0.3">
      <c r="L54" s="36"/>
    </row>
    <row r="55" spans="12:12" ht="15.75" customHeight="1" x14ac:dyDescent="0.3">
      <c r="L55" s="36"/>
    </row>
    <row r="56" spans="12:12" ht="15.75" customHeight="1" x14ac:dyDescent="0.3">
      <c r="L56" s="36"/>
    </row>
    <row r="57" spans="12:12" ht="15.75" customHeight="1" x14ac:dyDescent="0.3">
      <c r="L57" s="36"/>
    </row>
    <row r="58" spans="12:12" ht="15.75" customHeight="1" x14ac:dyDescent="0.3">
      <c r="L58" s="36"/>
    </row>
    <row r="59" spans="12:12" ht="15.75" customHeight="1" x14ac:dyDescent="0.3">
      <c r="L59" s="36"/>
    </row>
    <row r="60" spans="12:12" ht="15.75" customHeight="1" x14ac:dyDescent="0.3">
      <c r="L60" s="36"/>
    </row>
    <row r="61" spans="12:12" ht="15.75" customHeight="1" x14ac:dyDescent="0.3">
      <c r="L61" s="36"/>
    </row>
    <row r="62" spans="12:12" ht="15.75" customHeight="1" x14ac:dyDescent="0.3">
      <c r="L62" s="36"/>
    </row>
    <row r="63" spans="12:12" ht="15.75" customHeight="1" x14ac:dyDescent="0.3">
      <c r="L63" s="36"/>
    </row>
    <row r="64" spans="12:12" ht="15.75" customHeight="1" x14ac:dyDescent="0.3">
      <c r="L64" s="36"/>
    </row>
    <row r="65" spans="12:12" ht="15.75" customHeight="1" x14ac:dyDescent="0.3">
      <c r="L65" s="36"/>
    </row>
    <row r="66" spans="12:12" ht="15.75" customHeight="1" x14ac:dyDescent="0.3">
      <c r="L66" s="36"/>
    </row>
    <row r="67" spans="12:12" ht="15.75" customHeight="1" x14ac:dyDescent="0.3">
      <c r="L67" s="36"/>
    </row>
    <row r="68" spans="12:12" ht="15.75" customHeight="1" x14ac:dyDescent="0.3">
      <c r="L68" s="36"/>
    </row>
    <row r="69" spans="12:12" ht="15.75" customHeight="1" x14ac:dyDescent="0.3">
      <c r="L69" s="36"/>
    </row>
    <row r="70" spans="12:12" ht="15.75" customHeight="1" x14ac:dyDescent="0.3">
      <c r="L70" s="36"/>
    </row>
    <row r="71" spans="12:12" ht="15.75" customHeight="1" x14ac:dyDescent="0.3">
      <c r="L71" s="36"/>
    </row>
    <row r="72" spans="12:12" ht="15.75" customHeight="1" x14ac:dyDescent="0.3">
      <c r="L72" s="36"/>
    </row>
    <row r="73" spans="12:12" ht="15.75" customHeight="1" x14ac:dyDescent="0.3">
      <c r="L73" s="36"/>
    </row>
    <row r="74" spans="12:12" ht="15.75" customHeight="1" x14ac:dyDescent="0.3">
      <c r="L74" s="36"/>
    </row>
    <row r="75" spans="12:12" ht="15.75" customHeight="1" x14ac:dyDescent="0.3">
      <c r="L75" s="36"/>
    </row>
    <row r="76" spans="12:12" ht="15.75" customHeight="1" x14ac:dyDescent="0.3">
      <c r="L76" s="36"/>
    </row>
    <row r="77" spans="12:12" ht="15.75" customHeight="1" x14ac:dyDescent="0.3">
      <c r="L77" s="36"/>
    </row>
    <row r="78" spans="12:12" ht="15.75" customHeight="1" x14ac:dyDescent="0.3">
      <c r="L78" s="36"/>
    </row>
    <row r="79" spans="12:12" ht="15.75" customHeight="1" x14ac:dyDescent="0.3">
      <c r="L79" s="36"/>
    </row>
    <row r="80" spans="12:12" ht="15.75" customHeight="1" x14ac:dyDescent="0.3">
      <c r="L80" s="36"/>
    </row>
    <row r="81" spans="12:12" ht="15.75" customHeight="1" x14ac:dyDescent="0.3">
      <c r="L81" s="36"/>
    </row>
    <row r="82" spans="12:12" ht="15.75" customHeight="1" x14ac:dyDescent="0.3">
      <c r="L82" s="36"/>
    </row>
    <row r="83" spans="12:12" ht="15.75" customHeight="1" x14ac:dyDescent="0.3">
      <c r="L83" s="36"/>
    </row>
    <row r="84" spans="12:12" ht="15.75" customHeight="1" x14ac:dyDescent="0.3">
      <c r="L84" s="36"/>
    </row>
    <row r="85" spans="12:12" ht="15.75" customHeight="1" x14ac:dyDescent="0.3">
      <c r="L85" s="36"/>
    </row>
    <row r="86" spans="12:12" ht="15.75" customHeight="1" x14ac:dyDescent="0.3">
      <c r="L86" s="36"/>
    </row>
    <row r="87" spans="12:12" ht="15.75" customHeight="1" x14ac:dyDescent="0.3">
      <c r="L87" s="36"/>
    </row>
    <row r="88" spans="12:12" ht="15.75" customHeight="1" x14ac:dyDescent="0.3">
      <c r="L88" s="36"/>
    </row>
    <row r="89" spans="12:12" ht="15.75" customHeight="1" x14ac:dyDescent="0.3">
      <c r="L89" s="36"/>
    </row>
    <row r="90" spans="12:12" ht="15.75" customHeight="1" x14ac:dyDescent="0.3">
      <c r="L90" s="36"/>
    </row>
    <row r="91" spans="12:12" ht="15.75" customHeight="1" x14ac:dyDescent="0.3">
      <c r="L91" s="36"/>
    </row>
    <row r="92" spans="12:12" ht="15.75" customHeight="1" x14ac:dyDescent="0.3">
      <c r="L92" s="36"/>
    </row>
    <row r="93" spans="12:12" ht="15.75" customHeight="1" x14ac:dyDescent="0.3">
      <c r="L93" s="36"/>
    </row>
    <row r="94" spans="12:12" ht="15.75" customHeight="1" x14ac:dyDescent="0.3">
      <c r="L94" s="36"/>
    </row>
    <row r="95" spans="12:12" ht="15.75" customHeight="1" x14ac:dyDescent="0.3">
      <c r="L95" s="36"/>
    </row>
    <row r="96" spans="12:12" ht="15.75" customHeight="1" x14ac:dyDescent="0.3">
      <c r="L96" s="36"/>
    </row>
    <row r="97" spans="12:12" ht="15.75" customHeight="1" x14ac:dyDescent="0.3">
      <c r="L97" s="36"/>
    </row>
    <row r="98" spans="12:12" ht="15.75" customHeight="1" x14ac:dyDescent="0.3">
      <c r="L98" s="36"/>
    </row>
    <row r="99" spans="12:12" ht="15.75" customHeight="1" x14ac:dyDescent="0.3">
      <c r="L99" s="36"/>
    </row>
    <row r="100" spans="12:12" ht="15.75" customHeight="1" x14ac:dyDescent="0.3">
      <c r="L100" s="36"/>
    </row>
    <row r="101" spans="12:12" ht="15.75" customHeight="1" x14ac:dyDescent="0.3">
      <c r="L101" s="36"/>
    </row>
    <row r="102" spans="12:12" ht="15.75" customHeight="1" x14ac:dyDescent="0.3">
      <c r="L102" s="36"/>
    </row>
    <row r="103" spans="12:12" ht="15.75" customHeight="1" x14ac:dyDescent="0.3">
      <c r="L103" s="36"/>
    </row>
    <row r="104" spans="12:12" ht="15.75" customHeight="1" x14ac:dyDescent="0.3">
      <c r="L104" s="36"/>
    </row>
    <row r="105" spans="12:12" ht="15.75" customHeight="1" x14ac:dyDescent="0.3">
      <c r="L105" s="36"/>
    </row>
    <row r="106" spans="12:12" ht="15.75" customHeight="1" x14ac:dyDescent="0.3">
      <c r="L106" s="36"/>
    </row>
    <row r="107" spans="12:12" ht="15.75" customHeight="1" x14ac:dyDescent="0.3">
      <c r="L107" s="36"/>
    </row>
    <row r="108" spans="12:12" ht="15.75" customHeight="1" x14ac:dyDescent="0.3">
      <c r="L108" s="36"/>
    </row>
    <row r="109" spans="12:12" ht="15.75" customHeight="1" x14ac:dyDescent="0.3">
      <c r="L109" s="36"/>
    </row>
    <row r="110" spans="12:12" ht="15.75" customHeight="1" x14ac:dyDescent="0.3">
      <c r="L110" s="36"/>
    </row>
    <row r="111" spans="12:12" ht="15.75" customHeight="1" x14ac:dyDescent="0.3">
      <c r="L111" s="36"/>
    </row>
    <row r="112" spans="12:12" ht="15.75" customHeight="1" x14ac:dyDescent="0.3">
      <c r="L112" s="36"/>
    </row>
    <row r="113" spans="12:12" ht="15.75" customHeight="1" x14ac:dyDescent="0.3">
      <c r="L113" s="36"/>
    </row>
    <row r="114" spans="12:12" ht="15.75" customHeight="1" x14ac:dyDescent="0.3">
      <c r="L114" s="36"/>
    </row>
    <row r="115" spans="12:12" ht="15.75" customHeight="1" x14ac:dyDescent="0.3">
      <c r="L115" s="36"/>
    </row>
    <row r="116" spans="12:12" ht="15.75" customHeight="1" x14ac:dyDescent="0.3">
      <c r="L116" s="36"/>
    </row>
    <row r="117" spans="12:12" ht="15.75" customHeight="1" x14ac:dyDescent="0.3">
      <c r="L117" s="36"/>
    </row>
    <row r="118" spans="12:12" ht="15.75" customHeight="1" x14ac:dyDescent="0.3">
      <c r="L118" s="36"/>
    </row>
    <row r="119" spans="12:12" ht="15.75" customHeight="1" x14ac:dyDescent="0.3">
      <c r="L119" s="36"/>
    </row>
    <row r="120" spans="12:12" ht="15.75" customHeight="1" x14ac:dyDescent="0.3">
      <c r="L120" s="36"/>
    </row>
    <row r="121" spans="12:12" ht="15.75" customHeight="1" x14ac:dyDescent="0.3">
      <c r="L121" s="36"/>
    </row>
    <row r="122" spans="12:12" ht="15.75" customHeight="1" x14ac:dyDescent="0.3">
      <c r="L122" s="36"/>
    </row>
    <row r="123" spans="12:12" ht="15.75" customHeight="1" x14ac:dyDescent="0.3">
      <c r="L123" s="36"/>
    </row>
    <row r="124" spans="12:12" ht="15.75" customHeight="1" x14ac:dyDescent="0.3">
      <c r="L124" s="36"/>
    </row>
    <row r="125" spans="12:12" ht="15.75" customHeight="1" x14ac:dyDescent="0.3">
      <c r="L125" s="36"/>
    </row>
    <row r="126" spans="12:12" ht="15.75" customHeight="1" x14ac:dyDescent="0.3">
      <c r="L126" s="36"/>
    </row>
    <row r="127" spans="12:12" ht="15.75" customHeight="1" x14ac:dyDescent="0.3">
      <c r="L127" s="36"/>
    </row>
    <row r="128" spans="12:12" ht="15.75" customHeight="1" x14ac:dyDescent="0.3">
      <c r="L128" s="36"/>
    </row>
    <row r="129" spans="12:12" ht="15.75" customHeight="1" x14ac:dyDescent="0.3">
      <c r="L129" s="36"/>
    </row>
    <row r="130" spans="12:12" ht="15.75" customHeight="1" x14ac:dyDescent="0.3">
      <c r="L130" s="36"/>
    </row>
    <row r="131" spans="12:12" ht="15.75" customHeight="1" x14ac:dyDescent="0.3">
      <c r="L131" s="36"/>
    </row>
    <row r="132" spans="12:12" ht="15.75" customHeight="1" x14ac:dyDescent="0.3">
      <c r="L132" s="36"/>
    </row>
    <row r="133" spans="12:12" ht="15.75" customHeight="1" x14ac:dyDescent="0.3">
      <c r="L133" s="36"/>
    </row>
    <row r="134" spans="12:12" ht="15.75" customHeight="1" x14ac:dyDescent="0.3">
      <c r="L134" s="36"/>
    </row>
    <row r="135" spans="12:12" ht="15.75" customHeight="1" x14ac:dyDescent="0.3">
      <c r="L135" s="36"/>
    </row>
    <row r="136" spans="12:12" ht="15.75" customHeight="1" x14ac:dyDescent="0.3">
      <c r="L136" s="36"/>
    </row>
    <row r="137" spans="12:12" ht="15.75" customHeight="1" x14ac:dyDescent="0.3">
      <c r="L137" s="36"/>
    </row>
    <row r="138" spans="12:12" ht="15.75" customHeight="1" x14ac:dyDescent="0.3">
      <c r="L138" s="36"/>
    </row>
    <row r="139" spans="12:12" ht="15.75" customHeight="1" x14ac:dyDescent="0.3">
      <c r="L139" s="36"/>
    </row>
    <row r="140" spans="12:12" ht="15.75" customHeight="1" x14ac:dyDescent="0.3">
      <c r="L140" s="36"/>
    </row>
    <row r="141" spans="12:12" ht="15.75" customHeight="1" x14ac:dyDescent="0.3">
      <c r="L141" s="36"/>
    </row>
    <row r="142" spans="12:12" ht="15.75" customHeight="1" x14ac:dyDescent="0.3">
      <c r="L142" s="36"/>
    </row>
    <row r="143" spans="12:12" ht="15.75" customHeight="1" x14ac:dyDescent="0.3">
      <c r="L143" s="36"/>
    </row>
    <row r="144" spans="12:12" ht="15.75" customHeight="1" x14ac:dyDescent="0.3">
      <c r="L144" s="36"/>
    </row>
    <row r="145" spans="12:12" ht="15.75" customHeight="1" x14ac:dyDescent="0.3">
      <c r="L145" s="36"/>
    </row>
    <row r="146" spans="12:12" ht="15.75" customHeight="1" x14ac:dyDescent="0.3">
      <c r="L146" s="36"/>
    </row>
    <row r="147" spans="12:12" ht="15.75" customHeight="1" x14ac:dyDescent="0.3">
      <c r="L147" s="36"/>
    </row>
    <row r="148" spans="12:12" ht="15.75" customHeight="1" x14ac:dyDescent="0.3">
      <c r="L148" s="36"/>
    </row>
    <row r="149" spans="12:12" ht="15.75" customHeight="1" x14ac:dyDescent="0.3">
      <c r="L149" s="36"/>
    </row>
    <row r="150" spans="12:12" ht="15.75" customHeight="1" x14ac:dyDescent="0.3">
      <c r="L150" s="36"/>
    </row>
    <row r="151" spans="12:12" ht="15.75" customHeight="1" x14ac:dyDescent="0.3">
      <c r="L151" s="36"/>
    </row>
    <row r="152" spans="12:12" ht="15.75" customHeight="1" x14ac:dyDescent="0.3">
      <c r="L152" s="36"/>
    </row>
    <row r="153" spans="12:12" ht="15.75" customHeight="1" x14ac:dyDescent="0.3">
      <c r="L153" s="36"/>
    </row>
    <row r="154" spans="12:12" ht="15.75" customHeight="1" x14ac:dyDescent="0.3">
      <c r="L154" s="36"/>
    </row>
    <row r="155" spans="12:12" ht="15.75" customHeight="1" x14ac:dyDescent="0.3">
      <c r="L155" s="36"/>
    </row>
    <row r="156" spans="12:12" ht="15.75" customHeight="1" x14ac:dyDescent="0.3">
      <c r="L156" s="36"/>
    </row>
    <row r="157" spans="12:12" ht="15.75" customHeight="1" x14ac:dyDescent="0.3">
      <c r="L157" s="36"/>
    </row>
    <row r="158" spans="12:12" ht="15.75" customHeight="1" x14ac:dyDescent="0.3">
      <c r="L158" s="36"/>
    </row>
    <row r="159" spans="12:12" ht="15.75" customHeight="1" x14ac:dyDescent="0.3">
      <c r="L159" s="36"/>
    </row>
    <row r="160" spans="12:12" ht="15.75" customHeight="1" x14ac:dyDescent="0.3">
      <c r="L160" s="36"/>
    </row>
    <row r="161" spans="12:12" ht="15.75" customHeight="1" x14ac:dyDescent="0.3">
      <c r="L161" s="36"/>
    </row>
    <row r="162" spans="12:12" ht="15.75" customHeight="1" x14ac:dyDescent="0.3">
      <c r="L162" s="36"/>
    </row>
    <row r="163" spans="12:12" ht="15.75" customHeight="1" x14ac:dyDescent="0.3">
      <c r="L163" s="36"/>
    </row>
    <row r="164" spans="12:12" ht="15.75" customHeight="1" x14ac:dyDescent="0.3">
      <c r="L164" s="36"/>
    </row>
    <row r="165" spans="12:12" ht="15.75" customHeight="1" x14ac:dyDescent="0.3">
      <c r="L165" s="36"/>
    </row>
    <row r="166" spans="12:12" ht="15.75" customHeight="1" x14ac:dyDescent="0.3">
      <c r="L166" s="36"/>
    </row>
    <row r="167" spans="12:12" ht="15.75" customHeight="1" x14ac:dyDescent="0.3">
      <c r="L167" s="36"/>
    </row>
    <row r="168" spans="12:12" ht="15.75" customHeight="1" x14ac:dyDescent="0.3">
      <c r="L168" s="36"/>
    </row>
    <row r="169" spans="12:12" ht="15.75" customHeight="1" x14ac:dyDescent="0.3">
      <c r="L169" s="36"/>
    </row>
    <row r="170" spans="12:12" ht="15.75" customHeight="1" x14ac:dyDescent="0.3">
      <c r="L170" s="36"/>
    </row>
    <row r="171" spans="12:12" ht="15.75" customHeight="1" x14ac:dyDescent="0.3">
      <c r="L171" s="36"/>
    </row>
    <row r="172" spans="12:12" ht="15.75" customHeight="1" x14ac:dyDescent="0.3">
      <c r="L172" s="36"/>
    </row>
    <row r="173" spans="12:12" ht="15.75" customHeight="1" x14ac:dyDescent="0.3">
      <c r="L173" s="36"/>
    </row>
    <row r="174" spans="12:12" ht="15.75" customHeight="1" x14ac:dyDescent="0.3">
      <c r="L174" s="36"/>
    </row>
    <row r="175" spans="12:12" ht="15.75" customHeight="1" x14ac:dyDescent="0.3">
      <c r="L175" s="36"/>
    </row>
    <row r="176" spans="12:12" ht="15.75" customHeight="1" x14ac:dyDescent="0.3">
      <c r="L176" s="36"/>
    </row>
    <row r="177" spans="12:12" ht="15.75" customHeight="1" x14ac:dyDescent="0.3">
      <c r="L177" s="36"/>
    </row>
    <row r="178" spans="12:12" ht="15.75" customHeight="1" x14ac:dyDescent="0.3">
      <c r="L178" s="36"/>
    </row>
    <row r="179" spans="12:12" ht="15.75" customHeight="1" x14ac:dyDescent="0.3">
      <c r="L179" s="36"/>
    </row>
    <row r="180" spans="12:12" ht="15.75" customHeight="1" x14ac:dyDescent="0.3">
      <c r="L180" s="36"/>
    </row>
    <row r="181" spans="12:12" ht="15.75" customHeight="1" x14ac:dyDescent="0.3">
      <c r="L181" s="36"/>
    </row>
    <row r="182" spans="12:12" ht="15.75" customHeight="1" x14ac:dyDescent="0.3">
      <c r="L182" s="36"/>
    </row>
    <row r="183" spans="12:12" ht="15.75" customHeight="1" x14ac:dyDescent="0.3">
      <c r="L183" s="36"/>
    </row>
    <row r="184" spans="12:12" ht="15.75" customHeight="1" x14ac:dyDescent="0.3">
      <c r="L184" s="36"/>
    </row>
    <row r="185" spans="12:12" ht="15.75" customHeight="1" x14ac:dyDescent="0.3">
      <c r="L185" s="36"/>
    </row>
    <row r="186" spans="12:12" ht="15.75" customHeight="1" x14ac:dyDescent="0.3">
      <c r="L186" s="36"/>
    </row>
    <row r="187" spans="12:12" ht="15.75" customHeight="1" x14ac:dyDescent="0.3">
      <c r="L187" s="36"/>
    </row>
    <row r="188" spans="12:12" ht="15.75" customHeight="1" x14ac:dyDescent="0.3">
      <c r="L188" s="36"/>
    </row>
    <row r="189" spans="12:12" ht="15.75" customHeight="1" x14ac:dyDescent="0.3">
      <c r="L189" s="36"/>
    </row>
    <row r="190" spans="12:12" ht="15.75" customHeight="1" x14ac:dyDescent="0.3">
      <c r="L190" s="36"/>
    </row>
    <row r="191" spans="12:12" ht="15.75" customHeight="1" x14ac:dyDescent="0.3">
      <c r="L191" s="36"/>
    </row>
    <row r="192" spans="12:12" ht="15.75" customHeight="1" x14ac:dyDescent="0.3">
      <c r="L192" s="36"/>
    </row>
    <row r="193" spans="12:12" ht="15.75" customHeight="1" x14ac:dyDescent="0.3">
      <c r="L193" s="36"/>
    </row>
    <row r="194" spans="12:12" ht="15.75" customHeight="1" x14ac:dyDescent="0.3">
      <c r="L194" s="36"/>
    </row>
    <row r="195" spans="12:12" ht="15.75" customHeight="1" x14ac:dyDescent="0.3">
      <c r="L195" s="36"/>
    </row>
    <row r="196" spans="12:12" ht="15.75" customHeight="1" x14ac:dyDescent="0.3">
      <c r="L196" s="36"/>
    </row>
    <row r="197" spans="12:12" ht="15.75" customHeight="1" x14ac:dyDescent="0.3">
      <c r="L197" s="36"/>
    </row>
    <row r="198" spans="12:12" ht="15.75" customHeight="1" x14ac:dyDescent="0.3">
      <c r="L198" s="36"/>
    </row>
    <row r="199" spans="12:12" ht="15.75" customHeight="1" x14ac:dyDescent="0.3">
      <c r="L199" s="36"/>
    </row>
    <row r="200" spans="12:12" ht="15.75" customHeight="1" x14ac:dyDescent="0.3">
      <c r="L200" s="36"/>
    </row>
    <row r="201" spans="12:12" ht="15.75" customHeight="1" x14ac:dyDescent="0.3">
      <c r="L201" s="36"/>
    </row>
    <row r="202" spans="12:12" ht="15.75" customHeight="1" x14ac:dyDescent="0.3">
      <c r="L202" s="36"/>
    </row>
    <row r="203" spans="12:12" ht="15.75" customHeight="1" x14ac:dyDescent="0.3">
      <c r="L203" s="36"/>
    </row>
    <row r="204" spans="12:12" ht="15.75" customHeight="1" x14ac:dyDescent="0.3">
      <c r="L204" s="36"/>
    </row>
    <row r="205" spans="12:12" ht="15.75" customHeight="1" x14ac:dyDescent="0.3">
      <c r="L205" s="36"/>
    </row>
    <row r="206" spans="12:12" ht="15.75" customHeight="1" x14ac:dyDescent="0.3">
      <c r="L206" s="36"/>
    </row>
    <row r="207" spans="12:12" ht="15.75" customHeight="1" x14ac:dyDescent="0.3">
      <c r="L207" s="36"/>
    </row>
    <row r="208" spans="12:12" ht="15.75" customHeight="1" x14ac:dyDescent="0.3">
      <c r="L208" s="36"/>
    </row>
    <row r="209" spans="12:12" ht="15.75" customHeight="1" x14ac:dyDescent="0.3">
      <c r="L209" s="36"/>
    </row>
    <row r="210" spans="12:12" ht="15.75" customHeight="1" x14ac:dyDescent="0.3">
      <c r="L210" s="36"/>
    </row>
    <row r="211" spans="12:12" ht="15.75" customHeight="1" x14ac:dyDescent="0.3">
      <c r="L211" s="36"/>
    </row>
    <row r="212" spans="12:12" ht="15.75" customHeight="1" x14ac:dyDescent="0.3">
      <c r="L212" s="36"/>
    </row>
    <row r="213" spans="12:12" ht="15.75" customHeight="1" x14ac:dyDescent="0.3">
      <c r="L213" s="36"/>
    </row>
    <row r="214" spans="12:12" ht="15.75" customHeight="1" x14ac:dyDescent="0.3">
      <c r="L214" s="36"/>
    </row>
    <row r="215" spans="12:12" ht="15.75" customHeight="1" x14ac:dyDescent="0.3">
      <c r="L215" s="36"/>
    </row>
    <row r="216" spans="12:12" ht="15.75" customHeight="1" x14ac:dyDescent="0.3">
      <c r="L216" s="36"/>
    </row>
    <row r="217" spans="12:12" ht="15.75" customHeight="1" x14ac:dyDescent="0.3">
      <c r="L217" s="36"/>
    </row>
    <row r="218" spans="12:12" ht="15.75" customHeight="1" x14ac:dyDescent="0.3">
      <c r="L218" s="36"/>
    </row>
    <row r="219" spans="12:12" ht="15.75" customHeight="1" x14ac:dyDescent="0.3">
      <c r="L219" s="36"/>
    </row>
    <row r="220" spans="12:12" ht="15.75" customHeight="1" x14ac:dyDescent="0.3">
      <c r="L220" s="36"/>
    </row>
    <row r="221" spans="12:12" ht="15.75" customHeight="1" x14ac:dyDescent="0.3">
      <c r="L221" s="36"/>
    </row>
    <row r="222" spans="12:12" ht="15.75" customHeight="1" x14ac:dyDescent="0.3">
      <c r="L222" s="36"/>
    </row>
    <row r="223" spans="12:12" ht="15.75" customHeight="1" x14ac:dyDescent="0.3">
      <c r="L223" s="36"/>
    </row>
    <row r="224" spans="12:12" ht="15.75" customHeight="1" x14ac:dyDescent="0.3">
      <c r="L224" s="36"/>
    </row>
    <row r="225" spans="12:12" ht="15.75" customHeight="1" x14ac:dyDescent="0.3">
      <c r="L225" s="36"/>
    </row>
    <row r="226" spans="12:12" ht="15.75" customHeight="1" x14ac:dyDescent="0.3">
      <c r="L226" s="36"/>
    </row>
    <row r="227" spans="12:12" ht="15.75" customHeight="1" x14ac:dyDescent="0.3">
      <c r="L227" s="36"/>
    </row>
    <row r="228" spans="12:12" ht="15.75" customHeight="1" x14ac:dyDescent="0.3">
      <c r="L228" s="36"/>
    </row>
    <row r="229" spans="12:12" ht="15.75" customHeight="1" x14ac:dyDescent="0.3">
      <c r="L229" s="36"/>
    </row>
    <row r="230" spans="12:12" ht="15.75" customHeight="1" x14ac:dyDescent="0.3">
      <c r="L230" s="36"/>
    </row>
    <row r="231" spans="12:12" ht="15.75" customHeight="1" x14ac:dyDescent="0.3">
      <c r="L231" s="36"/>
    </row>
    <row r="232" spans="12:12" ht="15.75" customHeight="1" x14ac:dyDescent="0.3">
      <c r="L232" s="36"/>
    </row>
    <row r="233" spans="12:12" ht="15.75" customHeight="1" x14ac:dyDescent="0.3">
      <c r="L233" s="36"/>
    </row>
    <row r="234" spans="12:12" ht="15.75" customHeight="1" x14ac:dyDescent="0.3">
      <c r="L234" s="36"/>
    </row>
    <row r="235" spans="12:12" ht="15.75" customHeight="1" x14ac:dyDescent="0.3">
      <c r="L235" s="36"/>
    </row>
    <row r="236" spans="12:12" ht="15.75" customHeight="1" x14ac:dyDescent="0.3">
      <c r="L236" s="36"/>
    </row>
    <row r="237" spans="12:12" ht="15.75" customHeight="1" x14ac:dyDescent="0.3">
      <c r="L237" s="36"/>
    </row>
    <row r="238" spans="12:12" ht="15.75" customHeight="1" x14ac:dyDescent="0.3">
      <c r="L238" s="36"/>
    </row>
    <row r="239" spans="12:12" ht="15.75" customHeight="1" x14ac:dyDescent="0.3">
      <c r="L239" s="36"/>
    </row>
    <row r="240" spans="12:12" ht="15.75" customHeight="1" x14ac:dyDescent="0.3">
      <c r="L240" s="36"/>
    </row>
    <row r="241" spans="12:12" ht="15.75" customHeight="1" x14ac:dyDescent="0.3">
      <c r="L241" s="36"/>
    </row>
    <row r="242" spans="12:12" ht="15.75" customHeight="1" x14ac:dyDescent="0.3">
      <c r="L242" s="36"/>
    </row>
    <row r="243" spans="12:12" ht="15.75" customHeight="1" x14ac:dyDescent="0.3">
      <c r="L243" s="36"/>
    </row>
    <row r="244" spans="12:12" ht="15.75" customHeight="1" x14ac:dyDescent="0.3">
      <c r="L244" s="36"/>
    </row>
    <row r="245" spans="12:12" ht="15.75" customHeight="1" x14ac:dyDescent="0.3">
      <c r="L245" s="36"/>
    </row>
    <row r="246" spans="12:12" ht="15.75" customHeight="1" x14ac:dyDescent="0.3">
      <c r="L246" s="36"/>
    </row>
    <row r="247" spans="12:12" ht="15.75" customHeight="1" x14ac:dyDescent="0.3">
      <c r="L247" s="36"/>
    </row>
    <row r="248" spans="12:12" ht="15.75" customHeight="1" x14ac:dyDescent="0.3">
      <c r="L248" s="36"/>
    </row>
    <row r="249" spans="12:12" ht="15.75" customHeight="1" x14ac:dyDescent="0.3">
      <c r="L249" s="36"/>
    </row>
    <row r="250" spans="12:12" ht="15.75" customHeight="1" x14ac:dyDescent="0.3">
      <c r="L250" s="36"/>
    </row>
    <row r="251" spans="12:12" ht="15.75" customHeight="1" x14ac:dyDescent="0.3">
      <c r="L251" s="36"/>
    </row>
    <row r="252" spans="12:12" ht="15.75" customHeight="1" x14ac:dyDescent="0.3">
      <c r="L252" s="36"/>
    </row>
    <row r="253" spans="12:12" ht="15.75" customHeight="1" x14ac:dyDescent="0.3">
      <c r="L253" s="36"/>
    </row>
    <row r="254" spans="12:12" ht="15.75" customHeight="1" x14ac:dyDescent="0.3">
      <c r="L254" s="36"/>
    </row>
    <row r="255" spans="12:12" ht="15.75" customHeight="1" x14ac:dyDescent="0.3">
      <c r="L255" s="36"/>
    </row>
    <row r="256" spans="12:12" ht="15.75" customHeight="1" x14ac:dyDescent="0.3">
      <c r="L256" s="36"/>
    </row>
    <row r="257" spans="12:12" ht="15.75" customHeight="1" x14ac:dyDescent="0.3">
      <c r="L257" s="36"/>
    </row>
    <row r="258" spans="12:12" ht="15.75" customHeight="1" x14ac:dyDescent="0.3">
      <c r="L258" s="36"/>
    </row>
    <row r="259" spans="12:12" ht="15.75" customHeight="1" x14ac:dyDescent="0.3">
      <c r="L259" s="36"/>
    </row>
    <row r="260" spans="12:12" ht="15.75" customHeight="1" x14ac:dyDescent="0.3">
      <c r="L260" s="36"/>
    </row>
    <row r="261" spans="12:12" ht="15.75" customHeight="1" x14ac:dyDescent="0.3">
      <c r="L261" s="36"/>
    </row>
    <row r="262" spans="12:12" ht="15.75" customHeight="1" x14ac:dyDescent="0.3">
      <c r="L262" s="36"/>
    </row>
    <row r="263" spans="12:12" ht="15.75" customHeight="1" x14ac:dyDescent="0.3">
      <c r="L263" s="36"/>
    </row>
    <row r="264" spans="12:12" ht="15.75" customHeight="1" x14ac:dyDescent="0.3">
      <c r="L264" s="36"/>
    </row>
    <row r="265" spans="12:12" ht="15.75" customHeight="1" x14ac:dyDescent="0.3">
      <c r="L265" s="36"/>
    </row>
    <row r="266" spans="12:12" ht="15.75" customHeight="1" x14ac:dyDescent="0.3">
      <c r="L266" s="36"/>
    </row>
    <row r="267" spans="12:12" ht="15.75" customHeight="1" x14ac:dyDescent="0.3">
      <c r="L267" s="36"/>
    </row>
    <row r="268" spans="12:12" ht="15.75" customHeight="1" x14ac:dyDescent="0.3">
      <c r="L268" s="36"/>
    </row>
    <row r="269" spans="12:12" ht="15.75" customHeight="1" x14ac:dyDescent="0.3">
      <c r="L269" s="36"/>
    </row>
    <row r="270" spans="12:12" ht="15.75" customHeight="1" x14ac:dyDescent="0.3">
      <c r="L270" s="36"/>
    </row>
    <row r="271" spans="12:12" ht="15.75" customHeight="1" x14ac:dyDescent="0.3">
      <c r="L271" s="36"/>
    </row>
    <row r="272" spans="12:12" ht="15.75" customHeight="1" x14ac:dyDescent="0.3">
      <c r="L272" s="36"/>
    </row>
    <row r="273" spans="12:12" ht="15.75" customHeight="1" x14ac:dyDescent="0.3">
      <c r="L273" s="36"/>
    </row>
    <row r="274" spans="12:12" ht="15.75" customHeight="1" x14ac:dyDescent="0.3">
      <c r="L274" s="36"/>
    </row>
    <row r="275" spans="12:12" ht="15.75" customHeight="1" x14ac:dyDescent="0.3">
      <c r="L275" s="36"/>
    </row>
    <row r="276" spans="12:12" ht="15.75" customHeight="1" x14ac:dyDescent="0.3">
      <c r="L276" s="36"/>
    </row>
    <row r="277" spans="12:12" ht="15.75" customHeight="1" x14ac:dyDescent="0.3">
      <c r="L277" s="36"/>
    </row>
    <row r="278" spans="12:12" ht="15.75" customHeight="1" x14ac:dyDescent="0.3">
      <c r="L278" s="36"/>
    </row>
    <row r="279" spans="12:12" ht="15.75" customHeight="1" x14ac:dyDescent="0.3">
      <c r="L279" s="36"/>
    </row>
    <row r="280" spans="12:12" ht="15.75" customHeight="1" x14ac:dyDescent="0.3">
      <c r="L280" s="36"/>
    </row>
    <row r="281" spans="12:12" ht="15.75" customHeight="1" x14ac:dyDescent="0.3">
      <c r="L281" s="36"/>
    </row>
    <row r="282" spans="12:12" ht="15.75" customHeight="1" x14ac:dyDescent="0.3">
      <c r="L282" s="36"/>
    </row>
    <row r="283" spans="12:12" ht="15.75" customHeight="1" x14ac:dyDescent="0.3">
      <c r="L283" s="36"/>
    </row>
    <row r="284" spans="12:12" ht="15.75" customHeight="1" x14ac:dyDescent="0.3">
      <c r="L284" s="36"/>
    </row>
    <row r="285" spans="12:12" ht="15.75" customHeight="1" x14ac:dyDescent="0.3">
      <c r="L285" s="36"/>
    </row>
    <row r="286" spans="12:12" ht="15.75" customHeight="1" x14ac:dyDescent="0.3">
      <c r="L286" s="36"/>
    </row>
    <row r="287" spans="12:12" ht="15.75" customHeight="1" x14ac:dyDescent="0.3">
      <c r="L287" s="36"/>
    </row>
    <row r="288" spans="12:12" ht="15.75" customHeight="1" x14ac:dyDescent="0.3">
      <c r="L288" s="36"/>
    </row>
    <row r="289" spans="12:12" ht="15.75" customHeight="1" x14ac:dyDescent="0.3">
      <c r="L289" s="36"/>
    </row>
    <row r="290" spans="12:12" ht="15.75" customHeight="1" x14ac:dyDescent="0.3">
      <c r="L290" s="36"/>
    </row>
    <row r="291" spans="12:12" ht="15.75" customHeight="1" x14ac:dyDescent="0.3">
      <c r="L291" s="36"/>
    </row>
    <row r="292" spans="12:12" ht="15.75" customHeight="1" x14ac:dyDescent="0.3">
      <c r="L292" s="36"/>
    </row>
    <row r="293" spans="12:12" ht="15.75" customHeight="1" x14ac:dyDescent="0.3">
      <c r="L293" s="36"/>
    </row>
    <row r="294" spans="12:12" ht="15.75" customHeight="1" x14ac:dyDescent="0.3">
      <c r="L294" s="36"/>
    </row>
    <row r="295" spans="12:12" ht="15.75" customHeight="1" x14ac:dyDescent="0.3">
      <c r="L295" s="36"/>
    </row>
    <row r="296" spans="12:12" ht="15.75" customHeight="1" x14ac:dyDescent="0.3">
      <c r="L296" s="36"/>
    </row>
    <row r="297" spans="12:12" ht="15.75" customHeight="1" x14ac:dyDescent="0.3">
      <c r="L297" s="36"/>
    </row>
    <row r="298" spans="12:12" ht="15.75" customHeight="1" x14ac:dyDescent="0.3">
      <c r="L298" s="36"/>
    </row>
    <row r="299" spans="12:12" ht="15.75" customHeight="1" x14ac:dyDescent="0.3">
      <c r="L299" s="36"/>
    </row>
    <row r="300" spans="12:12" ht="15.75" customHeight="1" x14ac:dyDescent="0.3">
      <c r="L300" s="36"/>
    </row>
    <row r="301" spans="12:12" ht="15.75" customHeight="1" x14ac:dyDescent="0.3">
      <c r="L301" s="36"/>
    </row>
    <row r="302" spans="12:12" ht="15.75" customHeight="1" x14ac:dyDescent="0.3">
      <c r="L302" s="36"/>
    </row>
    <row r="303" spans="12:12" ht="15.75" customHeight="1" x14ac:dyDescent="0.3">
      <c r="L303" s="36"/>
    </row>
    <row r="304" spans="12:12" ht="15.75" customHeight="1" x14ac:dyDescent="0.3">
      <c r="L304" s="36"/>
    </row>
    <row r="305" spans="12:12" ht="15.75" customHeight="1" x14ac:dyDescent="0.3">
      <c r="L305" s="36"/>
    </row>
    <row r="306" spans="12:12" ht="15.75" customHeight="1" x14ac:dyDescent="0.3">
      <c r="L306" s="36"/>
    </row>
    <row r="307" spans="12:12" ht="15.75" customHeight="1" x14ac:dyDescent="0.3">
      <c r="L307" s="36"/>
    </row>
    <row r="308" spans="12:12" ht="15.75" customHeight="1" x14ac:dyDescent="0.3">
      <c r="L308" s="36"/>
    </row>
    <row r="309" spans="12:12" ht="15.75" customHeight="1" x14ac:dyDescent="0.3">
      <c r="L309" s="36"/>
    </row>
    <row r="310" spans="12:12" ht="15.75" customHeight="1" x14ac:dyDescent="0.3">
      <c r="L310" s="36"/>
    </row>
    <row r="311" spans="12:12" ht="15.75" customHeight="1" x14ac:dyDescent="0.3">
      <c r="L311" s="36"/>
    </row>
    <row r="312" spans="12:12" ht="15.75" customHeight="1" x14ac:dyDescent="0.3">
      <c r="L312" s="36"/>
    </row>
    <row r="313" spans="12:12" ht="15.75" customHeight="1" x14ac:dyDescent="0.3">
      <c r="L313" s="36"/>
    </row>
    <row r="314" spans="12:12" ht="15.75" customHeight="1" x14ac:dyDescent="0.3">
      <c r="L314" s="36"/>
    </row>
    <row r="315" spans="12:12" ht="15.75" customHeight="1" x14ac:dyDescent="0.3">
      <c r="L315" s="36"/>
    </row>
    <row r="316" spans="12:12" ht="15.75" customHeight="1" x14ac:dyDescent="0.3">
      <c r="L316" s="36"/>
    </row>
    <row r="317" spans="12:12" ht="15.75" customHeight="1" x14ac:dyDescent="0.3">
      <c r="L317" s="36"/>
    </row>
    <row r="318" spans="12:12" ht="15.75" customHeight="1" x14ac:dyDescent="0.3">
      <c r="L318" s="36"/>
    </row>
    <row r="319" spans="12:12" ht="15.75" customHeight="1" x14ac:dyDescent="0.3">
      <c r="L319" s="36"/>
    </row>
    <row r="320" spans="12:12" ht="15.75" customHeight="1" x14ac:dyDescent="0.3">
      <c r="L320" s="36"/>
    </row>
    <row r="321" spans="12:12" ht="15.75" customHeight="1" x14ac:dyDescent="0.3">
      <c r="L321" s="36"/>
    </row>
    <row r="322" spans="12:12" ht="15.75" customHeight="1" x14ac:dyDescent="0.3">
      <c r="L322" s="36"/>
    </row>
    <row r="323" spans="12:12" ht="15.75" customHeight="1" x14ac:dyDescent="0.3">
      <c r="L323" s="36"/>
    </row>
    <row r="324" spans="12:12" ht="15.75" customHeight="1" x14ac:dyDescent="0.3">
      <c r="L324" s="36"/>
    </row>
    <row r="325" spans="12:12" ht="15.75" customHeight="1" x14ac:dyDescent="0.3">
      <c r="L325" s="36"/>
    </row>
    <row r="326" spans="12:12" ht="15.75" customHeight="1" x14ac:dyDescent="0.3">
      <c r="L326" s="36"/>
    </row>
    <row r="327" spans="12:12" ht="15.75" customHeight="1" x14ac:dyDescent="0.3">
      <c r="L327" s="36"/>
    </row>
    <row r="328" spans="12:12" ht="15.75" customHeight="1" x14ac:dyDescent="0.3">
      <c r="L328" s="36"/>
    </row>
    <row r="329" spans="12:12" ht="15.75" customHeight="1" x14ac:dyDescent="0.3">
      <c r="L329" s="36"/>
    </row>
    <row r="330" spans="12:12" ht="15.75" customHeight="1" x14ac:dyDescent="0.3">
      <c r="L330" s="36"/>
    </row>
    <row r="331" spans="12:12" ht="15.75" customHeight="1" x14ac:dyDescent="0.3">
      <c r="L331" s="36"/>
    </row>
    <row r="332" spans="12:12" ht="15.75" customHeight="1" x14ac:dyDescent="0.3">
      <c r="L332" s="36"/>
    </row>
    <row r="333" spans="12:12" ht="15.75" customHeight="1" x14ac:dyDescent="0.3">
      <c r="L333" s="36"/>
    </row>
    <row r="334" spans="12:12" ht="15.75" customHeight="1" x14ac:dyDescent="0.3">
      <c r="L334" s="36"/>
    </row>
    <row r="335" spans="12:12" ht="15.75" customHeight="1" x14ac:dyDescent="0.3">
      <c r="L335" s="36"/>
    </row>
    <row r="336" spans="12:12" ht="15.75" customHeight="1" x14ac:dyDescent="0.3">
      <c r="L336" s="36"/>
    </row>
    <row r="337" spans="12:12" ht="15.75" customHeight="1" x14ac:dyDescent="0.3">
      <c r="L337" s="36"/>
    </row>
    <row r="338" spans="12:12" ht="15.75" customHeight="1" x14ac:dyDescent="0.3">
      <c r="L338" s="36"/>
    </row>
    <row r="339" spans="12:12" ht="15.75" customHeight="1" x14ac:dyDescent="0.3">
      <c r="L339" s="36"/>
    </row>
    <row r="340" spans="12:12" ht="15.75" customHeight="1" x14ac:dyDescent="0.3">
      <c r="L340" s="36"/>
    </row>
    <row r="341" spans="12:12" ht="15.75" customHeight="1" x14ac:dyDescent="0.3">
      <c r="L341" s="36"/>
    </row>
    <row r="342" spans="12:12" ht="15.75" customHeight="1" x14ac:dyDescent="0.3">
      <c r="L342" s="36"/>
    </row>
    <row r="343" spans="12:12" ht="15.75" customHeight="1" x14ac:dyDescent="0.3">
      <c r="L343" s="36"/>
    </row>
    <row r="344" spans="12:12" ht="15.75" customHeight="1" x14ac:dyDescent="0.3">
      <c r="L344" s="36"/>
    </row>
    <row r="345" spans="12:12" ht="15.75" customHeight="1" x14ac:dyDescent="0.3">
      <c r="L345" s="36"/>
    </row>
    <row r="346" spans="12:12" ht="15.75" customHeight="1" x14ac:dyDescent="0.3">
      <c r="L346" s="36"/>
    </row>
    <row r="347" spans="12:12" ht="15.75" customHeight="1" x14ac:dyDescent="0.3">
      <c r="L347" s="36"/>
    </row>
    <row r="348" spans="12:12" ht="15.75" customHeight="1" x14ac:dyDescent="0.3">
      <c r="L348" s="36"/>
    </row>
    <row r="349" spans="12:12" ht="15.75" customHeight="1" x14ac:dyDescent="0.3">
      <c r="L349" s="36"/>
    </row>
    <row r="350" spans="12:12" ht="15.75" customHeight="1" x14ac:dyDescent="0.3">
      <c r="L350" s="36"/>
    </row>
    <row r="351" spans="12:12" ht="15.75" customHeight="1" x14ac:dyDescent="0.3">
      <c r="L351" s="36"/>
    </row>
    <row r="352" spans="12:12" ht="15.75" customHeight="1" x14ac:dyDescent="0.3">
      <c r="L352" s="36"/>
    </row>
    <row r="353" spans="12:12" ht="15.75" customHeight="1" x14ac:dyDescent="0.3">
      <c r="L353" s="36"/>
    </row>
    <row r="354" spans="12:12" ht="15.75" customHeight="1" x14ac:dyDescent="0.3">
      <c r="L354" s="36"/>
    </row>
    <row r="355" spans="12:12" ht="15.75" customHeight="1" x14ac:dyDescent="0.3">
      <c r="L355" s="36"/>
    </row>
    <row r="356" spans="12:12" ht="15.75" customHeight="1" x14ac:dyDescent="0.3">
      <c r="L356" s="36"/>
    </row>
    <row r="357" spans="12:12" ht="15.75" customHeight="1" x14ac:dyDescent="0.3">
      <c r="L357" s="36"/>
    </row>
    <row r="358" spans="12:12" ht="15.75" customHeight="1" x14ac:dyDescent="0.3">
      <c r="L358" s="36"/>
    </row>
    <row r="359" spans="12:12" ht="15.75" customHeight="1" x14ac:dyDescent="0.3">
      <c r="L359" s="36"/>
    </row>
    <row r="360" spans="12:12" ht="15.75" customHeight="1" x14ac:dyDescent="0.3">
      <c r="L360" s="36"/>
    </row>
    <row r="361" spans="12:12" ht="15.75" customHeight="1" x14ac:dyDescent="0.3">
      <c r="L361" s="36"/>
    </row>
    <row r="362" spans="12:12" ht="15.75" customHeight="1" x14ac:dyDescent="0.3">
      <c r="L362" s="36"/>
    </row>
    <row r="363" spans="12:12" ht="15.75" customHeight="1" x14ac:dyDescent="0.3">
      <c r="L363" s="36"/>
    </row>
    <row r="364" spans="12:12" ht="15.75" customHeight="1" x14ac:dyDescent="0.3">
      <c r="L364" s="36"/>
    </row>
    <row r="365" spans="12:12" ht="15.75" customHeight="1" x14ac:dyDescent="0.3">
      <c r="L365" s="36"/>
    </row>
    <row r="366" spans="12:12" ht="15.75" customHeight="1" x14ac:dyDescent="0.3">
      <c r="L366" s="36"/>
    </row>
    <row r="367" spans="12:12" ht="15.75" customHeight="1" x14ac:dyDescent="0.3">
      <c r="L367" s="36"/>
    </row>
    <row r="368" spans="12:12" ht="15.75" customHeight="1" x14ac:dyDescent="0.3">
      <c r="L368" s="36"/>
    </row>
    <row r="369" spans="12:12" ht="15.75" customHeight="1" x14ac:dyDescent="0.3">
      <c r="L369" s="36"/>
    </row>
    <row r="370" spans="12:12" ht="15.75" customHeight="1" x14ac:dyDescent="0.3">
      <c r="L370" s="36"/>
    </row>
    <row r="371" spans="12:12" ht="15.75" customHeight="1" x14ac:dyDescent="0.3">
      <c r="L371" s="36"/>
    </row>
    <row r="372" spans="12:12" ht="15.75" customHeight="1" x14ac:dyDescent="0.3">
      <c r="L372" s="36"/>
    </row>
    <row r="373" spans="12:12" ht="15.75" customHeight="1" x14ac:dyDescent="0.3">
      <c r="L373" s="36"/>
    </row>
    <row r="374" spans="12:12" ht="15.75" customHeight="1" x14ac:dyDescent="0.3">
      <c r="L374" s="36"/>
    </row>
    <row r="375" spans="12:12" ht="15.75" customHeight="1" x14ac:dyDescent="0.3">
      <c r="L375" s="36"/>
    </row>
    <row r="376" spans="12:12" ht="15.75" customHeight="1" x14ac:dyDescent="0.3">
      <c r="L376" s="36"/>
    </row>
    <row r="377" spans="12:12" ht="15.75" customHeight="1" x14ac:dyDescent="0.3">
      <c r="L377" s="36"/>
    </row>
    <row r="378" spans="12:12" ht="15.75" customHeight="1" x14ac:dyDescent="0.3">
      <c r="L378" s="36"/>
    </row>
    <row r="379" spans="12:12" ht="15.75" customHeight="1" x14ac:dyDescent="0.3">
      <c r="L379" s="36"/>
    </row>
    <row r="380" spans="12:12" ht="15.75" customHeight="1" x14ac:dyDescent="0.3">
      <c r="L380" s="36"/>
    </row>
    <row r="381" spans="12:12" ht="15.75" customHeight="1" x14ac:dyDescent="0.3">
      <c r="L381" s="36"/>
    </row>
    <row r="382" spans="12:12" ht="15.75" customHeight="1" x14ac:dyDescent="0.3">
      <c r="L382" s="36"/>
    </row>
    <row r="383" spans="12:12" ht="15.75" customHeight="1" x14ac:dyDescent="0.3">
      <c r="L383" s="36"/>
    </row>
    <row r="384" spans="12:12" ht="15.75" customHeight="1" x14ac:dyDescent="0.3">
      <c r="L384" s="36"/>
    </row>
    <row r="385" spans="12:12" ht="15.75" customHeight="1" x14ac:dyDescent="0.3">
      <c r="L385" s="36"/>
    </row>
    <row r="386" spans="12:12" ht="15.75" customHeight="1" x14ac:dyDescent="0.3">
      <c r="L386" s="36"/>
    </row>
    <row r="387" spans="12:12" ht="15.75" customHeight="1" x14ac:dyDescent="0.3">
      <c r="L387" s="36"/>
    </row>
    <row r="388" spans="12:12" ht="15.75" customHeight="1" x14ac:dyDescent="0.3">
      <c r="L388" s="36"/>
    </row>
    <row r="389" spans="12:12" ht="15.75" customHeight="1" x14ac:dyDescent="0.3">
      <c r="L389" s="36"/>
    </row>
    <row r="390" spans="12:12" ht="15.75" customHeight="1" x14ac:dyDescent="0.3">
      <c r="L390" s="36"/>
    </row>
    <row r="391" spans="12:12" ht="15.75" customHeight="1" x14ac:dyDescent="0.3">
      <c r="L391" s="36"/>
    </row>
    <row r="392" spans="12:12" ht="15.75" customHeight="1" x14ac:dyDescent="0.3">
      <c r="L392" s="36"/>
    </row>
    <row r="393" spans="12:12" ht="15.75" customHeight="1" x14ac:dyDescent="0.3">
      <c r="L393" s="36"/>
    </row>
    <row r="394" spans="12:12" ht="15.75" customHeight="1" x14ac:dyDescent="0.3">
      <c r="L394" s="36"/>
    </row>
    <row r="395" spans="12:12" ht="15.75" customHeight="1" x14ac:dyDescent="0.3">
      <c r="L395" s="36"/>
    </row>
    <row r="396" spans="12:12" ht="15.75" customHeight="1" x14ac:dyDescent="0.3">
      <c r="L396" s="36"/>
    </row>
    <row r="397" spans="12:12" ht="15.75" customHeight="1" x14ac:dyDescent="0.3">
      <c r="L397" s="36"/>
    </row>
    <row r="398" spans="12:12" ht="15.75" customHeight="1" x14ac:dyDescent="0.3">
      <c r="L398" s="36"/>
    </row>
    <row r="399" spans="12:12" ht="15.75" customHeight="1" x14ac:dyDescent="0.3">
      <c r="L399" s="36"/>
    </row>
    <row r="400" spans="12:12" ht="15.75" customHeight="1" x14ac:dyDescent="0.3">
      <c r="L400" s="36"/>
    </row>
    <row r="401" spans="12:12" ht="15.75" customHeight="1" x14ac:dyDescent="0.3">
      <c r="L401" s="36"/>
    </row>
    <row r="402" spans="12:12" ht="15.75" customHeight="1" x14ac:dyDescent="0.3">
      <c r="L402" s="36"/>
    </row>
    <row r="403" spans="12:12" ht="15.75" customHeight="1" x14ac:dyDescent="0.3">
      <c r="L403" s="36"/>
    </row>
    <row r="404" spans="12:12" ht="15.75" customHeight="1" x14ac:dyDescent="0.3">
      <c r="L404" s="36"/>
    </row>
    <row r="405" spans="12:12" ht="15.75" customHeight="1" x14ac:dyDescent="0.3">
      <c r="L405" s="36"/>
    </row>
    <row r="406" spans="12:12" ht="15.75" customHeight="1" x14ac:dyDescent="0.3">
      <c r="L406" s="36"/>
    </row>
    <row r="407" spans="12:12" ht="15.75" customHeight="1" x14ac:dyDescent="0.3">
      <c r="L407" s="36"/>
    </row>
    <row r="408" spans="12:12" ht="15.75" customHeight="1" x14ac:dyDescent="0.3">
      <c r="L408" s="36"/>
    </row>
    <row r="409" spans="12:12" ht="15.75" customHeight="1" x14ac:dyDescent="0.3">
      <c r="L409" s="36"/>
    </row>
    <row r="410" spans="12:12" ht="15.75" customHeight="1" x14ac:dyDescent="0.3">
      <c r="L410" s="36"/>
    </row>
    <row r="411" spans="12:12" ht="15.75" customHeight="1" x14ac:dyDescent="0.3">
      <c r="L411" s="36"/>
    </row>
    <row r="412" spans="12:12" ht="15.75" customHeight="1" x14ac:dyDescent="0.3">
      <c r="L412" s="36"/>
    </row>
    <row r="413" spans="12:12" ht="15.75" customHeight="1" x14ac:dyDescent="0.3">
      <c r="L413" s="36"/>
    </row>
    <row r="414" spans="12:12" ht="15.75" customHeight="1" x14ac:dyDescent="0.3">
      <c r="L414" s="36"/>
    </row>
    <row r="415" spans="12:12" ht="15.75" customHeight="1" x14ac:dyDescent="0.3">
      <c r="L415" s="36"/>
    </row>
    <row r="416" spans="12:12" ht="15.75" customHeight="1" x14ac:dyDescent="0.3">
      <c r="L416" s="36"/>
    </row>
    <row r="417" spans="12:12" ht="15.75" customHeight="1" x14ac:dyDescent="0.3">
      <c r="L417" s="36"/>
    </row>
    <row r="418" spans="12:12" ht="15.75" customHeight="1" x14ac:dyDescent="0.3">
      <c r="L418" s="36"/>
    </row>
    <row r="419" spans="12:12" ht="15.75" customHeight="1" x14ac:dyDescent="0.3">
      <c r="L419" s="36"/>
    </row>
    <row r="420" spans="12:12" ht="15.75" customHeight="1" x14ac:dyDescent="0.3">
      <c r="L420" s="36"/>
    </row>
    <row r="421" spans="12:12" ht="15.75" customHeight="1" x14ac:dyDescent="0.3">
      <c r="L421" s="36"/>
    </row>
    <row r="422" spans="12:12" ht="15.75" customHeight="1" x14ac:dyDescent="0.3">
      <c r="L422" s="36"/>
    </row>
    <row r="423" spans="12:12" ht="15.75" customHeight="1" x14ac:dyDescent="0.3">
      <c r="L423" s="36"/>
    </row>
    <row r="424" spans="12:12" ht="15.75" customHeight="1" x14ac:dyDescent="0.3">
      <c r="L424" s="36"/>
    </row>
    <row r="425" spans="12:12" ht="15.75" customHeight="1" x14ac:dyDescent="0.3">
      <c r="L425" s="36"/>
    </row>
    <row r="426" spans="12:12" ht="15.75" customHeight="1" x14ac:dyDescent="0.3">
      <c r="L426" s="36"/>
    </row>
    <row r="427" spans="12:12" ht="15.75" customHeight="1" x14ac:dyDescent="0.3">
      <c r="L427" s="36"/>
    </row>
    <row r="428" spans="12:12" ht="15.75" customHeight="1" x14ac:dyDescent="0.3">
      <c r="L428" s="36"/>
    </row>
    <row r="429" spans="12:12" ht="15.75" customHeight="1" x14ac:dyDescent="0.3">
      <c r="L429" s="36"/>
    </row>
    <row r="430" spans="12:12" ht="15.75" customHeight="1" x14ac:dyDescent="0.3">
      <c r="L430" s="36"/>
    </row>
    <row r="431" spans="12:12" ht="15.75" customHeight="1" x14ac:dyDescent="0.3">
      <c r="L431" s="36"/>
    </row>
    <row r="432" spans="12:12" ht="15.75" customHeight="1" x14ac:dyDescent="0.3">
      <c r="L432" s="36"/>
    </row>
    <row r="433" spans="12:12" ht="15.75" customHeight="1" x14ac:dyDescent="0.3">
      <c r="L433" s="36"/>
    </row>
    <row r="434" spans="12:12" ht="15.75" customHeight="1" x14ac:dyDescent="0.3">
      <c r="L434" s="36"/>
    </row>
    <row r="435" spans="12:12" ht="15.75" customHeight="1" x14ac:dyDescent="0.3">
      <c r="L435" s="36"/>
    </row>
    <row r="436" spans="12:12" ht="15.75" customHeight="1" x14ac:dyDescent="0.3">
      <c r="L436" s="36"/>
    </row>
    <row r="437" spans="12:12" ht="15.75" customHeight="1" x14ac:dyDescent="0.3">
      <c r="L437" s="36"/>
    </row>
    <row r="438" spans="12:12" ht="15.75" customHeight="1" x14ac:dyDescent="0.3">
      <c r="L438" s="36"/>
    </row>
    <row r="439" spans="12:12" ht="15.75" customHeight="1" x14ac:dyDescent="0.3">
      <c r="L439" s="36"/>
    </row>
    <row r="440" spans="12:12" ht="15.75" customHeight="1" x14ac:dyDescent="0.3">
      <c r="L440" s="36"/>
    </row>
    <row r="441" spans="12:12" ht="15.75" customHeight="1" x14ac:dyDescent="0.3">
      <c r="L441" s="36"/>
    </row>
    <row r="442" spans="12:12" ht="15.75" customHeight="1" x14ac:dyDescent="0.3">
      <c r="L442" s="36"/>
    </row>
    <row r="443" spans="12:12" ht="15.75" customHeight="1" x14ac:dyDescent="0.3">
      <c r="L443" s="36"/>
    </row>
    <row r="444" spans="12:12" ht="15.75" customHeight="1" x14ac:dyDescent="0.3">
      <c r="L444" s="36"/>
    </row>
    <row r="445" spans="12:12" ht="15.75" customHeight="1" x14ac:dyDescent="0.3">
      <c r="L445" s="36"/>
    </row>
    <row r="446" spans="12:12" ht="15.75" customHeight="1" x14ac:dyDescent="0.3">
      <c r="L446" s="36"/>
    </row>
    <row r="447" spans="12:12" ht="15.75" customHeight="1" x14ac:dyDescent="0.3">
      <c r="L447" s="36"/>
    </row>
    <row r="448" spans="12:12" ht="15.75" customHeight="1" x14ac:dyDescent="0.3">
      <c r="L448" s="36"/>
    </row>
    <row r="449" spans="12:12" ht="15.75" customHeight="1" x14ac:dyDescent="0.3">
      <c r="L449" s="36"/>
    </row>
    <row r="450" spans="12:12" ht="15.75" customHeight="1" x14ac:dyDescent="0.3">
      <c r="L450" s="36"/>
    </row>
    <row r="451" spans="12:12" ht="15.75" customHeight="1" x14ac:dyDescent="0.3">
      <c r="L451" s="36"/>
    </row>
    <row r="452" spans="12:12" ht="15.75" customHeight="1" x14ac:dyDescent="0.3">
      <c r="L452" s="36"/>
    </row>
    <row r="453" spans="12:12" ht="15.75" customHeight="1" x14ac:dyDescent="0.3">
      <c r="L453" s="36"/>
    </row>
    <row r="454" spans="12:12" ht="15.75" customHeight="1" x14ac:dyDescent="0.3">
      <c r="L454" s="36"/>
    </row>
    <row r="455" spans="12:12" ht="15.75" customHeight="1" x14ac:dyDescent="0.3">
      <c r="L455" s="36"/>
    </row>
    <row r="456" spans="12:12" ht="15.75" customHeight="1" x14ac:dyDescent="0.3">
      <c r="L456" s="36"/>
    </row>
    <row r="457" spans="12:12" ht="15.75" customHeight="1" x14ac:dyDescent="0.3">
      <c r="L457" s="36"/>
    </row>
    <row r="458" spans="12:12" ht="15.75" customHeight="1" x14ac:dyDescent="0.3">
      <c r="L458" s="36"/>
    </row>
    <row r="459" spans="12:12" ht="15.75" customHeight="1" x14ac:dyDescent="0.3">
      <c r="L459" s="36"/>
    </row>
    <row r="460" spans="12:12" ht="15.75" customHeight="1" x14ac:dyDescent="0.3">
      <c r="L460" s="36"/>
    </row>
    <row r="461" spans="12:12" ht="15.75" customHeight="1" x14ac:dyDescent="0.3">
      <c r="L461" s="36"/>
    </row>
    <row r="462" spans="12:12" ht="15.75" customHeight="1" x14ac:dyDescent="0.3">
      <c r="L462" s="36"/>
    </row>
    <row r="463" spans="12:12" ht="15.75" customHeight="1" x14ac:dyDescent="0.3">
      <c r="L463" s="36"/>
    </row>
    <row r="464" spans="12:12" ht="15.75" customHeight="1" x14ac:dyDescent="0.3">
      <c r="L464" s="36"/>
    </row>
    <row r="465" spans="12:12" ht="15.75" customHeight="1" x14ac:dyDescent="0.3">
      <c r="L465" s="36"/>
    </row>
    <row r="466" spans="12:12" ht="15.75" customHeight="1" x14ac:dyDescent="0.3">
      <c r="L466" s="36"/>
    </row>
    <row r="467" spans="12:12" ht="15.75" customHeight="1" x14ac:dyDescent="0.3">
      <c r="L467" s="36"/>
    </row>
    <row r="468" spans="12:12" ht="15.75" customHeight="1" x14ac:dyDescent="0.3">
      <c r="L468" s="36"/>
    </row>
    <row r="469" spans="12:12" ht="15.75" customHeight="1" x14ac:dyDescent="0.3">
      <c r="L469" s="36"/>
    </row>
    <row r="470" spans="12:12" ht="15.75" customHeight="1" x14ac:dyDescent="0.3">
      <c r="L470" s="36"/>
    </row>
    <row r="471" spans="12:12" ht="15.75" customHeight="1" x14ac:dyDescent="0.3">
      <c r="L471" s="36"/>
    </row>
    <row r="472" spans="12:12" ht="15.75" customHeight="1" x14ac:dyDescent="0.3">
      <c r="L472" s="36"/>
    </row>
    <row r="473" spans="12:12" ht="15.75" customHeight="1" x14ac:dyDescent="0.3">
      <c r="L473" s="36"/>
    </row>
    <row r="474" spans="12:12" ht="15.75" customHeight="1" x14ac:dyDescent="0.3">
      <c r="L474" s="36"/>
    </row>
    <row r="475" spans="12:12" ht="15.75" customHeight="1" x14ac:dyDescent="0.3">
      <c r="L475" s="36"/>
    </row>
    <row r="476" spans="12:12" ht="15.75" customHeight="1" x14ac:dyDescent="0.3">
      <c r="L476" s="36"/>
    </row>
    <row r="477" spans="12:12" ht="15.75" customHeight="1" x14ac:dyDescent="0.3">
      <c r="L477" s="36"/>
    </row>
    <row r="478" spans="12:12" ht="15.75" customHeight="1" x14ac:dyDescent="0.3">
      <c r="L478" s="36"/>
    </row>
    <row r="479" spans="12:12" ht="15.75" customHeight="1" x14ac:dyDescent="0.3">
      <c r="L479" s="36"/>
    </row>
    <row r="480" spans="12:12" ht="15.75" customHeight="1" x14ac:dyDescent="0.3">
      <c r="L480" s="36"/>
    </row>
    <row r="481" spans="12:12" ht="15.75" customHeight="1" x14ac:dyDescent="0.3">
      <c r="L481" s="36"/>
    </row>
    <row r="482" spans="12:12" ht="15.75" customHeight="1" x14ac:dyDescent="0.3">
      <c r="L482" s="36"/>
    </row>
    <row r="483" spans="12:12" ht="15.75" customHeight="1" x14ac:dyDescent="0.3">
      <c r="L483" s="36"/>
    </row>
    <row r="484" spans="12:12" ht="15.75" customHeight="1" x14ac:dyDescent="0.3">
      <c r="L484" s="36"/>
    </row>
    <row r="485" spans="12:12" ht="15.75" customHeight="1" x14ac:dyDescent="0.3">
      <c r="L485" s="36"/>
    </row>
    <row r="486" spans="12:12" ht="15.75" customHeight="1" x14ac:dyDescent="0.3">
      <c r="L486" s="36"/>
    </row>
    <row r="487" spans="12:12" ht="15.75" customHeight="1" x14ac:dyDescent="0.3">
      <c r="L487" s="36"/>
    </row>
    <row r="488" spans="12:12" ht="15.75" customHeight="1" x14ac:dyDescent="0.3">
      <c r="L488" s="36"/>
    </row>
    <row r="489" spans="12:12" ht="15.75" customHeight="1" x14ac:dyDescent="0.3">
      <c r="L489" s="36"/>
    </row>
    <row r="490" spans="12:12" ht="15.75" customHeight="1" x14ac:dyDescent="0.3">
      <c r="L490" s="36"/>
    </row>
    <row r="491" spans="12:12" ht="15.75" customHeight="1" x14ac:dyDescent="0.3">
      <c r="L491" s="36"/>
    </row>
    <row r="492" spans="12:12" ht="15.75" customHeight="1" x14ac:dyDescent="0.3">
      <c r="L492" s="36"/>
    </row>
    <row r="493" spans="12:12" ht="15.75" customHeight="1" x14ac:dyDescent="0.3">
      <c r="L493" s="36"/>
    </row>
    <row r="494" spans="12:12" ht="15.75" customHeight="1" x14ac:dyDescent="0.3">
      <c r="L494" s="36"/>
    </row>
    <row r="495" spans="12:12" ht="15.75" customHeight="1" x14ac:dyDescent="0.3">
      <c r="L495" s="36"/>
    </row>
    <row r="496" spans="12:12" ht="15.75" customHeight="1" x14ac:dyDescent="0.3">
      <c r="L496" s="36"/>
    </row>
    <row r="497" spans="12:12" ht="15.75" customHeight="1" x14ac:dyDescent="0.3">
      <c r="L497" s="36"/>
    </row>
    <row r="498" spans="12:12" ht="15.75" customHeight="1" x14ac:dyDescent="0.3">
      <c r="L498" s="36"/>
    </row>
    <row r="499" spans="12:12" ht="15.75" customHeight="1" x14ac:dyDescent="0.3">
      <c r="L499" s="36"/>
    </row>
    <row r="500" spans="12:12" ht="15.75" customHeight="1" x14ac:dyDescent="0.3">
      <c r="L500" s="36"/>
    </row>
    <row r="501" spans="12:12" ht="15.75" customHeight="1" x14ac:dyDescent="0.3">
      <c r="L501" s="36"/>
    </row>
    <row r="502" spans="12:12" ht="15.75" customHeight="1" x14ac:dyDescent="0.3">
      <c r="L502" s="36"/>
    </row>
    <row r="503" spans="12:12" ht="15.75" customHeight="1" x14ac:dyDescent="0.3">
      <c r="L503" s="36"/>
    </row>
    <row r="504" spans="12:12" ht="15.75" customHeight="1" x14ac:dyDescent="0.3">
      <c r="L504" s="36"/>
    </row>
    <row r="505" spans="12:12" ht="15.75" customHeight="1" x14ac:dyDescent="0.3">
      <c r="L505" s="36"/>
    </row>
    <row r="506" spans="12:12" ht="15.75" customHeight="1" x14ac:dyDescent="0.3">
      <c r="L506" s="36"/>
    </row>
    <row r="507" spans="12:12" ht="15.75" customHeight="1" x14ac:dyDescent="0.3">
      <c r="L507" s="36"/>
    </row>
    <row r="508" spans="12:12" ht="15.75" customHeight="1" x14ac:dyDescent="0.3">
      <c r="L508" s="36"/>
    </row>
    <row r="509" spans="12:12" ht="15.75" customHeight="1" x14ac:dyDescent="0.3">
      <c r="L509" s="36"/>
    </row>
    <row r="510" spans="12:12" ht="15.75" customHeight="1" x14ac:dyDescent="0.3">
      <c r="L510" s="36"/>
    </row>
    <row r="511" spans="12:12" ht="15.75" customHeight="1" x14ac:dyDescent="0.3">
      <c r="L511" s="36"/>
    </row>
    <row r="512" spans="12:12" ht="15.75" customHeight="1" x14ac:dyDescent="0.3">
      <c r="L512" s="36"/>
    </row>
    <row r="513" spans="12:12" ht="15.75" customHeight="1" x14ac:dyDescent="0.3">
      <c r="L513" s="36"/>
    </row>
    <row r="514" spans="12:12" ht="15.75" customHeight="1" x14ac:dyDescent="0.3">
      <c r="L514" s="36"/>
    </row>
    <row r="515" spans="12:12" ht="15.75" customHeight="1" x14ac:dyDescent="0.3">
      <c r="L515" s="36"/>
    </row>
    <row r="516" spans="12:12" ht="15.75" customHeight="1" x14ac:dyDescent="0.3">
      <c r="L516" s="36"/>
    </row>
    <row r="517" spans="12:12" ht="15.75" customHeight="1" x14ac:dyDescent="0.3">
      <c r="L517" s="36"/>
    </row>
    <row r="518" spans="12:12" ht="15.75" customHeight="1" x14ac:dyDescent="0.3">
      <c r="L518" s="36"/>
    </row>
    <row r="519" spans="12:12" ht="15.75" customHeight="1" x14ac:dyDescent="0.3">
      <c r="L519" s="36"/>
    </row>
    <row r="520" spans="12:12" ht="15.75" customHeight="1" x14ac:dyDescent="0.3">
      <c r="L520" s="36"/>
    </row>
    <row r="521" spans="12:12" ht="15.75" customHeight="1" x14ac:dyDescent="0.3">
      <c r="L521" s="36"/>
    </row>
    <row r="522" spans="12:12" ht="15.75" customHeight="1" x14ac:dyDescent="0.3">
      <c r="L522" s="36"/>
    </row>
    <row r="523" spans="12:12" ht="15.75" customHeight="1" x14ac:dyDescent="0.3">
      <c r="L523" s="36"/>
    </row>
    <row r="524" spans="12:12" ht="15.75" customHeight="1" x14ac:dyDescent="0.3">
      <c r="L524" s="36"/>
    </row>
    <row r="525" spans="12:12" ht="15.75" customHeight="1" x14ac:dyDescent="0.3">
      <c r="L525" s="36"/>
    </row>
    <row r="526" spans="12:12" ht="15.75" customHeight="1" x14ac:dyDescent="0.3">
      <c r="L526" s="36"/>
    </row>
    <row r="527" spans="12:12" ht="15.75" customHeight="1" x14ac:dyDescent="0.3">
      <c r="L527" s="36"/>
    </row>
    <row r="528" spans="12:12" ht="15.75" customHeight="1" x14ac:dyDescent="0.3">
      <c r="L528" s="36"/>
    </row>
    <row r="529" spans="12:12" ht="15.75" customHeight="1" x14ac:dyDescent="0.3">
      <c r="L529" s="36"/>
    </row>
    <row r="530" spans="12:12" ht="15.75" customHeight="1" x14ac:dyDescent="0.3">
      <c r="L530" s="36"/>
    </row>
    <row r="531" spans="12:12" ht="15.75" customHeight="1" x14ac:dyDescent="0.3">
      <c r="L531" s="36"/>
    </row>
    <row r="532" spans="12:12" ht="15.75" customHeight="1" x14ac:dyDescent="0.3">
      <c r="L532" s="36"/>
    </row>
    <row r="533" spans="12:12" ht="15.75" customHeight="1" x14ac:dyDescent="0.3">
      <c r="L533" s="36"/>
    </row>
    <row r="534" spans="12:12" ht="15.75" customHeight="1" x14ac:dyDescent="0.3">
      <c r="L534" s="36"/>
    </row>
    <row r="535" spans="12:12" ht="15.75" customHeight="1" x14ac:dyDescent="0.3">
      <c r="L535" s="36"/>
    </row>
    <row r="536" spans="12:12" ht="15.75" customHeight="1" x14ac:dyDescent="0.3">
      <c r="L536" s="36"/>
    </row>
    <row r="537" spans="12:12" ht="15.75" customHeight="1" x14ac:dyDescent="0.3">
      <c r="L537" s="36"/>
    </row>
    <row r="538" spans="12:12" ht="15.75" customHeight="1" x14ac:dyDescent="0.3">
      <c r="L538" s="36"/>
    </row>
    <row r="539" spans="12:12" ht="15.75" customHeight="1" x14ac:dyDescent="0.3">
      <c r="L539" s="36"/>
    </row>
    <row r="540" spans="12:12" ht="15.75" customHeight="1" x14ac:dyDescent="0.3">
      <c r="L540" s="36"/>
    </row>
    <row r="541" spans="12:12" ht="15.75" customHeight="1" x14ac:dyDescent="0.3">
      <c r="L541" s="36"/>
    </row>
    <row r="542" spans="12:12" ht="15.75" customHeight="1" x14ac:dyDescent="0.3">
      <c r="L542" s="36"/>
    </row>
    <row r="543" spans="12:12" ht="15.75" customHeight="1" x14ac:dyDescent="0.3">
      <c r="L543" s="36"/>
    </row>
    <row r="544" spans="12:12" ht="15.75" customHeight="1" x14ac:dyDescent="0.3">
      <c r="L544" s="36"/>
    </row>
    <row r="545" spans="12:12" ht="15.75" customHeight="1" x14ac:dyDescent="0.3">
      <c r="L545" s="36"/>
    </row>
    <row r="546" spans="12:12" ht="15.75" customHeight="1" x14ac:dyDescent="0.3">
      <c r="L546" s="36"/>
    </row>
    <row r="547" spans="12:12" ht="15.75" customHeight="1" x14ac:dyDescent="0.3">
      <c r="L547" s="36"/>
    </row>
    <row r="548" spans="12:12" ht="15.75" customHeight="1" x14ac:dyDescent="0.3">
      <c r="L548" s="36"/>
    </row>
    <row r="549" spans="12:12" ht="15.75" customHeight="1" x14ac:dyDescent="0.3">
      <c r="L549" s="36"/>
    </row>
    <row r="550" spans="12:12" ht="15.75" customHeight="1" x14ac:dyDescent="0.3">
      <c r="L550" s="36"/>
    </row>
    <row r="551" spans="12:12" ht="15.75" customHeight="1" x14ac:dyDescent="0.3">
      <c r="L551" s="36"/>
    </row>
    <row r="552" spans="12:12" ht="15.75" customHeight="1" x14ac:dyDescent="0.3">
      <c r="L552" s="36"/>
    </row>
    <row r="553" spans="12:12" ht="15.75" customHeight="1" x14ac:dyDescent="0.3">
      <c r="L553" s="36"/>
    </row>
    <row r="554" spans="12:12" ht="15.75" customHeight="1" x14ac:dyDescent="0.3">
      <c r="L554" s="36"/>
    </row>
    <row r="555" spans="12:12" ht="15.75" customHeight="1" x14ac:dyDescent="0.3">
      <c r="L555" s="36"/>
    </row>
    <row r="556" spans="12:12" ht="15.75" customHeight="1" x14ac:dyDescent="0.3">
      <c r="L556" s="36"/>
    </row>
    <row r="557" spans="12:12" ht="15.75" customHeight="1" x14ac:dyDescent="0.3">
      <c r="L557" s="36"/>
    </row>
    <row r="558" spans="12:12" ht="15.75" customHeight="1" x14ac:dyDescent="0.3">
      <c r="L558" s="36"/>
    </row>
    <row r="559" spans="12:12" ht="15.75" customHeight="1" x14ac:dyDescent="0.3">
      <c r="L559" s="36"/>
    </row>
    <row r="560" spans="12:12" ht="15.75" customHeight="1" x14ac:dyDescent="0.3">
      <c r="L560" s="36"/>
    </row>
    <row r="561" spans="12:12" ht="15.75" customHeight="1" x14ac:dyDescent="0.3">
      <c r="L561" s="36"/>
    </row>
    <row r="562" spans="12:12" ht="15.75" customHeight="1" x14ac:dyDescent="0.3">
      <c r="L562" s="36"/>
    </row>
    <row r="563" spans="12:12" ht="15.75" customHeight="1" x14ac:dyDescent="0.3">
      <c r="L563" s="36"/>
    </row>
    <row r="564" spans="12:12" ht="15.75" customHeight="1" x14ac:dyDescent="0.3">
      <c r="L564" s="36"/>
    </row>
    <row r="565" spans="12:12" ht="15.75" customHeight="1" x14ac:dyDescent="0.3">
      <c r="L565" s="36"/>
    </row>
    <row r="566" spans="12:12" ht="15.75" customHeight="1" x14ac:dyDescent="0.3">
      <c r="L566" s="36"/>
    </row>
    <row r="567" spans="12:12" ht="15.75" customHeight="1" x14ac:dyDescent="0.3">
      <c r="L567" s="36"/>
    </row>
    <row r="568" spans="12:12" ht="15.75" customHeight="1" x14ac:dyDescent="0.3">
      <c r="L568" s="36"/>
    </row>
    <row r="569" spans="12:12" ht="15.75" customHeight="1" x14ac:dyDescent="0.3">
      <c r="L569" s="36"/>
    </row>
    <row r="570" spans="12:12" ht="15.75" customHeight="1" x14ac:dyDescent="0.3">
      <c r="L570" s="36"/>
    </row>
    <row r="571" spans="12:12" ht="15.75" customHeight="1" x14ac:dyDescent="0.3">
      <c r="L571" s="36"/>
    </row>
    <row r="572" spans="12:12" ht="15.75" customHeight="1" x14ac:dyDescent="0.3">
      <c r="L572" s="36"/>
    </row>
    <row r="573" spans="12:12" ht="15.75" customHeight="1" x14ac:dyDescent="0.3">
      <c r="L573" s="36"/>
    </row>
    <row r="574" spans="12:12" ht="15.75" customHeight="1" x14ac:dyDescent="0.3">
      <c r="L574" s="36"/>
    </row>
    <row r="575" spans="12:12" ht="15.75" customHeight="1" x14ac:dyDescent="0.3">
      <c r="L575" s="36"/>
    </row>
    <row r="576" spans="12:12" ht="15.75" customHeight="1" x14ac:dyDescent="0.3">
      <c r="L576" s="36"/>
    </row>
    <row r="577" spans="12:12" ht="15.75" customHeight="1" x14ac:dyDescent="0.3">
      <c r="L577" s="36"/>
    </row>
    <row r="578" spans="12:12" ht="15.75" customHeight="1" x14ac:dyDescent="0.3">
      <c r="L578" s="36"/>
    </row>
    <row r="579" spans="12:12" ht="15.75" customHeight="1" x14ac:dyDescent="0.3">
      <c r="L579" s="36"/>
    </row>
    <row r="580" spans="12:12" ht="15.75" customHeight="1" x14ac:dyDescent="0.3">
      <c r="L580" s="36"/>
    </row>
    <row r="581" spans="12:12" ht="15.75" customHeight="1" x14ac:dyDescent="0.3">
      <c r="L581" s="36"/>
    </row>
    <row r="582" spans="12:12" ht="15.75" customHeight="1" x14ac:dyDescent="0.3">
      <c r="L582" s="36"/>
    </row>
    <row r="583" spans="12:12" ht="15.75" customHeight="1" x14ac:dyDescent="0.3">
      <c r="L583" s="36"/>
    </row>
    <row r="584" spans="12:12" ht="15.75" customHeight="1" x14ac:dyDescent="0.3">
      <c r="L584" s="36"/>
    </row>
    <row r="585" spans="12:12" ht="15.75" customHeight="1" x14ac:dyDescent="0.3">
      <c r="L585" s="36"/>
    </row>
    <row r="586" spans="12:12" ht="15.75" customHeight="1" x14ac:dyDescent="0.3">
      <c r="L586" s="36"/>
    </row>
    <row r="587" spans="12:12" ht="15.75" customHeight="1" x14ac:dyDescent="0.3">
      <c r="L587" s="36"/>
    </row>
    <row r="588" spans="12:12" ht="15.75" customHeight="1" x14ac:dyDescent="0.3">
      <c r="L588" s="36"/>
    </row>
    <row r="589" spans="12:12" ht="15.75" customHeight="1" x14ac:dyDescent="0.3">
      <c r="L589" s="36"/>
    </row>
    <row r="590" spans="12:12" ht="15.75" customHeight="1" x14ac:dyDescent="0.3">
      <c r="L590" s="36"/>
    </row>
    <row r="591" spans="12:12" ht="15.75" customHeight="1" x14ac:dyDescent="0.3">
      <c r="L591" s="36"/>
    </row>
    <row r="592" spans="12:12" ht="15.75" customHeight="1" x14ac:dyDescent="0.3">
      <c r="L592" s="36"/>
    </row>
    <row r="593" spans="12:12" ht="15.75" customHeight="1" x14ac:dyDescent="0.3">
      <c r="L593" s="36"/>
    </row>
    <row r="594" spans="12:12" ht="15.75" customHeight="1" x14ac:dyDescent="0.3">
      <c r="L594" s="36"/>
    </row>
    <row r="595" spans="12:12" ht="15.75" customHeight="1" x14ac:dyDescent="0.3">
      <c r="L595" s="36"/>
    </row>
    <row r="596" spans="12:12" ht="15.75" customHeight="1" x14ac:dyDescent="0.3">
      <c r="L596" s="36"/>
    </row>
    <row r="597" spans="12:12" ht="15.75" customHeight="1" x14ac:dyDescent="0.3">
      <c r="L597" s="36"/>
    </row>
    <row r="598" spans="12:12" ht="15.75" customHeight="1" x14ac:dyDescent="0.3">
      <c r="L598" s="36"/>
    </row>
    <row r="599" spans="12:12" ht="15.75" customHeight="1" x14ac:dyDescent="0.3">
      <c r="L599" s="36"/>
    </row>
    <row r="600" spans="12:12" ht="15.75" customHeight="1" x14ac:dyDescent="0.3">
      <c r="L600" s="36"/>
    </row>
    <row r="601" spans="12:12" ht="15.75" customHeight="1" x14ac:dyDescent="0.3">
      <c r="L601" s="36"/>
    </row>
    <row r="602" spans="12:12" ht="15.75" customHeight="1" x14ac:dyDescent="0.3">
      <c r="L602" s="36"/>
    </row>
    <row r="603" spans="12:12" ht="15.75" customHeight="1" x14ac:dyDescent="0.3">
      <c r="L603" s="36"/>
    </row>
    <row r="604" spans="12:12" ht="15.75" customHeight="1" x14ac:dyDescent="0.3">
      <c r="L604" s="36"/>
    </row>
    <row r="605" spans="12:12" ht="15.75" customHeight="1" x14ac:dyDescent="0.3">
      <c r="L605" s="36"/>
    </row>
    <row r="606" spans="12:12" ht="15.75" customHeight="1" x14ac:dyDescent="0.3">
      <c r="L606" s="36"/>
    </row>
    <row r="607" spans="12:12" ht="15.75" customHeight="1" x14ac:dyDescent="0.3">
      <c r="L607" s="36"/>
    </row>
    <row r="608" spans="12:12" ht="15.75" customHeight="1" x14ac:dyDescent="0.3">
      <c r="L608" s="36"/>
    </row>
    <row r="609" spans="12:12" ht="15.75" customHeight="1" x14ac:dyDescent="0.3">
      <c r="L609" s="36"/>
    </row>
    <row r="610" spans="12:12" ht="15.75" customHeight="1" x14ac:dyDescent="0.3">
      <c r="L610" s="36"/>
    </row>
    <row r="611" spans="12:12" ht="15.75" customHeight="1" x14ac:dyDescent="0.3">
      <c r="L611" s="36"/>
    </row>
    <row r="612" spans="12:12" ht="15.75" customHeight="1" x14ac:dyDescent="0.3">
      <c r="L612" s="36"/>
    </row>
    <row r="613" spans="12:12" ht="15.75" customHeight="1" x14ac:dyDescent="0.3">
      <c r="L613" s="36"/>
    </row>
    <row r="614" spans="12:12" ht="15.75" customHeight="1" x14ac:dyDescent="0.3">
      <c r="L614" s="36"/>
    </row>
    <row r="615" spans="12:12" ht="15.75" customHeight="1" x14ac:dyDescent="0.3">
      <c r="L615" s="36"/>
    </row>
    <row r="616" spans="12:12" ht="15.75" customHeight="1" x14ac:dyDescent="0.3">
      <c r="L616" s="36"/>
    </row>
    <row r="617" spans="12:12" ht="15.75" customHeight="1" x14ac:dyDescent="0.3">
      <c r="L617" s="36"/>
    </row>
    <row r="618" spans="12:12" ht="15.75" customHeight="1" x14ac:dyDescent="0.3">
      <c r="L618" s="36"/>
    </row>
    <row r="619" spans="12:12" ht="15.75" customHeight="1" x14ac:dyDescent="0.3">
      <c r="L619" s="36"/>
    </row>
    <row r="620" spans="12:12" ht="15.75" customHeight="1" x14ac:dyDescent="0.3">
      <c r="L620" s="36"/>
    </row>
    <row r="621" spans="12:12" ht="15.75" customHeight="1" x14ac:dyDescent="0.3">
      <c r="L621" s="36"/>
    </row>
    <row r="622" spans="12:12" ht="15.75" customHeight="1" x14ac:dyDescent="0.3">
      <c r="L622" s="36"/>
    </row>
    <row r="623" spans="12:12" ht="15.75" customHeight="1" x14ac:dyDescent="0.3">
      <c r="L623" s="36"/>
    </row>
    <row r="624" spans="12:12" ht="15.75" customHeight="1" x14ac:dyDescent="0.3">
      <c r="L624" s="36"/>
    </row>
    <row r="625" spans="12:12" ht="15.75" customHeight="1" x14ac:dyDescent="0.3">
      <c r="L625" s="36"/>
    </row>
    <row r="626" spans="12:12" ht="15.75" customHeight="1" x14ac:dyDescent="0.3">
      <c r="L626" s="36"/>
    </row>
    <row r="627" spans="12:12" ht="15.75" customHeight="1" x14ac:dyDescent="0.3">
      <c r="L627" s="36"/>
    </row>
    <row r="628" spans="12:12" ht="15.75" customHeight="1" x14ac:dyDescent="0.3">
      <c r="L628" s="36"/>
    </row>
    <row r="629" spans="12:12" ht="15.75" customHeight="1" x14ac:dyDescent="0.3">
      <c r="L629" s="36"/>
    </row>
    <row r="630" spans="12:12" ht="15.75" customHeight="1" x14ac:dyDescent="0.3">
      <c r="L630" s="36"/>
    </row>
    <row r="631" spans="12:12" ht="15.75" customHeight="1" x14ac:dyDescent="0.3">
      <c r="L631" s="36"/>
    </row>
    <row r="632" spans="12:12" ht="15.75" customHeight="1" x14ac:dyDescent="0.3">
      <c r="L632" s="36"/>
    </row>
    <row r="633" spans="12:12" ht="15.75" customHeight="1" x14ac:dyDescent="0.3">
      <c r="L633" s="36"/>
    </row>
    <row r="634" spans="12:12" ht="15.75" customHeight="1" x14ac:dyDescent="0.3">
      <c r="L634" s="36"/>
    </row>
    <row r="635" spans="12:12" ht="15.75" customHeight="1" x14ac:dyDescent="0.3">
      <c r="L635" s="36"/>
    </row>
    <row r="636" spans="12:12" ht="15.75" customHeight="1" x14ac:dyDescent="0.3">
      <c r="L636" s="36"/>
    </row>
    <row r="637" spans="12:12" ht="15.75" customHeight="1" x14ac:dyDescent="0.3">
      <c r="L637" s="36"/>
    </row>
    <row r="638" spans="12:12" ht="15.75" customHeight="1" x14ac:dyDescent="0.3">
      <c r="L638" s="36"/>
    </row>
    <row r="639" spans="12:12" ht="15.75" customHeight="1" x14ac:dyDescent="0.3">
      <c r="L639" s="36"/>
    </row>
    <row r="640" spans="12:12" ht="15.75" customHeight="1" x14ac:dyDescent="0.3">
      <c r="L640" s="36"/>
    </row>
    <row r="641" spans="12:12" ht="15.75" customHeight="1" x14ac:dyDescent="0.3">
      <c r="L641" s="36"/>
    </row>
    <row r="642" spans="12:12" ht="15.75" customHeight="1" x14ac:dyDescent="0.3">
      <c r="L642" s="36"/>
    </row>
    <row r="643" spans="12:12" ht="15.75" customHeight="1" x14ac:dyDescent="0.3">
      <c r="L643" s="36"/>
    </row>
    <row r="644" spans="12:12" ht="15.75" customHeight="1" x14ac:dyDescent="0.3">
      <c r="L644" s="36"/>
    </row>
    <row r="645" spans="12:12" ht="15.75" customHeight="1" x14ac:dyDescent="0.3">
      <c r="L645" s="36"/>
    </row>
    <row r="646" spans="12:12" ht="15.75" customHeight="1" x14ac:dyDescent="0.3">
      <c r="L646" s="36"/>
    </row>
    <row r="647" spans="12:12" ht="15.75" customHeight="1" x14ac:dyDescent="0.3">
      <c r="L647" s="36"/>
    </row>
    <row r="648" spans="12:12" ht="15.75" customHeight="1" x14ac:dyDescent="0.3">
      <c r="L648" s="36"/>
    </row>
    <row r="649" spans="12:12" ht="15.75" customHeight="1" x14ac:dyDescent="0.3">
      <c r="L649" s="36"/>
    </row>
    <row r="650" spans="12:12" ht="15.75" customHeight="1" x14ac:dyDescent="0.3">
      <c r="L650" s="36"/>
    </row>
    <row r="651" spans="12:12" ht="15.75" customHeight="1" x14ac:dyDescent="0.3">
      <c r="L651" s="36"/>
    </row>
    <row r="652" spans="12:12" ht="15.75" customHeight="1" x14ac:dyDescent="0.3">
      <c r="L652" s="36"/>
    </row>
    <row r="653" spans="12:12" ht="15.75" customHeight="1" x14ac:dyDescent="0.3">
      <c r="L653" s="36"/>
    </row>
    <row r="654" spans="12:12" ht="15.75" customHeight="1" x14ac:dyDescent="0.3">
      <c r="L654" s="36"/>
    </row>
    <row r="655" spans="12:12" ht="15.75" customHeight="1" x14ac:dyDescent="0.3">
      <c r="L655" s="36"/>
    </row>
    <row r="656" spans="12:12" ht="15.75" customHeight="1" x14ac:dyDescent="0.3">
      <c r="L656" s="36"/>
    </row>
    <row r="657" spans="12:12" ht="15.75" customHeight="1" x14ac:dyDescent="0.3">
      <c r="L657" s="36"/>
    </row>
    <row r="658" spans="12:12" ht="15.75" customHeight="1" x14ac:dyDescent="0.3">
      <c r="L658" s="36"/>
    </row>
    <row r="659" spans="12:12" ht="15.75" customHeight="1" x14ac:dyDescent="0.3">
      <c r="L659" s="36"/>
    </row>
    <row r="660" spans="12:12" ht="15.75" customHeight="1" x14ac:dyDescent="0.3">
      <c r="L660" s="36"/>
    </row>
    <row r="661" spans="12:12" ht="15.75" customHeight="1" x14ac:dyDescent="0.3">
      <c r="L661" s="36"/>
    </row>
    <row r="662" spans="12:12" ht="15.75" customHeight="1" x14ac:dyDescent="0.3">
      <c r="L662" s="36"/>
    </row>
    <row r="663" spans="12:12" ht="15.75" customHeight="1" x14ac:dyDescent="0.3">
      <c r="L663" s="36"/>
    </row>
    <row r="664" spans="12:12" ht="15.75" customHeight="1" x14ac:dyDescent="0.3">
      <c r="L664" s="36"/>
    </row>
    <row r="665" spans="12:12" ht="15.75" customHeight="1" x14ac:dyDescent="0.3">
      <c r="L665" s="36"/>
    </row>
    <row r="666" spans="12:12" ht="15.75" customHeight="1" x14ac:dyDescent="0.3">
      <c r="L666" s="36"/>
    </row>
    <row r="667" spans="12:12" ht="15.75" customHeight="1" x14ac:dyDescent="0.3">
      <c r="L667" s="36"/>
    </row>
    <row r="668" spans="12:12" ht="15.75" customHeight="1" x14ac:dyDescent="0.3">
      <c r="L668" s="36"/>
    </row>
    <row r="669" spans="12:12" ht="15.75" customHeight="1" x14ac:dyDescent="0.3">
      <c r="L669" s="36"/>
    </row>
    <row r="670" spans="12:12" ht="15.75" customHeight="1" x14ac:dyDescent="0.3">
      <c r="L670" s="36"/>
    </row>
    <row r="671" spans="12:12" ht="15.75" customHeight="1" x14ac:dyDescent="0.3">
      <c r="L671" s="36"/>
    </row>
    <row r="672" spans="12:12" ht="15.75" customHeight="1" x14ac:dyDescent="0.3">
      <c r="L672" s="36"/>
    </row>
    <row r="673" spans="12:12" ht="15.75" customHeight="1" x14ac:dyDescent="0.3">
      <c r="L673" s="36"/>
    </row>
    <row r="674" spans="12:12" ht="15.75" customHeight="1" x14ac:dyDescent="0.3">
      <c r="L674" s="36"/>
    </row>
    <row r="675" spans="12:12" ht="15.75" customHeight="1" x14ac:dyDescent="0.3">
      <c r="L675" s="36"/>
    </row>
    <row r="676" spans="12:12" ht="15.75" customHeight="1" x14ac:dyDescent="0.3">
      <c r="L676" s="36"/>
    </row>
    <row r="677" spans="12:12" ht="15.75" customHeight="1" x14ac:dyDescent="0.3">
      <c r="L677" s="36"/>
    </row>
    <row r="678" spans="12:12" ht="15.75" customHeight="1" x14ac:dyDescent="0.3">
      <c r="L678" s="36"/>
    </row>
    <row r="679" spans="12:12" ht="15.75" customHeight="1" x14ac:dyDescent="0.3">
      <c r="L679" s="36"/>
    </row>
    <row r="680" spans="12:12" ht="15.75" customHeight="1" x14ac:dyDescent="0.3">
      <c r="L680" s="36"/>
    </row>
    <row r="681" spans="12:12" ht="15.75" customHeight="1" x14ac:dyDescent="0.3">
      <c r="L681" s="36"/>
    </row>
    <row r="682" spans="12:12" ht="15.75" customHeight="1" x14ac:dyDescent="0.3">
      <c r="L682" s="36"/>
    </row>
    <row r="683" spans="12:12" ht="15.75" customHeight="1" x14ac:dyDescent="0.3">
      <c r="L683" s="36"/>
    </row>
    <row r="684" spans="12:12" ht="15.75" customHeight="1" x14ac:dyDescent="0.3">
      <c r="L684" s="36"/>
    </row>
    <row r="685" spans="12:12" ht="15.75" customHeight="1" x14ac:dyDescent="0.3">
      <c r="L685" s="36"/>
    </row>
    <row r="686" spans="12:12" ht="15.75" customHeight="1" x14ac:dyDescent="0.3">
      <c r="L686" s="36"/>
    </row>
    <row r="687" spans="12:12" ht="15.75" customHeight="1" x14ac:dyDescent="0.3">
      <c r="L687" s="36"/>
    </row>
    <row r="688" spans="12:12" ht="15.75" customHeight="1" x14ac:dyDescent="0.3">
      <c r="L688" s="36"/>
    </row>
    <row r="689" spans="12:12" ht="15.75" customHeight="1" x14ac:dyDescent="0.3">
      <c r="L689" s="36"/>
    </row>
    <row r="690" spans="12:12" ht="15.75" customHeight="1" x14ac:dyDescent="0.3">
      <c r="L690" s="36"/>
    </row>
    <row r="691" spans="12:12" ht="15.75" customHeight="1" x14ac:dyDescent="0.3">
      <c r="L691" s="36"/>
    </row>
    <row r="692" spans="12:12" ht="15.75" customHeight="1" x14ac:dyDescent="0.3">
      <c r="L692" s="36"/>
    </row>
    <row r="693" spans="12:12" ht="15.75" customHeight="1" x14ac:dyDescent="0.3">
      <c r="L693" s="36"/>
    </row>
    <row r="694" spans="12:12" ht="15.75" customHeight="1" x14ac:dyDescent="0.3">
      <c r="L694" s="36"/>
    </row>
    <row r="695" spans="12:12" ht="15.75" customHeight="1" x14ac:dyDescent="0.3">
      <c r="L695" s="36"/>
    </row>
    <row r="696" spans="12:12" ht="15.75" customHeight="1" x14ac:dyDescent="0.3">
      <c r="L696" s="36"/>
    </row>
    <row r="697" spans="12:12" ht="15.75" customHeight="1" x14ac:dyDescent="0.3">
      <c r="L697" s="36"/>
    </row>
    <row r="698" spans="12:12" ht="15.75" customHeight="1" x14ac:dyDescent="0.3">
      <c r="L698" s="36"/>
    </row>
    <row r="699" spans="12:12" ht="15.75" customHeight="1" x14ac:dyDescent="0.3">
      <c r="L699" s="36"/>
    </row>
    <row r="700" spans="12:12" ht="15.75" customHeight="1" x14ac:dyDescent="0.3">
      <c r="L700" s="36"/>
    </row>
    <row r="701" spans="12:12" ht="15.75" customHeight="1" x14ac:dyDescent="0.3">
      <c r="L701" s="36"/>
    </row>
    <row r="702" spans="12:12" ht="15.75" customHeight="1" x14ac:dyDescent="0.3">
      <c r="L702" s="36"/>
    </row>
    <row r="703" spans="12:12" ht="15.75" customHeight="1" x14ac:dyDescent="0.3">
      <c r="L703" s="36"/>
    </row>
    <row r="704" spans="12:12" ht="15.75" customHeight="1" x14ac:dyDescent="0.3">
      <c r="L704" s="36"/>
    </row>
    <row r="705" spans="12:12" ht="15.75" customHeight="1" x14ac:dyDescent="0.3">
      <c r="L705" s="36"/>
    </row>
    <row r="706" spans="12:12" ht="15.75" customHeight="1" x14ac:dyDescent="0.3">
      <c r="L706" s="36"/>
    </row>
    <row r="707" spans="12:12" ht="15.75" customHeight="1" x14ac:dyDescent="0.3">
      <c r="L707" s="36"/>
    </row>
    <row r="708" spans="12:12" ht="15.75" customHeight="1" x14ac:dyDescent="0.3">
      <c r="L708" s="36"/>
    </row>
    <row r="709" spans="12:12" ht="15.75" customHeight="1" x14ac:dyDescent="0.3">
      <c r="L709" s="36"/>
    </row>
    <row r="710" spans="12:12" ht="15.75" customHeight="1" x14ac:dyDescent="0.3">
      <c r="L710" s="36"/>
    </row>
    <row r="711" spans="12:12" ht="15.75" customHeight="1" x14ac:dyDescent="0.3">
      <c r="L711" s="36"/>
    </row>
    <row r="712" spans="12:12" ht="15.75" customHeight="1" x14ac:dyDescent="0.3">
      <c r="L712" s="36"/>
    </row>
    <row r="713" spans="12:12" ht="15.75" customHeight="1" x14ac:dyDescent="0.3">
      <c r="L713" s="36"/>
    </row>
    <row r="714" spans="12:12" ht="15.75" customHeight="1" x14ac:dyDescent="0.3">
      <c r="L714" s="36"/>
    </row>
    <row r="715" spans="12:12" ht="15.75" customHeight="1" x14ac:dyDescent="0.3">
      <c r="L715" s="36"/>
    </row>
    <row r="716" spans="12:12" ht="15.75" customHeight="1" x14ac:dyDescent="0.3">
      <c r="L716" s="36"/>
    </row>
    <row r="717" spans="12:12" ht="15.75" customHeight="1" x14ac:dyDescent="0.3">
      <c r="L717" s="36"/>
    </row>
    <row r="718" spans="12:12" ht="15.75" customHeight="1" x14ac:dyDescent="0.3">
      <c r="L718" s="36"/>
    </row>
    <row r="719" spans="12:12" ht="15.75" customHeight="1" x14ac:dyDescent="0.3">
      <c r="L719" s="36"/>
    </row>
    <row r="720" spans="12:12" ht="15.75" customHeight="1" x14ac:dyDescent="0.3">
      <c r="L720" s="36"/>
    </row>
    <row r="721" spans="12:12" ht="15.75" customHeight="1" x14ac:dyDescent="0.3">
      <c r="L721" s="36"/>
    </row>
    <row r="722" spans="12:12" ht="15.75" customHeight="1" x14ac:dyDescent="0.3">
      <c r="L722" s="36"/>
    </row>
    <row r="723" spans="12:12" ht="15.75" customHeight="1" x14ac:dyDescent="0.3">
      <c r="L723" s="36"/>
    </row>
    <row r="724" spans="12:12" ht="15.75" customHeight="1" x14ac:dyDescent="0.3">
      <c r="L724" s="36"/>
    </row>
    <row r="725" spans="12:12" ht="15.75" customHeight="1" x14ac:dyDescent="0.3">
      <c r="L725" s="36"/>
    </row>
    <row r="726" spans="12:12" ht="15.75" customHeight="1" x14ac:dyDescent="0.3">
      <c r="L726" s="36"/>
    </row>
    <row r="727" spans="12:12" ht="15.75" customHeight="1" x14ac:dyDescent="0.3">
      <c r="L727" s="36"/>
    </row>
    <row r="728" spans="12:12" ht="15.75" customHeight="1" x14ac:dyDescent="0.3">
      <c r="L728" s="36"/>
    </row>
    <row r="729" spans="12:12" ht="15.75" customHeight="1" x14ac:dyDescent="0.3">
      <c r="L729" s="36"/>
    </row>
    <row r="730" spans="12:12" ht="15.75" customHeight="1" x14ac:dyDescent="0.3">
      <c r="L730" s="36"/>
    </row>
    <row r="731" spans="12:12" ht="15.75" customHeight="1" x14ac:dyDescent="0.3">
      <c r="L731" s="36"/>
    </row>
    <row r="732" spans="12:12" ht="15.75" customHeight="1" x14ac:dyDescent="0.3">
      <c r="L732" s="36"/>
    </row>
    <row r="733" spans="12:12" ht="15.75" customHeight="1" x14ac:dyDescent="0.3">
      <c r="L733" s="36"/>
    </row>
    <row r="734" spans="12:12" ht="15.75" customHeight="1" x14ac:dyDescent="0.3">
      <c r="L734" s="36"/>
    </row>
    <row r="735" spans="12:12" ht="15.75" customHeight="1" x14ac:dyDescent="0.3">
      <c r="L735" s="36"/>
    </row>
    <row r="736" spans="12:12" ht="15.75" customHeight="1" x14ac:dyDescent="0.3">
      <c r="L736" s="36"/>
    </row>
    <row r="737" spans="12:12" ht="15.75" customHeight="1" x14ac:dyDescent="0.3">
      <c r="L737" s="36"/>
    </row>
    <row r="738" spans="12:12" ht="15.75" customHeight="1" x14ac:dyDescent="0.3">
      <c r="L738" s="36"/>
    </row>
    <row r="739" spans="12:12" ht="15.75" customHeight="1" x14ac:dyDescent="0.3">
      <c r="L739" s="36"/>
    </row>
    <row r="740" spans="12:12" ht="15.75" customHeight="1" x14ac:dyDescent="0.3">
      <c r="L740" s="36"/>
    </row>
    <row r="741" spans="12:12" ht="15.75" customHeight="1" x14ac:dyDescent="0.3">
      <c r="L741" s="36"/>
    </row>
    <row r="742" spans="12:12" ht="15.75" customHeight="1" x14ac:dyDescent="0.3">
      <c r="L742" s="36"/>
    </row>
    <row r="743" spans="12:12" ht="15.75" customHeight="1" x14ac:dyDescent="0.3">
      <c r="L743" s="36"/>
    </row>
    <row r="744" spans="12:12" ht="15.75" customHeight="1" x14ac:dyDescent="0.3">
      <c r="L744" s="36"/>
    </row>
    <row r="745" spans="12:12" ht="15.75" customHeight="1" x14ac:dyDescent="0.3">
      <c r="L745" s="36"/>
    </row>
    <row r="746" spans="12:12" ht="15.75" customHeight="1" x14ac:dyDescent="0.3">
      <c r="L746" s="36"/>
    </row>
    <row r="747" spans="12:12" ht="15.75" customHeight="1" x14ac:dyDescent="0.3">
      <c r="L747" s="36"/>
    </row>
    <row r="748" spans="12:12" ht="15.75" customHeight="1" x14ac:dyDescent="0.3">
      <c r="L748" s="36"/>
    </row>
    <row r="749" spans="12:12" ht="15.75" customHeight="1" x14ac:dyDescent="0.3">
      <c r="L749" s="36"/>
    </row>
    <row r="750" spans="12:12" ht="15.75" customHeight="1" x14ac:dyDescent="0.3">
      <c r="L750" s="36"/>
    </row>
    <row r="751" spans="12:12" ht="15.75" customHeight="1" x14ac:dyDescent="0.3">
      <c r="L751" s="36"/>
    </row>
    <row r="752" spans="12:12" ht="15.75" customHeight="1" x14ac:dyDescent="0.3">
      <c r="L752" s="36"/>
    </row>
    <row r="753" spans="12:12" ht="15.75" customHeight="1" x14ac:dyDescent="0.3">
      <c r="L753" s="36"/>
    </row>
    <row r="754" spans="12:12" ht="15.75" customHeight="1" x14ac:dyDescent="0.3">
      <c r="L754" s="36"/>
    </row>
    <row r="755" spans="12:12" ht="15.75" customHeight="1" x14ac:dyDescent="0.3">
      <c r="L755" s="36"/>
    </row>
    <row r="756" spans="12:12" ht="15.75" customHeight="1" x14ac:dyDescent="0.3">
      <c r="L756" s="36"/>
    </row>
    <row r="757" spans="12:12" ht="15.75" customHeight="1" x14ac:dyDescent="0.3">
      <c r="L757" s="36"/>
    </row>
    <row r="758" spans="12:12" ht="15.75" customHeight="1" x14ac:dyDescent="0.3">
      <c r="L758" s="36"/>
    </row>
    <row r="759" spans="12:12" ht="15.75" customHeight="1" x14ac:dyDescent="0.3">
      <c r="L759" s="36"/>
    </row>
    <row r="760" spans="12:12" ht="15.75" customHeight="1" x14ac:dyDescent="0.3">
      <c r="L760" s="36"/>
    </row>
    <row r="761" spans="12:12" ht="15.75" customHeight="1" x14ac:dyDescent="0.3">
      <c r="L761" s="36"/>
    </row>
    <row r="762" spans="12:12" ht="15.75" customHeight="1" x14ac:dyDescent="0.3">
      <c r="L762" s="36"/>
    </row>
    <row r="763" spans="12:12" ht="15.75" customHeight="1" x14ac:dyDescent="0.3">
      <c r="L763" s="36"/>
    </row>
    <row r="764" spans="12:12" ht="15.75" customHeight="1" x14ac:dyDescent="0.3">
      <c r="L764" s="36"/>
    </row>
    <row r="765" spans="12:12" ht="15.75" customHeight="1" x14ac:dyDescent="0.3">
      <c r="L765" s="36"/>
    </row>
    <row r="766" spans="12:12" ht="15.75" customHeight="1" x14ac:dyDescent="0.3">
      <c r="L766" s="36"/>
    </row>
    <row r="767" spans="12:12" ht="15.75" customHeight="1" x14ac:dyDescent="0.3">
      <c r="L767" s="36"/>
    </row>
    <row r="768" spans="12:12" ht="15.75" customHeight="1" x14ac:dyDescent="0.3">
      <c r="L768" s="36"/>
    </row>
    <row r="769" spans="12:12" ht="15.75" customHeight="1" x14ac:dyDescent="0.3">
      <c r="L769" s="36"/>
    </row>
    <row r="770" spans="12:12" ht="15.75" customHeight="1" x14ac:dyDescent="0.3">
      <c r="L770" s="36"/>
    </row>
    <row r="771" spans="12:12" ht="15.75" customHeight="1" x14ac:dyDescent="0.3">
      <c r="L771" s="36"/>
    </row>
    <row r="772" spans="12:12" ht="15.75" customHeight="1" x14ac:dyDescent="0.3">
      <c r="L772" s="36"/>
    </row>
    <row r="773" spans="12:12" ht="15.75" customHeight="1" x14ac:dyDescent="0.3">
      <c r="L773" s="36"/>
    </row>
    <row r="774" spans="12:12" ht="15.75" customHeight="1" x14ac:dyDescent="0.3">
      <c r="L774" s="36"/>
    </row>
    <row r="775" spans="12:12" ht="15.75" customHeight="1" x14ac:dyDescent="0.3">
      <c r="L775" s="36"/>
    </row>
    <row r="776" spans="12:12" ht="15.75" customHeight="1" x14ac:dyDescent="0.3">
      <c r="L776" s="36"/>
    </row>
    <row r="777" spans="12:12" ht="15.75" customHeight="1" x14ac:dyDescent="0.3">
      <c r="L777" s="36"/>
    </row>
    <row r="778" spans="12:12" ht="15.75" customHeight="1" x14ac:dyDescent="0.3">
      <c r="L778" s="36"/>
    </row>
    <row r="779" spans="12:12" ht="15.75" customHeight="1" x14ac:dyDescent="0.3">
      <c r="L779" s="36"/>
    </row>
    <row r="780" spans="12:12" ht="15.75" customHeight="1" x14ac:dyDescent="0.3">
      <c r="L780" s="36"/>
    </row>
    <row r="781" spans="12:12" ht="15.75" customHeight="1" x14ac:dyDescent="0.3">
      <c r="L781" s="36"/>
    </row>
    <row r="782" spans="12:12" ht="15.75" customHeight="1" x14ac:dyDescent="0.3">
      <c r="L782" s="36"/>
    </row>
    <row r="783" spans="12:12" ht="15.75" customHeight="1" x14ac:dyDescent="0.3">
      <c r="L783" s="36"/>
    </row>
    <row r="784" spans="12:12" ht="15.75" customHeight="1" x14ac:dyDescent="0.3">
      <c r="L784" s="36"/>
    </row>
    <row r="785" spans="12:12" ht="15.75" customHeight="1" x14ac:dyDescent="0.3">
      <c r="L785" s="36"/>
    </row>
    <row r="786" spans="12:12" ht="15.75" customHeight="1" x14ac:dyDescent="0.3">
      <c r="L786" s="36"/>
    </row>
    <row r="787" spans="12:12" ht="15.75" customHeight="1" x14ac:dyDescent="0.3">
      <c r="L787" s="36"/>
    </row>
    <row r="788" spans="12:12" ht="15.75" customHeight="1" x14ac:dyDescent="0.3">
      <c r="L788" s="36"/>
    </row>
    <row r="789" spans="12:12" ht="15.75" customHeight="1" x14ac:dyDescent="0.3">
      <c r="L789" s="36"/>
    </row>
    <row r="790" spans="12:12" ht="15.75" customHeight="1" x14ac:dyDescent="0.3">
      <c r="L790" s="36"/>
    </row>
    <row r="791" spans="12:12" ht="15.75" customHeight="1" x14ac:dyDescent="0.3">
      <c r="L791" s="36"/>
    </row>
    <row r="792" spans="12:12" ht="15.75" customHeight="1" x14ac:dyDescent="0.3">
      <c r="L792" s="36"/>
    </row>
    <row r="793" spans="12:12" ht="15.75" customHeight="1" x14ac:dyDescent="0.3">
      <c r="L793" s="36"/>
    </row>
    <row r="794" spans="12:12" ht="15.75" customHeight="1" x14ac:dyDescent="0.3">
      <c r="L794" s="36"/>
    </row>
    <row r="795" spans="12:12" ht="15.75" customHeight="1" x14ac:dyDescent="0.3">
      <c r="L795" s="36"/>
    </row>
    <row r="796" spans="12:12" ht="15.75" customHeight="1" x14ac:dyDescent="0.3">
      <c r="L796" s="36"/>
    </row>
    <row r="797" spans="12:12" ht="15.75" customHeight="1" x14ac:dyDescent="0.3">
      <c r="L797" s="36"/>
    </row>
    <row r="798" spans="12:12" ht="15.75" customHeight="1" x14ac:dyDescent="0.3">
      <c r="L798" s="36"/>
    </row>
    <row r="799" spans="12:12" ht="15.75" customHeight="1" x14ac:dyDescent="0.3">
      <c r="L799" s="36"/>
    </row>
    <row r="800" spans="12:12" ht="15.75" customHeight="1" x14ac:dyDescent="0.3">
      <c r="L800" s="36"/>
    </row>
    <row r="801" spans="12:12" ht="15.75" customHeight="1" x14ac:dyDescent="0.3">
      <c r="L801" s="36"/>
    </row>
    <row r="802" spans="12:12" ht="15.75" customHeight="1" x14ac:dyDescent="0.3">
      <c r="L802" s="36"/>
    </row>
    <row r="803" spans="12:12" ht="15.75" customHeight="1" x14ac:dyDescent="0.3">
      <c r="L803" s="36"/>
    </row>
    <row r="804" spans="12:12" ht="15.75" customHeight="1" x14ac:dyDescent="0.3">
      <c r="L804" s="36"/>
    </row>
    <row r="805" spans="12:12" ht="15.75" customHeight="1" x14ac:dyDescent="0.3">
      <c r="L805" s="36"/>
    </row>
    <row r="806" spans="12:12" ht="15.75" customHeight="1" x14ac:dyDescent="0.3">
      <c r="L806" s="36"/>
    </row>
    <row r="807" spans="12:12" ht="15.75" customHeight="1" x14ac:dyDescent="0.3">
      <c r="L807" s="36"/>
    </row>
    <row r="808" spans="12:12" ht="15.75" customHeight="1" x14ac:dyDescent="0.3">
      <c r="L808" s="36"/>
    </row>
    <row r="809" spans="12:12" ht="15.75" customHeight="1" x14ac:dyDescent="0.3">
      <c r="L809" s="36"/>
    </row>
    <row r="810" spans="12:12" ht="15.75" customHeight="1" x14ac:dyDescent="0.3">
      <c r="L810" s="36"/>
    </row>
    <row r="811" spans="12:12" ht="15.75" customHeight="1" x14ac:dyDescent="0.3">
      <c r="L811" s="36"/>
    </row>
    <row r="812" spans="12:12" ht="15.75" customHeight="1" x14ac:dyDescent="0.3">
      <c r="L812" s="36"/>
    </row>
    <row r="813" spans="12:12" ht="15.75" customHeight="1" x14ac:dyDescent="0.3">
      <c r="L813" s="36"/>
    </row>
    <row r="814" spans="12:12" ht="15.75" customHeight="1" x14ac:dyDescent="0.3">
      <c r="L814" s="36"/>
    </row>
    <row r="815" spans="12:12" ht="15.75" customHeight="1" x14ac:dyDescent="0.3">
      <c r="L815" s="36"/>
    </row>
    <row r="816" spans="12:12" ht="15.75" customHeight="1" x14ac:dyDescent="0.3">
      <c r="L816" s="36"/>
    </row>
    <row r="817" spans="12:12" ht="15.75" customHeight="1" x14ac:dyDescent="0.3">
      <c r="L817" s="36"/>
    </row>
    <row r="818" spans="12:12" ht="15.75" customHeight="1" x14ac:dyDescent="0.3">
      <c r="L818" s="36"/>
    </row>
    <row r="819" spans="12:12" ht="15.75" customHeight="1" x14ac:dyDescent="0.3">
      <c r="L819" s="36"/>
    </row>
    <row r="820" spans="12:12" ht="15.75" customHeight="1" x14ac:dyDescent="0.3">
      <c r="L820" s="36"/>
    </row>
    <row r="821" spans="12:12" ht="15.75" customHeight="1" x14ac:dyDescent="0.3">
      <c r="L821" s="36"/>
    </row>
    <row r="822" spans="12:12" ht="15.75" customHeight="1" x14ac:dyDescent="0.3">
      <c r="L822" s="36"/>
    </row>
    <row r="823" spans="12:12" ht="15.75" customHeight="1" x14ac:dyDescent="0.3">
      <c r="L823" s="36"/>
    </row>
    <row r="824" spans="12:12" ht="15.75" customHeight="1" x14ac:dyDescent="0.3">
      <c r="L824" s="36"/>
    </row>
    <row r="825" spans="12:12" ht="15.75" customHeight="1" x14ac:dyDescent="0.3">
      <c r="L825" s="36"/>
    </row>
    <row r="826" spans="12:12" ht="15.75" customHeight="1" x14ac:dyDescent="0.3">
      <c r="L826" s="36"/>
    </row>
    <row r="827" spans="12:12" ht="15.75" customHeight="1" x14ac:dyDescent="0.3">
      <c r="L827" s="36"/>
    </row>
    <row r="828" spans="12:12" ht="15.75" customHeight="1" x14ac:dyDescent="0.3">
      <c r="L828" s="36"/>
    </row>
    <row r="829" spans="12:12" ht="15.75" customHeight="1" x14ac:dyDescent="0.3">
      <c r="L829" s="36"/>
    </row>
    <row r="830" spans="12:12" ht="15.75" customHeight="1" x14ac:dyDescent="0.3">
      <c r="L830" s="36"/>
    </row>
    <row r="831" spans="12:12" ht="15.75" customHeight="1" x14ac:dyDescent="0.3">
      <c r="L831" s="36"/>
    </row>
    <row r="832" spans="12:12" ht="15.75" customHeight="1" x14ac:dyDescent="0.3">
      <c r="L832" s="36"/>
    </row>
    <row r="833" spans="12:12" ht="15.75" customHeight="1" x14ac:dyDescent="0.3">
      <c r="L833" s="36"/>
    </row>
    <row r="834" spans="12:12" ht="15.75" customHeight="1" x14ac:dyDescent="0.3">
      <c r="L834" s="36"/>
    </row>
    <row r="835" spans="12:12" ht="15.75" customHeight="1" x14ac:dyDescent="0.3">
      <c r="L835" s="36"/>
    </row>
    <row r="836" spans="12:12" ht="15.75" customHeight="1" x14ac:dyDescent="0.3">
      <c r="L836" s="36"/>
    </row>
    <row r="837" spans="12:12" ht="15.75" customHeight="1" x14ac:dyDescent="0.3">
      <c r="L837" s="36"/>
    </row>
    <row r="838" spans="12:12" ht="15.75" customHeight="1" x14ac:dyDescent="0.3">
      <c r="L838" s="36"/>
    </row>
    <row r="839" spans="12:12" ht="15.75" customHeight="1" x14ac:dyDescent="0.3">
      <c r="L839" s="36"/>
    </row>
    <row r="840" spans="12:12" ht="15.75" customHeight="1" x14ac:dyDescent="0.3">
      <c r="L840" s="36"/>
    </row>
    <row r="841" spans="12:12" ht="15.75" customHeight="1" x14ac:dyDescent="0.3">
      <c r="L841" s="36"/>
    </row>
    <row r="842" spans="12:12" ht="15.75" customHeight="1" x14ac:dyDescent="0.3">
      <c r="L842" s="36"/>
    </row>
    <row r="843" spans="12:12" ht="15.75" customHeight="1" x14ac:dyDescent="0.3">
      <c r="L843" s="36"/>
    </row>
    <row r="844" spans="12:12" ht="15.75" customHeight="1" x14ac:dyDescent="0.3">
      <c r="L844" s="36"/>
    </row>
    <row r="845" spans="12:12" ht="15.75" customHeight="1" x14ac:dyDescent="0.3">
      <c r="L845" s="36"/>
    </row>
    <row r="846" spans="12:12" ht="15.75" customHeight="1" x14ac:dyDescent="0.3">
      <c r="L846" s="36"/>
    </row>
    <row r="847" spans="12:12" ht="15.75" customHeight="1" x14ac:dyDescent="0.3">
      <c r="L847" s="36"/>
    </row>
    <row r="848" spans="12:12" ht="15.75" customHeight="1" x14ac:dyDescent="0.3">
      <c r="L848" s="36"/>
    </row>
    <row r="849" spans="12:12" ht="15.75" customHeight="1" x14ac:dyDescent="0.3">
      <c r="L849" s="36"/>
    </row>
    <row r="850" spans="12:12" ht="15.75" customHeight="1" x14ac:dyDescent="0.3">
      <c r="L850" s="36"/>
    </row>
    <row r="851" spans="12:12" ht="15.75" customHeight="1" x14ac:dyDescent="0.3">
      <c r="L851" s="36"/>
    </row>
    <row r="852" spans="12:12" ht="15.75" customHeight="1" x14ac:dyDescent="0.3">
      <c r="L852" s="36"/>
    </row>
    <row r="853" spans="12:12" ht="15.75" customHeight="1" x14ac:dyDescent="0.3">
      <c r="L853" s="36"/>
    </row>
    <row r="854" spans="12:12" ht="15.75" customHeight="1" x14ac:dyDescent="0.3">
      <c r="L854" s="36"/>
    </row>
    <row r="855" spans="12:12" ht="15.75" customHeight="1" x14ac:dyDescent="0.3">
      <c r="L855" s="36"/>
    </row>
    <row r="856" spans="12:12" ht="15.75" customHeight="1" x14ac:dyDescent="0.3">
      <c r="L856" s="36"/>
    </row>
    <row r="857" spans="12:12" ht="15.75" customHeight="1" x14ac:dyDescent="0.3">
      <c r="L857" s="36"/>
    </row>
    <row r="858" spans="12:12" ht="15.75" customHeight="1" x14ac:dyDescent="0.3">
      <c r="L858" s="36"/>
    </row>
    <row r="859" spans="12:12" ht="15.75" customHeight="1" x14ac:dyDescent="0.3">
      <c r="L859" s="36"/>
    </row>
    <row r="860" spans="12:12" ht="15.75" customHeight="1" x14ac:dyDescent="0.3">
      <c r="L860" s="36"/>
    </row>
    <row r="861" spans="12:12" ht="15.75" customHeight="1" x14ac:dyDescent="0.3">
      <c r="L861" s="36"/>
    </row>
    <row r="862" spans="12:12" ht="15.75" customHeight="1" x14ac:dyDescent="0.3">
      <c r="L862" s="36"/>
    </row>
    <row r="863" spans="12:12" ht="15.75" customHeight="1" x14ac:dyDescent="0.3">
      <c r="L863" s="36"/>
    </row>
    <row r="864" spans="12:12" ht="15.75" customHeight="1" x14ac:dyDescent="0.3">
      <c r="L864" s="36"/>
    </row>
    <row r="865" spans="12:12" ht="15.75" customHeight="1" x14ac:dyDescent="0.3">
      <c r="L865" s="36"/>
    </row>
    <row r="866" spans="12:12" ht="15.75" customHeight="1" x14ac:dyDescent="0.3">
      <c r="L866" s="36"/>
    </row>
    <row r="867" spans="12:12" ht="15.75" customHeight="1" x14ac:dyDescent="0.3">
      <c r="L867" s="36"/>
    </row>
    <row r="868" spans="12:12" ht="15.75" customHeight="1" x14ac:dyDescent="0.3">
      <c r="L868" s="36"/>
    </row>
    <row r="869" spans="12:12" ht="15.75" customHeight="1" x14ac:dyDescent="0.3">
      <c r="L869" s="36"/>
    </row>
    <row r="870" spans="12:12" ht="15.75" customHeight="1" x14ac:dyDescent="0.3">
      <c r="L870" s="36"/>
    </row>
    <row r="871" spans="12:12" ht="15.75" customHeight="1" x14ac:dyDescent="0.3">
      <c r="L871" s="36"/>
    </row>
    <row r="872" spans="12:12" ht="15.75" customHeight="1" x14ac:dyDescent="0.3">
      <c r="L872" s="36"/>
    </row>
    <row r="873" spans="12:12" ht="15.75" customHeight="1" x14ac:dyDescent="0.3">
      <c r="L873" s="36"/>
    </row>
    <row r="874" spans="12:12" ht="15.75" customHeight="1" x14ac:dyDescent="0.3">
      <c r="L874" s="36"/>
    </row>
    <row r="875" spans="12:12" ht="15.75" customHeight="1" x14ac:dyDescent="0.3">
      <c r="L875" s="36"/>
    </row>
    <row r="876" spans="12:12" ht="15.75" customHeight="1" x14ac:dyDescent="0.3">
      <c r="L876" s="36"/>
    </row>
    <row r="877" spans="12:12" ht="15.75" customHeight="1" x14ac:dyDescent="0.3">
      <c r="L877" s="36"/>
    </row>
    <row r="878" spans="12:12" ht="15.75" customHeight="1" x14ac:dyDescent="0.3">
      <c r="L878" s="36"/>
    </row>
    <row r="879" spans="12:12" ht="15.75" customHeight="1" x14ac:dyDescent="0.3">
      <c r="L879" s="36"/>
    </row>
    <row r="880" spans="12:12" ht="15.75" customHeight="1" x14ac:dyDescent="0.3">
      <c r="L880" s="36"/>
    </row>
    <row r="881" spans="12:12" ht="15.75" customHeight="1" x14ac:dyDescent="0.3">
      <c r="L881" s="36"/>
    </row>
    <row r="882" spans="12:12" ht="15.75" customHeight="1" x14ac:dyDescent="0.3">
      <c r="L882" s="36"/>
    </row>
    <row r="883" spans="12:12" ht="15.75" customHeight="1" x14ac:dyDescent="0.3">
      <c r="L883" s="36"/>
    </row>
    <row r="884" spans="12:12" ht="15.75" customHeight="1" x14ac:dyDescent="0.3">
      <c r="L884" s="36"/>
    </row>
    <row r="885" spans="12:12" ht="15.75" customHeight="1" x14ac:dyDescent="0.3">
      <c r="L885" s="36"/>
    </row>
    <row r="886" spans="12:12" ht="15.75" customHeight="1" x14ac:dyDescent="0.3">
      <c r="L886" s="36"/>
    </row>
    <row r="887" spans="12:12" ht="15.75" customHeight="1" x14ac:dyDescent="0.3">
      <c r="L887" s="36"/>
    </row>
    <row r="888" spans="12:12" ht="15.75" customHeight="1" x14ac:dyDescent="0.3">
      <c r="L888" s="36"/>
    </row>
    <row r="889" spans="12:12" ht="15.75" customHeight="1" x14ac:dyDescent="0.3">
      <c r="L889" s="36"/>
    </row>
    <row r="890" spans="12:12" ht="15.75" customHeight="1" x14ac:dyDescent="0.3">
      <c r="L890" s="36"/>
    </row>
    <row r="891" spans="12:12" ht="15.75" customHeight="1" x14ac:dyDescent="0.3">
      <c r="L891" s="36"/>
    </row>
    <row r="892" spans="12:12" ht="15.75" customHeight="1" x14ac:dyDescent="0.3">
      <c r="L892" s="36"/>
    </row>
    <row r="893" spans="12:12" ht="15.75" customHeight="1" x14ac:dyDescent="0.3">
      <c r="L893" s="36"/>
    </row>
    <row r="894" spans="12:12" ht="15.75" customHeight="1" x14ac:dyDescent="0.3">
      <c r="L894" s="36"/>
    </row>
    <row r="895" spans="12:12" ht="15.75" customHeight="1" x14ac:dyDescent="0.3">
      <c r="L895" s="36"/>
    </row>
    <row r="896" spans="12:12" ht="15.75" customHeight="1" x14ac:dyDescent="0.3">
      <c r="L896" s="36"/>
    </row>
    <row r="897" spans="12:12" ht="15.75" customHeight="1" x14ac:dyDescent="0.3">
      <c r="L897" s="36"/>
    </row>
    <row r="898" spans="12:12" ht="15.75" customHeight="1" x14ac:dyDescent="0.3">
      <c r="L898" s="36"/>
    </row>
    <row r="899" spans="12:12" ht="15.75" customHeight="1" x14ac:dyDescent="0.3">
      <c r="L899" s="36"/>
    </row>
    <row r="900" spans="12:12" ht="15.75" customHeight="1" x14ac:dyDescent="0.3">
      <c r="L900" s="36"/>
    </row>
    <row r="901" spans="12:12" ht="15.75" customHeight="1" x14ac:dyDescent="0.3">
      <c r="L901" s="36"/>
    </row>
    <row r="902" spans="12:12" ht="15.75" customHeight="1" x14ac:dyDescent="0.3">
      <c r="L902" s="36"/>
    </row>
    <row r="903" spans="12:12" ht="15.75" customHeight="1" x14ac:dyDescent="0.3">
      <c r="L903" s="36"/>
    </row>
    <row r="904" spans="12:12" ht="15.75" customHeight="1" x14ac:dyDescent="0.3">
      <c r="L904" s="36"/>
    </row>
    <row r="905" spans="12:12" ht="15.75" customHeight="1" x14ac:dyDescent="0.3">
      <c r="L905" s="36"/>
    </row>
    <row r="906" spans="12:12" ht="15.75" customHeight="1" x14ac:dyDescent="0.3">
      <c r="L906" s="36"/>
    </row>
    <row r="907" spans="12:12" ht="15.75" customHeight="1" x14ac:dyDescent="0.3">
      <c r="L907" s="36"/>
    </row>
    <row r="908" spans="12:12" ht="15.75" customHeight="1" x14ac:dyDescent="0.3">
      <c r="L908" s="36"/>
    </row>
    <row r="909" spans="12:12" ht="15.75" customHeight="1" x14ac:dyDescent="0.3">
      <c r="L909" s="36"/>
    </row>
    <row r="910" spans="12:12" ht="15.75" customHeight="1" x14ac:dyDescent="0.3">
      <c r="L910" s="36"/>
    </row>
    <row r="911" spans="12:12" ht="15.75" customHeight="1" x14ac:dyDescent="0.3">
      <c r="L911" s="36"/>
    </row>
    <row r="912" spans="12:12" ht="15.75" customHeight="1" x14ac:dyDescent="0.3">
      <c r="L912" s="36"/>
    </row>
    <row r="913" spans="12:12" ht="15.75" customHeight="1" x14ac:dyDescent="0.3">
      <c r="L913" s="36"/>
    </row>
    <row r="914" spans="12:12" ht="15.75" customHeight="1" x14ac:dyDescent="0.3">
      <c r="L914" s="36"/>
    </row>
    <row r="915" spans="12:12" ht="15.75" customHeight="1" x14ac:dyDescent="0.3">
      <c r="L915" s="36"/>
    </row>
    <row r="916" spans="12:12" ht="15.75" customHeight="1" x14ac:dyDescent="0.3">
      <c r="L916" s="36"/>
    </row>
    <row r="917" spans="12:12" ht="15.75" customHeight="1" x14ac:dyDescent="0.3">
      <c r="L917" s="36"/>
    </row>
    <row r="918" spans="12:12" ht="15.75" customHeight="1" x14ac:dyDescent="0.3">
      <c r="L918" s="36"/>
    </row>
    <row r="919" spans="12:12" ht="15.75" customHeight="1" x14ac:dyDescent="0.3">
      <c r="L919" s="36"/>
    </row>
    <row r="920" spans="12:12" ht="15.75" customHeight="1" x14ac:dyDescent="0.3">
      <c r="L920" s="36"/>
    </row>
    <row r="921" spans="12:12" ht="15.75" customHeight="1" x14ac:dyDescent="0.3">
      <c r="L921" s="36"/>
    </row>
    <row r="922" spans="12:12" ht="15.75" customHeight="1" x14ac:dyDescent="0.3">
      <c r="L922" s="36"/>
    </row>
    <row r="923" spans="12:12" ht="15.75" customHeight="1" x14ac:dyDescent="0.3">
      <c r="L923" s="36"/>
    </row>
    <row r="924" spans="12:12" ht="15.75" customHeight="1" x14ac:dyDescent="0.3">
      <c r="L924" s="36"/>
    </row>
    <row r="925" spans="12:12" ht="15.75" customHeight="1" x14ac:dyDescent="0.3">
      <c r="L925" s="36"/>
    </row>
    <row r="926" spans="12:12" ht="15.75" customHeight="1" x14ac:dyDescent="0.3">
      <c r="L926" s="36"/>
    </row>
    <row r="927" spans="12:12" ht="15.75" customHeight="1" x14ac:dyDescent="0.3">
      <c r="L927" s="36"/>
    </row>
    <row r="928" spans="12:12" ht="15.75" customHeight="1" x14ac:dyDescent="0.3">
      <c r="L928" s="36"/>
    </row>
    <row r="929" spans="12:12" ht="15.75" customHeight="1" x14ac:dyDescent="0.3">
      <c r="L929" s="36"/>
    </row>
    <row r="930" spans="12:12" ht="15.75" customHeight="1" x14ac:dyDescent="0.3">
      <c r="L930" s="36"/>
    </row>
    <row r="931" spans="12:12" ht="15.75" customHeight="1" x14ac:dyDescent="0.3">
      <c r="L931" s="36"/>
    </row>
    <row r="932" spans="12:12" ht="15.75" customHeight="1" x14ac:dyDescent="0.3">
      <c r="L932" s="36"/>
    </row>
    <row r="933" spans="12:12" ht="15.75" customHeight="1" x14ac:dyDescent="0.3">
      <c r="L933" s="36"/>
    </row>
    <row r="934" spans="12:12" ht="15.75" customHeight="1" x14ac:dyDescent="0.3">
      <c r="L934" s="36"/>
    </row>
    <row r="935" spans="12:12" ht="15.75" customHeight="1" x14ac:dyDescent="0.3">
      <c r="L935" s="36"/>
    </row>
    <row r="936" spans="12:12" ht="15.75" customHeight="1" x14ac:dyDescent="0.3">
      <c r="L936" s="36"/>
    </row>
    <row r="937" spans="12:12" ht="15.75" customHeight="1" x14ac:dyDescent="0.3">
      <c r="L937" s="36"/>
    </row>
    <row r="938" spans="12:12" ht="15.75" customHeight="1" x14ac:dyDescent="0.3">
      <c r="L938" s="36"/>
    </row>
    <row r="939" spans="12:12" ht="15.75" customHeight="1" x14ac:dyDescent="0.3">
      <c r="L939" s="36"/>
    </row>
    <row r="940" spans="12:12" ht="15.75" customHeight="1" x14ac:dyDescent="0.3">
      <c r="L940" s="36"/>
    </row>
    <row r="941" spans="12:12" ht="15.75" customHeight="1" x14ac:dyDescent="0.3">
      <c r="L941" s="36"/>
    </row>
    <row r="942" spans="12:12" ht="15.75" customHeight="1" x14ac:dyDescent="0.3">
      <c r="L942" s="36"/>
    </row>
    <row r="943" spans="12:12" ht="15.75" customHeight="1" x14ac:dyDescent="0.3">
      <c r="L943" s="36"/>
    </row>
    <row r="944" spans="12:12" ht="15.75" customHeight="1" x14ac:dyDescent="0.3">
      <c r="L944" s="36"/>
    </row>
    <row r="945" spans="12:12" ht="15.75" customHeight="1" x14ac:dyDescent="0.3">
      <c r="L945" s="36"/>
    </row>
    <row r="946" spans="12:12" ht="15.75" customHeight="1" x14ac:dyDescent="0.3">
      <c r="L946" s="36"/>
    </row>
    <row r="947" spans="12:12" ht="15.75" customHeight="1" x14ac:dyDescent="0.3">
      <c r="L947" s="36"/>
    </row>
    <row r="948" spans="12:12" ht="15.75" customHeight="1" x14ac:dyDescent="0.3">
      <c r="L948" s="36"/>
    </row>
    <row r="949" spans="12:12" ht="15.75" customHeight="1" x14ac:dyDescent="0.3">
      <c r="L949" s="36"/>
    </row>
    <row r="950" spans="12:12" ht="15.75" customHeight="1" x14ac:dyDescent="0.3">
      <c r="L950" s="36"/>
    </row>
    <row r="951" spans="12:12" ht="15.75" customHeight="1" x14ac:dyDescent="0.3">
      <c r="L951" s="36"/>
    </row>
    <row r="952" spans="12:12" ht="15.75" customHeight="1" x14ac:dyDescent="0.3">
      <c r="L952" s="36"/>
    </row>
    <row r="953" spans="12:12" ht="15.75" customHeight="1" x14ac:dyDescent="0.3">
      <c r="L953" s="36"/>
    </row>
    <row r="954" spans="12:12" ht="15.75" customHeight="1" x14ac:dyDescent="0.3">
      <c r="L954" s="36"/>
    </row>
    <row r="955" spans="12:12" ht="15.75" customHeight="1" x14ac:dyDescent="0.3">
      <c r="L955" s="36"/>
    </row>
    <row r="956" spans="12:12" ht="15.75" customHeight="1" x14ac:dyDescent="0.3">
      <c r="L956" s="36"/>
    </row>
    <row r="957" spans="12:12" ht="15.75" customHeight="1" x14ac:dyDescent="0.3">
      <c r="L957" s="36"/>
    </row>
    <row r="958" spans="12:12" ht="15.75" customHeight="1" x14ac:dyDescent="0.3">
      <c r="L958" s="36"/>
    </row>
    <row r="959" spans="12:12" ht="15.75" customHeight="1" x14ac:dyDescent="0.3">
      <c r="L959" s="36"/>
    </row>
    <row r="960" spans="12:12" ht="15.75" customHeight="1" x14ac:dyDescent="0.3">
      <c r="L960" s="36"/>
    </row>
    <row r="961" spans="12:12" ht="15.75" customHeight="1" x14ac:dyDescent="0.3">
      <c r="L961" s="36"/>
    </row>
    <row r="962" spans="12:12" ht="15.75" customHeight="1" x14ac:dyDescent="0.3">
      <c r="L962" s="36"/>
    </row>
    <row r="963" spans="12:12" ht="15.75" customHeight="1" x14ac:dyDescent="0.3">
      <c r="L963" s="36"/>
    </row>
    <row r="964" spans="12:12" ht="15.75" customHeight="1" x14ac:dyDescent="0.3">
      <c r="L964" s="36"/>
    </row>
    <row r="965" spans="12:12" ht="15.75" customHeight="1" x14ac:dyDescent="0.3">
      <c r="L965" s="36"/>
    </row>
    <row r="966" spans="12:12" ht="15.75" customHeight="1" x14ac:dyDescent="0.3">
      <c r="L966" s="36"/>
    </row>
    <row r="967" spans="12:12" ht="15.75" customHeight="1" x14ac:dyDescent="0.3">
      <c r="L967" s="36"/>
    </row>
    <row r="968" spans="12:12" ht="15.75" customHeight="1" x14ac:dyDescent="0.3">
      <c r="L968" s="36"/>
    </row>
    <row r="969" spans="12:12" ht="15.75" customHeight="1" x14ac:dyDescent="0.3">
      <c r="L969" s="36"/>
    </row>
    <row r="970" spans="12:12" ht="15.75" customHeight="1" x14ac:dyDescent="0.3">
      <c r="L970" s="36"/>
    </row>
    <row r="971" spans="12:12" ht="15.75" customHeight="1" x14ac:dyDescent="0.3">
      <c r="L971" s="36"/>
    </row>
    <row r="972" spans="12:12" ht="15.75" customHeight="1" x14ac:dyDescent="0.3">
      <c r="L972" s="36"/>
    </row>
    <row r="973" spans="12:12" ht="15.75" customHeight="1" x14ac:dyDescent="0.3">
      <c r="L973" s="36"/>
    </row>
    <row r="974" spans="12:12" ht="15.75" customHeight="1" x14ac:dyDescent="0.3">
      <c r="L974" s="36"/>
    </row>
    <row r="975" spans="12:12" ht="15.75" customHeight="1" x14ac:dyDescent="0.3">
      <c r="L975" s="36"/>
    </row>
    <row r="976" spans="12:12" ht="15.75" customHeight="1" x14ac:dyDescent="0.3">
      <c r="L976" s="36"/>
    </row>
    <row r="977" spans="12:12" ht="15.75" customHeight="1" x14ac:dyDescent="0.3">
      <c r="L977" s="36"/>
    </row>
    <row r="978" spans="12:12" ht="15.75" customHeight="1" x14ac:dyDescent="0.3">
      <c r="L978" s="36"/>
    </row>
    <row r="979" spans="12:12" ht="15.75" customHeight="1" x14ac:dyDescent="0.3">
      <c r="L979" s="36"/>
    </row>
    <row r="980" spans="12:12" ht="15.75" customHeight="1" x14ac:dyDescent="0.3">
      <c r="L980" s="36"/>
    </row>
    <row r="981" spans="12:12" ht="15.75" customHeight="1" x14ac:dyDescent="0.3">
      <c r="L981" s="36"/>
    </row>
    <row r="982" spans="12:12" ht="15.75" customHeight="1" x14ac:dyDescent="0.3">
      <c r="L982" s="36"/>
    </row>
    <row r="983" spans="12:12" ht="15.75" customHeight="1" x14ac:dyDescent="0.3">
      <c r="L983" s="36"/>
    </row>
    <row r="984" spans="12:12" ht="15.75" customHeight="1" x14ac:dyDescent="0.3">
      <c r="L984" s="36"/>
    </row>
    <row r="985" spans="12:12" ht="15.75" customHeight="1" x14ac:dyDescent="0.3">
      <c r="L985" s="36"/>
    </row>
    <row r="986" spans="12:12" ht="15.75" customHeight="1" x14ac:dyDescent="0.3">
      <c r="L986" s="36"/>
    </row>
    <row r="987" spans="12:12" ht="15.75" customHeight="1" x14ac:dyDescent="0.3">
      <c r="L987" s="36"/>
    </row>
    <row r="988" spans="12:12" ht="15.75" customHeight="1" x14ac:dyDescent="0.3">
      <c r="L988" s="36"/>
    </row>
    <row r="989" spans="12:12" ht="15.75" customHeight="1" x14ac:dyDescent="0.3">
      <c r="L989" s="36"/>
    </row>
    <row r="990" spans="12:12" ht="15.75" customHeight="1" x14ac:dyDescent="0.3">
      <c r="L990" s="36"/>
    </row>
    <row r="991" spans="12:12" ht="15.75" customHeight="1" x14ac:dyDescent="0.3">
      <c r="L991" s="36"/>
    </row>
    <row r="992" spans="12:12" ht="15.75" customHeight="1" x14ac:dyDescent="0.3">
      <c r="L992" s="36"/>
    </row>
    <row r="993" spans="12:12" ht="15.75" customHeight="1" x14ac:dyDescent="0.3">
      <c r="L993" s="36"/>
    </row>
    <row r="994" spans="12:12" ht="15.75" customHeight="1" x14ac:dyDescent="0.3">
      <c r="L994" s="36"/>
    </row>
    <row r="995" spans="12:12" ht="15.75" customHeight="1" x14ac:dyDescent="0.3">
      <c r="L995" s="36"/>
    </row>
    <row r="996" spans="12:12" ht="15.75" customHeight="1" x14ac:dyDescent="0.3">
      <c r="L996" s="36"/>
    </row>
    <row r="997" spans="12:12" ht="15.75" customHeight="1" x14ac:dyDescent="0.3">
      <c r="L997" s="36"/>
    </row>
    <row r="998" spans="12:12" ht="15.75" customHeight="1" x14ac:dyDescent="0.3">
      <c r="L998" s="36"/>
    </row>
    <row r="999" spans="12:12" ht="15.75" customHeight="1" x14ac:dyDescent="0.3">
      <c r="L999" s="36"/>
    </row>
    <row r="1000" spans="12:12" ht="15.75" customHeight="1" x14ac:dyDescent="0.3">
      <c r="L1000" s="36"/>
    </row>
  </sheetData>
  <scenarios current="0" sqref="D12">
    <scenario name="Mid Scenario" locked="1" count="5" user="Hp" comment="Created by Hp on 05/06/2022_x000a_Modified by Hp on 05/06/2022">
      <inputCells r="D2" val="30000" numFmtId="167"/>
      <inputCells r="D3" val="50000" numFmtId="168"/>
      <inputCells r="C6" val="20000" numFmtId="168"/>
      <inputCells r="B8" val="130" numFmtId="167"/>
      <inputCells r="C8" val="230000" numFmtId="168"/>
    </scenario>
  </scenario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20</vt:i4>
      </vt:variant>
    </vt:vector>
  </HeadingPairs>
  <TitlesOfParts>
    <vt:vector size="29" baseType="lpstr">
      <vt:lpstr>Description</vt:lpstr>
      <vt:lpstr>Data</vt:lpstr>
      <vt:lpstr>Employee</vt:lpstr>
      <vt:lpstr>Helper</vt:lpstr>
      <vt:lpstr>Pivot Location</vt:lpstr>
      <vt:lpstr>Pivot Customer dan Product Type</vt:lpstr>
      <vt:lpstr>What-if Scenario</vt:lpstr>
      <vt:lpstr>Scenario Manager Summary</vt:lpstr>
      <vt:lpstr>What-if Goal Seek</vt:lpstr>
      <vt:lpstr>'What-if Goal Seek'!Person</vt:lpstr>
      <vt:lpstr>'What-if Scenario'!Person</vt:lpstr>
      <vt:lpstr>'What-if Goal Seek'!Price</vt:lpstr>
      <vt:lpstr>'What-if Scenario'!Price</vt:lpstr>
      <vt:lpstr>'What-if Goal Seek'!Price_per_Manpower</vt:lpstr>
      <vt:lpstr>'What-if Scenario'!Price_per_Manpower</vt:lpstr>
      <vt:lpstr>'What-if Goal Seek'!Quantity</vt:lpstr>
      <vt:lpstr>'What-if Scenario'!Quantity</vt:lpstr>
      <vt:lpstr>'What-if Goal Seek'!Shipping_Cost</vt:lpstr>
      <vt:lpstr>'What-if Scenario'!Shipping_Cost</vt:lpstr>
      <vt:lpstr>'What-if Goal Seek'!solver_lhs1</vt:lpstr>
      <vt:lpstr>'What-if Scenario'!solver_lhs1</vt:lpstr>
      <vt:lpstr>'What-if Goal Seek'!solver_lhs2</vt:lpstr>
      <vt:lpstr>'What-if Scenario'!solver_lhs2</vt:lpstr>
      <vt:lpstr>'What-if Goal Seek'!solver_lhs3</vt:lpstr>
      <vt:lpstr>'What-if Scenario'!solver_lhs3</vt:lpstr>
      <vt:lpstr>'What-if Goal Seek'!solver_lhs4</vt:lpstr>
      <vt:lpstr>'What-if Scenario'!solver_lhs4</vt:lpstr>
      <vt:lpstr>'What-if Goal Seek'!solver_opt</vt:lpstr>
      <vt:lpstr>'What-if Scenario'!solver_opt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2022-06-02T06:36:24Z</dcterms:created>
  <dcterms:modified xsi:type="dcterms:W3CDTF">2022-06-05T02:41:58Z</dcterms:modified>
</cp:coreProperties>
</file>