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xampp\htdocs\exCell\"/>
    </mc:Choice>
  </mc:AlternateContent>
  <bookViews>
    <workbookView xWindow="120" yWindow="90" windowWidth="19020" windowHeight="11175" tabRatio="787" activeTab="1"/>
  </bookViews>
  <sheets>
    <sheet name="Personal Budget" sheetId="11" r:id="rId1"/>
    <sheet name="Daily Needs" sheetId="1" r:id="rId2"/>
    <sheet name="LD - SU and Carer" sheetId="7" r:id="rId3"/>
    <sheet name="Needs Calculation - Carer Input" sheetId="10" r:id="rId4"/>
    <sheet name="Need&amp;Task Time Combos" sheetId="2" r:id="rId5"/>
    <sheet name="LD Points" sheetId="9" r:id="rId6"/>
  </sheets>
  <calcPr calcId="152511"/>
</workbook>
</file>

<file path=xl/calcChain.xml><?xml version="1.0" encoding="utf-8"?>
<calcChain xmlns="http://schemas.openxmlformats.org/spreadsheetml/2006/main">
  <c r="B65" i="1" l="1"/>
  <c r="B60" i="1"/>
  <c r="B55" i="1"/>
  <c r="B53" i="10" l="1"/>
  <c r="C53" i="10"/>
  <c r="D53" i="10"/>
  <c r="E53" i="10"/>
  <c r="F53" i="10"/>
  <c r="G53" i="10"/>
  <c r="A53" i="10"/>
  <c r="A55" i="10"/>
  <c r="B44" i="10"/>
  <c r="C44" i="10"/>
  <c r="D44" i="10"/>
  <c r="E44" i="10"/>
  <c r="F44" i="10"/>
  <c r="G44" i="10"/>
  <c r="A44" i="10"/>
  <c r="B42" i="10"/>
  <c r="C42" i="10"/>
  <c r="D42" i="10"/>
  <c r="E42" i="10"/>
  <c r="F42" i="10"/>
  <c r="G42" i="10"/>
  <c r="A42" i="10"/>
  <c r="B41" i="10"/>
  <c r="C41" i="10"/>
  <c r="D41" i="10"/>
  <c r="E41" i="10"/>
  <c r="F41" i="10"/>
  <c r="G41" i="10"/>
  <c r="A41" i="10"/>
  <c r="B40" i="10"/>
  <c r="C40" i="10"/>
  <c r="D40" i="10"/>
  <c r="E40" i="10"/>
  <c r="F40" i="10"/>
  <c r="G40" i="10"/>
  <c r="A40" i="10"/>
  <c r="A45" i="10"/>
  <c r="B34" i="10" l="1"/>
  <c r="C34" i="10"/>
  <c r="D34" i="10"/>
  <c r="E34" i="10"/>
  <c r="F34" i="10"/>
  <c r="G34" i="10"/>
  <c r="A34" i="10"/>
  <c r="B32" i="10"/>
  <c r="C32" i="10"/>
  <c r="D32" i="10"/>
  <c r="E32" i="10"/>
  <c r="F32" i="10"/>
  <c r="G32" i="10"/>
  <c r="A32" i="10"/>
  <c r="B30" i="10"/>
  <c r="C30" i="10"/>
  <c r="D30" i="10"/>
  <c r="E30" i="10"/>
  <c r="F30" i="10"/>
  <c r="G30" i="10"/>
  <c r="A30" i="10"/>
  <c r="A35" i="10"/>
  <c r="A25" i="10"/>
  <c r="B84" i="10"/>
  <c r="C84" i="10"/>
  <c r="D84" i="10"/>
  <c r="E84" i="10"/>
  <c r="F84" i="10"/>
  <c r="G84" i="10"/>
  <c r="A84" i="10"/>
  <c r="B82" i="10"/>
  <c r="C82" i="10"/>
  <c r="D82" i="10"/>
  <c r="E82" i="10"/>
  <c r="F82" i="10"/>
  <c r="G82" i="10"/>
  <c r="A82" i="10"/>
  <c r="B103" i="10"/>
  <c r="C103" i="10"/>
  <c r="D103" i="10"/>
  <c r="E103" i="10"/>
  <c r="F103" i="10"/>
  <c r="G103" i="10"/>
  <c r="A103" i="10"/>
  <c r="B94" i="10"/>
  <c r="C94" i="10"/>
  <c r="D94" i="10"/>
  <c r="E94" i="10"/>
  <c r="F94" i="10"/>
  <c r="G94" i="10"/>
  <c r="A94" i="10"/>
  <c r="B92" i="10"/>
  <c r="C92" i="10"/>
  <c r="D92" i="10"/>
  <c r="E92" i="10"/>
  <c r="F92" i="10"/>
  <c r="G92" i="10"/>
  <c r="A92" i="10"/>
  <c r="B91" i="10"/>
  <c r="C91" i="10"/>
  <c r="D91" i="10"/>
  <c r="E91" i="10"/>
  <c r="F91" i="10"/>
  <c r="G91" i="10"/>
  <c r="A91" i="10"/>
  <c r="B90" i="10"/>
  <c r="C90" i="10"/>
  <c r="D90" i="10"/>
  <c r="E90" i="10"/>
  <c r="F90" i="10"/>
  <c r="G90" i="10"/>
  <c r="A90" i="10"/>
  <c r="B80" i="10"/>
  <c r="C80" i="10"/>
  <c r="D80" i="10"/>
  <c r="E80" i="10"/>
  <c r="F80" i="10"/>
  <c r="G80" i="10"/>
  <c r="A80" i="10"/>
  <c r="A85" i="10"/>
  <c r="A75" i="10"/>
  <c r="E29" i="7" l="1"/>
  <c r="C29" i="7"/>
  <c r="E28" i="7"/>
  <c r="C28" i="7"/>
  <c r="E27" i="7"/>
  <c r="C27" i="7"/>
  <c r="E26" i="7"/>
  <c r="C26" i="7"/>
  <c r="E25" i="7"/>
  <c r="C25" i="7"/>
  <c r="E24" i="7"/>
  <c r="C24" i="7"/>
  <c r="E23" i="7"/>
  <c r="C23" i="7"/>
  <c r="E22" i="7"/>
  <c r="C22" i="7"/>
  <c r="E21" i="7"/>
  <c r="C21" i="7"/>
  <c r="E20" i="7"/>
  <c r="C20" i="7"/>
  <c r="E19" i="7"/>
  <c r="C19" i="7"/>
  <c r="E18" i="7"/>
  <c r="C18" i="7"/>
  <c r="C15" i="7"/>
  <c r="C14" i="7"/>
  <c r="C13" i="7"/>
  <c r="C12" i="7"/>
  <c r="C11" i="7"/>
  <c r="C10" i="7"/>
  <c r="C9" i="7"/>
  <c r="C8" i="7"/>
  <c r="C7" i="7"/>
  <c r="C6" i="7"/>
  <c r="C5" i="7"/>
  <c r="C4" i="7"/>
  <c r="E32" i="7" l="1"/>
  <c r="F32" i="7" s="1"/>
  <c r="C32" i="7"/>
  <c r="D32" i="7" s="1"/>
  <c r="C48" i="1"/>
  <c r="E47" i="1" s="1"/>
  <c r="E43" i="1"/>
  <c r="E114" i="10" l="1"/>
  <c r="F119" i="10"/>
  <c r="B110" i="10"/>
  <c r="C33" i="1"/>
  <c r="B111" i="10" l="1"/>
  <c r="B121" i="10"/>
  <c r="H8" i="10" s="1"/>
  <c r="B120" i="10"/>
  <c r="H7" i="10" s="1"/>
  <c r="C23" i="1"/>
  <c r="C21" i="1"/>
  <c r="C26" i="1"/>
  <c r="C30" i="1"/>
  <c r="C28" i="1"/>
  <c r="E38" i="1"/>
  <c r="B11" i="10" s="1"/>
  <c r="C18" i="1"/>
  <c r="C16" i="1"/>
  <c r="C14" i="1"/>
  <c r="C12" i="1"/>
  <c r="C9" i="1"/>
  <c r="C7" i="1"/>
  <c r="C5" i="1"/>
  <c r="C3" i="1"/>
  <c r="C41" i="1"/>
  <c r="C39" i="1"/>
  <c r="C36" i="1"/>
  <c r="C11" i="10" l="1"/>
  <c r="F11" i="10"/>
  <c r="B61" i="10"/>
  <c r="E11" i="1"/>
  <c r="B13" i="10" s="1"/>
  <c r="E32" i="1"/>
  <c r="B14" i="10" s="1"/>
  <c r="E25" i="1"/>
  <c r="B15" i="10" s="1"/>
  <c r="E2" i="1"/>
  <c r="C15" i="10" l="1"/>
  <c r="F15" i="10"/>
  <c r="C13" i="10"/>
  <c r="F13" i="10"/>
  <c r="E50" i="10"/>
  <c r="B50" i="10"/>
  <c r="F50" i="10"/>
  <c r="C50" i="10"/>
  <c r="G50" i="10"/>
  <c r="D50" i="10"/>
  <c r="A50" i="10"/>
  <c r="C14" i="10"/>
  <c r="E14" i="10"/>
  <c r="D14" i="10"/>
  <c r="B20" i="10"/>
  <c r="G20" i="10"/>
  <c r="C20" i="10"/>
  <c r="A20" i="10"/>
  <c r="D20" i="10"/>
  <c r="E20" i="10"/>
  <c r="F20" i="10"/>
  <c r="A5" i="10"/>
  <c r="B10" i="11" s="1"/>
  <c r="B12" i="10"/>
  <c r="B62" i="10"/>
  <c r="F61" i="10"/>
  <c r="C61" i="10"/>
  <c r="B64" i="10"/>
  <c r="B65" i="10"/>
  <c r="B63" i="10"/>
  <c r="D33" i="10" l="1"/>
  <c r="A33" i="10"/>
  <c r="E33" i="10"/>
  <c r="B33" i="10"/>
  <c r="F33" i="10"/>
  <c r="C33" i="10"/>
  <c r="G33" i="10"/>
  <c r="B23" i="10"/>
  <c r="G23" i="10"/>
  <c r="C23" i="10"/>
  <c r="D23" i="10"/>
  <c r="A23" i="10"/>
  <c r="E23" i="10"/>
  <c r="F23" i="10"/>
  <c r="C52" i="10"/>
  <c r="G52" i="10"/>
  <c r="D52" i="10"/>
  <c r="A52" i="10"/>
  <c r="E52" i="10"/>
  <c r="B52" i="10"/>
  <c r="F52" i="10"/>
  <c r="E54" i="10"/>
  <c r="B54" i="10"/>
  <c r="F54" i="10"/>
  <c r="C54" i="10"/>
  <c r="G54" i="10"/>
  <c r="D54" i="10"/>
  <c r="A54" i="10"/>
  <c r="C43" i="10"/>
  <c r="C46" i="10" s="1"/>
  <c r="G43" i="10"/>
  <c r="G46" i="10" s="1"/>
  <c r="D43" i="10"/>
  <c r="D46" i="10" s="1"/>
  <c r="A43" i="10"/>
  <c r="A46" i="10" s="1"/>
  <c r="E43" i="10"/>
  <c r="E46" i="10" s="1"/>
  <c r="B43" i="10"/>
  <c r="B46" i="10" s="1"/>
  <c r="F43" i="10"/>
  <c r="F46" i="10" s="1"/>
  <c r="B22" i="10"/>
  <c r="E22" i="10"/>
  <c r="D22" i="10"/>
  <c r="G22" i="10"/>
  <c r="C22" i="10"/>
  <c r="A22" i="10"/>
  <c r="F22" i="10"/>
  <c r="B24" i="10"/>
  <c r="E24" i="10"/>
  <c r="A24" i="10"/>
  <c r="D24" i="10"/>
  <c r="G24" i="10"/>
  <c r="C24" i="10"/>
  <c r="F24" i="10"/>
  <c r="C12" i="10"/>
  <c r="D12" i="10"/>
  <c r="F12" i="10"/>
  <c r="E5" i="10"/>
  <c r="C5" i="10"/>
  <c r="B5" i="10"/>
  <c r="D5" i="10"/>
  <c r="B100" i="10"/>
  <c r="D100" i="10"/>
  <c r="F100" i="10"/>
  <c r="A100" i="10"/>
  <c r="C100" i="10"/>
  <c r="E100" i="10"/>
  <c r="G100" i="10"/>
  <c r="E70" i="10"/>
  <c r="B70" i="10"/>
  <c r="D70" i="10"/>
  <c r="F70" i="10"/>
  <c r="A70" i="10"/>
  <c r="C70" i="10"/>
  <c r="G70" i="10"/>
  <c r="D62" i="10"/>
  <c r="F62" i="10"/>
  <c r="C62" i="10"/>
  <c r="D64" i="10"/>
  <c r="E64" i="10"/>
  <c r="C64" i="10"/>
  <c r="F65" i="10"/>
  <c r="C65" i="10"/>
  <c r="C63" i="10"/>
  <c r="F63" i="10"/>
  <c r="H46" i="10" l="1"/>
  <c r="E16" i="10" s="1"/>
  <c r="B31" i="10"/>
  <c r="B36" i="10" s="1"/>
  <c r="F31" i="10"/>
  <c r="F36" i="10" s="1"/>
  <c r="C31" i="10"/>
  <c r="C36" i="10" s="1"/>
  <c r="G31" i="10"/>
  <c r="G36" i="10" s="1"/>
  <c r="D31" i="10"/>
  <c r="D36" i="10" s="1"/>
  <c r="A31" i="10"/>
  <c r="A36" i="10" s="1"/>
  <c r="E31" i="10"/>
  <c r="E36" i="10" s="1"/>
  <c r="F5" i="10"/>
  <c r="D51" i="10"/>
  <c r="D56" i="10" s="1"/>
  <c r="A51" i="10"/>
  <c r="A56" i="10" s="1"/>
  <c r="E51" i="10"/>
  <c r="E56" i="10" s="1"/>
  <c r="B51" i="10"/>
  <c r="B56" i="10" s="1"/>
  <c r="F51" i="10"/>
  <c r="F56" i="10" s="1"/>
  <c r="C51" i="10"/>
  <c r="C56" i="10" s="1"/>
  <c r="G51" i="10"/>
  <c r="G56" i="10" s="1"/>
  <c r="B21" i="10"/>
  <c r="B26" i="10" s="1"/>
  <c r="A21" i="10"/>
  <c r="A26" i="10" s="1"/>
  <c r="E21" i="10"/>
  <c r="E26" i="10" s="1"/>
  <c r="F21" i="10"/>
  <c r="F26" i="10" s="1"/>
  <c r="G21" i="10"/>
  <c r="G26" i="10" s="1"/>
  <c r="C21" i="10"/>
  <c r="C26" i="10" s="1"/>
  <c r="D21" i="10"/>
  <c r="D26" i="10" s="1"/>
  <c r="H4" i="10"/>
  <c r="C83" i="10"/>
  <c r="E83" i="10"/>
  <c r="G83" i="10"/>
  <c r="B83" i="10"/>
  <c r="D83" i="10"/>
  <c r="F83" i="10"/>
  <c r="A83" i="10"/>
  <c r="B81" i="10"/>
  <c r="D81" i="10"/>
  <c r="F81" i="10"/>
  <c r="A81" i="10"/>
  <c r="C81" i="10"/>
  <c r="E81" i="10"/>
  <c r="G81" i="10"/>
  <c r="B102" i="10"/>
  <c r="D102" i="10"/>
  <c r="F102" i="10"/>
  <c r="A102" i="10"/>
  <c r="C102" i="10"/>
  <c r="E102" i="10"/>
  <c r="G102" i="10"/>
  <c r="C101" i="10"/>
  <c r="E101" i="10"/>
  <c r="G101" i="10"/>
  <c r="B101" i="10"/>
  <c r="D101" i="10"/>
  <c r="F101" i="10"/>
  <c r="A101" i="10"/>
  <c r="B104" i="10"/>
  <c r="D104" i="10"/>
  <c r="F104" i="10"/>
  <c r="A104" i="10"/>
  <c r="C104" i="10"/>
  <c r="E104" i="10"/>
  <c r="G104" i="10"/>
  <c r="B93" i="10"/>
  <c r="B96" i="10" s="1"/>
  <c r="D93" i="10"/>
  <c r="D96" i="10" s="1"/>
  <c r="F93" i="10"/>
  <c r="F96" i="10" s="1"/>
  <c r="A93" i="10"/>
  <c r="A96" i="10" s="1"/>
  <c r="C93" i="10"/>
  <c r="C96" i="10" s="1"/>
  <c r="E93" i="10"/>
  <c r="E96" i="10" s="1"/>
  <c r="G93" i="10"/>
  <c r="G96" i="10" s="1"/>
  <c r="B106" i="10"/>
  <c r="D74" i="10"/>
  <c r="C74" i="10"/>
  <c r="E74" i="10"/>
  <c r="G74" i="10"/>
  <c r="B74" i="10"/>
  <c r="F74" i="10"/>
  <c r="A74" i="10"/>
  <c r="C73" i="10"/>
  <c r="G73" i="10"/>
  <c r="B73" i="10"/>
  <c r="D73" i="10"/>
  <c r="F73" i="10"/>
  <c r="A73" i="10"/>
  <c r="E73" i="10"/>
  <c r="B72" i="10"/>
  <c r="D72" i="10"/>
  <c r="F72" i="10"/>
  <c r="A72" i="10"/>
  <c r="C72" i="10"/>
  <c r="E72" i="10"/>
  <c r="G72" i="10"/>
  <c r="F71" i="10"/>
  <c r="A71" i="10"/>
  <c r="C71" i="10"/>
  <c r="E71" i="10"/>
  <c r="G71" i="10"/>
  <c r="B71" i="10"/>
  <c r="D71" i="10"/>
  <c r="H56" i="10" l="1"/>
  <c r="F16" i="10" s="1"/>
  <c r="H36" i="10"/>
  <c r="D16" i="10" s="1"/>
  <c r="H26" i="10"/>
  <c r="C16" i="10" s="1"/>
  <c r="F106" i="10"/>
  <c r="G106" i="10"/>
  <c r="C106" i="10"/>
  <c r="B76" i="10"/>
  <c r="E106" i="10"/>
  <c r="A106" i="10"/>
  <c r="D106" i="10"/>
  <c r="D76" i="10"/>
  <c r="G76" i="10"/>
  <c r="C76" i="10"/>
  <c r="F76" i="10"/>
  <c r="E76" i="10"/>
  <c r="A76" i="10"/>
  <c r="A86" i="10"/>
  <c r="D86" i="10"/>
  <c r="G86" i="10"/>
  <c r="C86" i="10"/>
  <c r="H96" i="10"/>
  <c r="E66" i="10" s="1"/>
  <c r="F86" i="10"/>
  <c r="B86" i="10"/>
  <c r="E86" i="10"/>
  <c r="G16" i="10" l="1"/>
  <c r="H5" i="10" s="1"/>
  <c r="B53" i="1" s="1"/>
  <c r="B56" i="1" s="1"/>
  <c r="B31" i="7" s="1"/>
  <c r="H76" i="10"/>
  <c r="C66" i="10" s="1"/>
  <c r="H106" i="10"/>
  <c r="F66" i="10" s="1"/>
  <c r="H86" i="10"/>
  <c r="D66" i="10" s="1"/>
  <c r="G66" i="10" l="1"/>
  <c r="B115" i="10" l="1"/>
  <c r="B116" i="10"/>
  <c r="H6" i="10"/>
  <c r="G32" i="7"/>
  <c r="H2" i="10" s="1"/>
  <c r="B6" i="11" l="1"/>
  <c r="B59" i="1"/>
  <c r="B61" i="1" s="1"/>
  <c r="B62" i="1" s="1"/>
  <c r="B64" i="1"/>
  <c r="B66" i="1" s="1"/>
  <c r="B7" i="11"/>
  <c r="B68" i="1" l="1"/>
  <c r="B71" i="1" s="1"/>
  <c r="B15" i="11"/>
  <c r="B14" i="11"/>
  <c r="B16" i="11" l="1"/>
  <c r="B57" i="1"/>
  <c r="B11" i="11" s="1"/>
  <c r="B18" i="11" s="1"/>
  <c r="B69" i="1" l="1"/>
  <c r="B72" i="1"/>
  <c r="B67" i="1"/>
</calcChain>
</file>

<file path=xl/comments1.xml><?xml version="1.0" encoding="utf-8"?>
<comments xmlns="http://schemas.openxmlformats.org/spreadsheetml/2006/main">
  <authors>
    <author>Mark Fairhurst</author>
  </authors>
  <commentList>
    <comment ref="B3" authorId="0" shapeId="0">
      <text>
        <r>
          <rPr>
            <b/>
            <sz val="9"/>
            <color indexed="81"/>
            <rFont val="Tahoma"/>
            <charset val="1"/>
          </rPr>
          <t>Mark Fairhurst:</t>
        </r>
        <r>
          <rPr>
            <sz val="9"/>
            <color indexed="81"/>
            <rFont val="Tahoma"/>
            <charset val="1"/>
          </rPr>
          <t xml:space="preserve">
type:input
name:toilet
default:No
dataType:string</t>
        </r>
      </text>
    </comment>
    <comment ref="B53" authorId="0" shapeId="0">
      <text>
        <r>
          <rPr>
            <b/>
            <sz val="9"/>
            <color indexed="81"/>
            <rFont val="Tahoma"/>
            <charset val="1"/>
          </rPr>
          <t>Mark Fairhurst:</t>
        </r>
        <r>
          <rPr>
            <sz val="9"/>
            <color indexed="81"/>
            <rFont val="Tahoma"/>
            <charset val="1"/>
          </rPr>
          <t xml:space="preserve">
type:output
name:CareTimeWeek
dataType:number</t>
        </r>
      </text>
    </comment>
  </commentList>
</comments>
</file>

<file path=xl/sharedStrings.xml><?xml version="1.0" encoding="utf-8"?>
<sst xmlns="http://schemas.openxmlformats.org/spreadsheetml/2006/main" count="774" uniqueCount="567">
  <si>
    <t>Toilet A</t>
  </si>
  <si>
    <t>Toilet B</t>
  </si>
  <si>
    <t>Can use toilet but need prompting or supervision</t>
  </si>
  <si>
    <t>I can't use toilet or incontinence pads without help</t>
  </si>
  <si>
    <t>Wash A</t>
  </si>
  <si>
    <t>I can wash but need prompting or supervision</t>
  </si>
  <si>
    <t>I can't wash/bathe/shower without help</t>
  </si>
  <si>
    <t>Wash B</t>
  </si>
  <si>
    <t>Wash C</t>
  </si>
  <si>
    <t>Incontinence</t>
  </si>
  <si>
    <t>Dress A</t>
  </si>
  <si>
    <t>I can't dress myself in the morning</t>
  </si>
  <si>
    <t>Dress B</t>
  </si>
  <si>
    <t>I can dress but need prompting or supervision</t>
  </si>
  <si>
    <t>I can't dress myself/get ready for bed without help</t>
  </si>
  <si>
    <t>Eat A</t>
  </si>
  <si>
    <t>Eat B</t>
  </si>
  <si>
    <t>I can make meals but need prompting or supervision</t>
  </si>
  <si>
    <t xml:space="preserve">Bed </t>
  </si>
  <si>
    <t>I can get in/out of bed but need prompting or supervision</t>
  </si>
  <si>
    <t>I can't prepare mail meal or snacks or drinks</t>
  </si>
  <si>
    <t>Eating:</t>
  </si>
  <si>
    <t>OR</t>
  </si>
  <si>
    <t>Bed</t>
  </si>
  <si>
    <t>I can't get in/out of bed without carers help (full time Wheelchair or 'Hoist' only)</t>
  </si>
  <si>
    <t>Yes</t>
  </si>
  <si>
    <t>No</t>
  </si>
  <si>
    <t xml:space="preserve">Unable to move round home </t>
  </si>
  <si>
    <t>Dressing</t>
  </si>
  <si>
    <t>Washing</t>
  </si>
  <si>
    <t>Toileting</t>
  </si>
  <si>
    <t>I can't get to the toilet and have or have need of a commode but CAN NOT empty myself</t>
  </si>
  <si>
    <t>(Full time Wheel Chair or Hoist only) I can't get to the toilet and have of have need of a commode but CAN NOT empty myself and do have someone to help me</t>
  </si>
  <si>
    <t>Answer</t>
  </si>
  <si>
    <t>(Full time Wheel Chair or Hoist only) I can wash but need prompting or supervision</t>
  </si>
  <si>
    <t>(Full time Wheel Chair or Hoist only) I can't wash/bathe/shower without help</t>
  </si>
  <si>
    <t>am (hours)</t>
  </si>
  <si>
    <t>lunch (hours)</t>
  </si>
  <si>
    <t xml:space="preserve">tea (hours) </t>
  </si>
  <si>
    <t>pm (hours)</t>
  </si>
  <si>
    <t>Comination</t>
  </si>
  <si>
    <t>DressA</t>
  </si>
  <si>
    <t>DressB</t>
  </si>
  <si>
    <t>ToiletA</t>
  </si>
  <si>
    <t>ToiletB</t>
  </si>
  <si>
    <t>WashA</t>
  </si>
  <si>
    <t>WashB</t>
  </si>
  <si>
    <t>WashC</t>
  </si>
  <si>
    <t>BedToiletA</t>
  </si>
  <si>
    <t>BedToiletB</t>
  </si>
  <si>
    <t>BedWashA</t>
  </si>
  <si>
    <t>BedWashB</t>
  </si>
  <si>
    <t>BedWashC</t>
  </si>
  <si>
    <t>BedDressA</t>
  </si>
  <si>
    <t>BedDressB</t>
  </si>
  <si>
    <t>BedEatA</t>
  </si>
  <si>
    <t>EatA</t>
  </si>
  <si>
    <t xml:space="preserve">BedToiletAWashA </t>
  </si>
  <si>
    <t xml:space="preserve">BedToiletAWashB </t>
  </si>
  <si>
    <t>Am</t>
  </si>
  <si>
    <t>Lunch</t>
  </si>
  <si>
    <t>Tea</t>
  </si>
  <si>
    <t>Pm</t>
  </si>
  <si>
    <t>Washing Additional Factors (please select only if one of the washing domains is appropriate):</t>
  </si>
  <si>
    <t>ToiletAWashA</t>
  </si>
  <si>
    <t>ToiletAWashB</t>
  </si>
  <si>
    <t>ToiletAWashC</t>
  </si>
  <si>
    <t>ToiletBWashA</t>
  </si>
  <si>
    <t>ToiletBWashC</t>
  </si>
  <si>
    <t>BedToiletAWashC</t>
  </si>
  <si>
    <t>BedToiletBWashA</t>
  </si>
  <si>
    <t>BedToiletBWashB</t>
  </si>
  <si>
    <t>BedToiletBWashC</t>
  </si>
  <si>
    <t>ToiletADressA</t>
  </si>
  <si>
    <t>ToiletADressB</t>
  </si>
  <si>
    <t>ToiletBDressA</t>
  </si>
  <si>
    <t>ToiletBDressB</t>
  </si>
  <si>
    <t>ToiletBEatA</t>
  </si>
  <si>
    <t>ToiletAEatA</t>
  </si>
  <si>
    <t>ToiletAEatB</t>
  </si>
  <si>
    <t>ToiletBEatB</t>
  </si>
  <si>
    <t>BedToiletADressA</t>
  </si>
  <si>
    <t>BedToiletBDressA</t>
  </si>
  <si>
    <t>BedToiletBDressB</t>
  </si>
  <si>
    <t>BedToiletAEatB</t>
  </si>
  <si>
    <t>BedToiletAEatA</t>
  </si>
  <si>
    <t>BedToiletBEatA</t>
  </si>
  <si>
    <t>BedToiletBEatB</t>
  </si>
  <si>
    <t>WashADressA</t>
  </si>
  <si>
    <t>BedToiletBWashCEatBDressB</t>
  </si>
  <si>
    <t>BedToiletBWashBEatBDressB</t>
  </si>
  <si>
    <t>BedToiletAWashBEatBDressB</t>
  </si>
  <si>
    <t>BedToiletBWashAEatBDressB</t>
  </si>
  <si>
    <t>BedToiletAWashAEatBDressB</t>
  </si>
  <si>
    <t>BedToiletBWashCEatADressB</t>
  </si>
  <si>
    <t>BedToiletAWashCEatADressB</t>
  </si>
  <si>
    <t>BedToiletBWashBEatADressB</t>
  </si>
  <si>
    <t>BedToiletAWashBEatADressB</t>
  </si>
  <si>
    <t>BedToiletBWashAEatADressB</t>
  </si>
  <si>
    <t>BedToiletAWashAEatADressB</t>
  </si>
  <si>
    <t>BedToiletBWashCEatBDressA</t>
  </si>
  <si>
    <t>BedToiletAWashCEatBDressA</t>
  </si>
  <si>
    <t>BedToiletBWashBEatBDressA</t>
  </si>
  <si>
    <t>BedToiletAWashBEatBDressA</t>
  </si>
  <si>
    <t>BedToiletBWashAEatBDressA</t>
  </si>
  <si>
    <t>BedToiletAWashAEatBDressA</t>
  </si>
  <si>
    <t>BedToiletBWashCEatADressA</t>
  </si>
  <si>
    <t>BedToiletAWashCEatADressA</t>
  </si>
  <si>
    <t>BedToiletBWashBEatADressA</t>
  </si>
  <si>
    <t>BedToiletAWashBEatADressA</t>
  </si>
  <si>
    <t>BedToiletBWashAEatADressA</t>
  </si>
  <si>
    <t>ToiletBWashCEatBDressB</t>
  </si>
  <si>
    <t>Need Combination:</t>
  </si>
  <si>
    <t>WashBDressA</t>
  </si>
  <si>
    <t>WashCDressA</t>
  </si>
  <si>
    <t>WashADressB</t>
  </si>
  <si>
    <t>WashBDressB</t>
  </si>
  <si>
    <t>WashCDressB</t>
  </si>
  <si>
    <t>WashAEatA</t>
  </si>
  <si>
    <t>WashBEatA</t>
  </si>
  <si>
    <t>WashCEatA</t>
  </si>
  <si>
    <t>WashAEatB</t>
  </si>
  <si>
    <t>WashBEatB</t>
  </si>
  <si>
    <t>WashCEatB</t>
  </si>
  <si>
    <t>WashAEatADressA</t>
  </si>
  <si>
    <t>WashBEatADressA</t>
  </si>
  <si>
    <t>WashCEatADressA</t>
  </si>
  <si>
    <t>WashAEatADressB</t>
  </si>
  <si>
    <t>WashBEatADressB</t>
  </si>
  <si>
    <t>WashCEatADressB</t>
  </si>
  <si>
    <t>WashAEatBDressA</t>
  </si>
  <si>
    <t>WashBEatBDressA</t>
  </si>
  <si>
    <t>WashCEatBDressA</t>
  </si>
  <si>
    <t>WashAEatBDressB</t>
  </si>
  <si>
    <t>WashBEatBDressB</t>
  </si>
  <si>
    <t>WashCEatBDressB</t>
  </si>
  <si>
    <t>BedWashAEatADressA</t>
  </si>
  <si>
    <t>ToiletAWashAEatA</t>
  </si>
  <si>
    <t>ToiletBWashAEatA</t>
  </si>
  <si>
    <t>ToiletAWashBEatA</t>
  </si>
  <si>
    <t>ToiletBWashBEatA</t>
  </si>
  <si>
    <t>ToiletAWashCEatA</t>
  </si>
  <si>
    <t>ToiletBWashCEatA</t>
  </si>
  <si>
    <t>ToiletAWashAEatB</t>
  </si>
  <si>
    <t>ToiletBWashAEatB</t>
  </si>
  <si>
    <t>ToiletAWashBEatB</t>
  </si>
  <si>
    <t>ToiletBWashBEatB</t>
  </si>
  <si>
    <t>ToiletAWashCEatB</t>
  </si>
  <si>
    <t>ToiletBWashCEatB</t>
  </si>
  <si>
    <t>ToiletAWashAEatADressA</t>
  </si>
  <si>
    <t>ToiletBWashAEatADressA</t>
  </si>
  <si>
    <t>ToiletAWashBEatADressA</t>
  </si>
  <si>
    <t>ToiletBWashBEatADressA</t>
  </si>
  <si>
    <t>ToiletAWashCEatADressA</t>
  </si>
  <si>
    <t>ToiletBWashCEatADressA</t>
  </si>
  <si>
    <t>ToiletAWashAEatBDressA</t>
  </si>
  <si>
    <t>ToiletBWashAEatBDressA</t>
  </si>
  <si>
    <t>ToiletAWashBEatBDressA</t>
  </si>
  <si>
    <t>ToiletBWashBEatBDressA</t>
  </si>
  <si>
    <t>ToiletAWashCEatBDressA</t>
  </si>
  <si>
    <t>ToiletBWashCEatBDressA</t>
  </si>
  <si>
    <t>ToiletAWashAEatADressB</t>
  </si>
  <si>
    <t>ToiletBWashAEatADressB</t>
  </si>
  <si>
    <t>ToiletAWashBEatADressB</t>
  </si>
  <si>
    <t>ToiletBWashBEatADressB</t>
  </si>
  <si>
    <t>ToiletAWashCEatADressB</t>
  </si>
  <si>
    <t>ToiletBWashCEatADressB</t>
  </si>
  <si>
    <t>ToiletAWashAEatBDressB</t>
  </si>
  <si>
    <t>ToiletBWashAEatBDressB</t>
  </si>
  <si>
    <t>ToiletAWashBEatBDressB</t>
  </si>
  <si>
    <t>ToiletBWashBEatBDressB</t>
  </si>
  <si>
    <t>ToiletAWashCEatBDressB</t>
  </si>
  <si>
    <t>BedToiletAWashCEatBDressB</t>
  </si>
  <si>
    <t>BedToiletAWashAEatADressA</t>
  </si>
  <si>
    <t>ToiletBWashB</t>
  </si>
  <si>
    <t>BedEatB</t>
  </si>
  <si>
    <t>ToiletAEatBDressA</t>
  </si>
  <si>
    <t>ToiletAEatADressA</t>
  </si>
  <si>
    <t>ToiletBEatADressA</t>
  </si>
  <si>
    <t>ToiletAEatADressB</t>
  </si>
  <si>
    <t>ToiletBEatADressB</t>
  </si>
  <si>
    <t>EatB</t>
  </si>
  <si>
    <t>EatADressA</t>
  </si>
  <si>
    <t>EatBDressA</t>
  </si>
  <si>
    <t>EatADressB</t>
  </si>
  <si>
    <t>EatBDressB</t>
  </si>
  <si>
    <t>BedWashADressA</t>
  </si>
  <si>
    <t>BedWashBDressA</t>
  </si>
  <si>
    <t>BedWashCDressA</t>
  </si>
  <si>
    <t>BedWashADressB</t>
  </si>
  <si>
    <t>BedWashBDressB</t>
  </si>
  <si>
    <t>BedWashCDressB</t>
  </si>
  <si>
    <t>BedWashAEatA</t>
  </si>
  <si>
    <t>BedWashBEatA</t>
  </si>
  <si>
    <t>BedWashCEatA</t>
  </si>
  <si>
    <t>BedWashAEatB</t>
  </si>
  <si>
    <t>BedWashBEatB</t>
  </si>
  <si>
    <t>BedWashCEatB</t>
  </si>
  <si>
    <t>ToiletBEatBDressA</t>
  </si>
  <si>
    <t>ToiletAEatBDressB</t>
  </si>
  <si>
    <t>ToiletBEatBDressB</t>
  </si>
  <si>
    <t>ToiletAWashADressA</t>
  </si>
  <si>
    <t>ToiletBWashADressA</t>
  </si>
  <si>
    <t>ToiletAWashBDressA</t>
  </si>
  <si>
    <t>ToiletBWashBDressA</t>
  </si>
  <si>
    <t>ToiletAWashCDressA</t>
  </si>
  <si>
    <t>ToiletBWashCDressA</t>
  </si>
  <si>
    <t>ToiletAWashADressB</t>
  </si>
  <si>
    <t>ToiletBWashADressB</t>
  </si>
  <si>
    <t>ToiletAWashBDressB</t>
  </si>
  <si>
    <t>ToiletWashBDressB</t>
  </si>
  <si>
    <t>ToiletAWashCDressB</t>
  </si>
  <si>
    <t>ToiletBWashCDressB</t>
  </si>
  <si>
    <t>BedToiletADressB</t>
  </si>
  <si>
    <t>BedWashBEatADressA</t>
  </si>
  <si>
    <t>BedWashAEatADressB</t>
  </si>
  <si>
    <t>BedWashCEatADressA</t>
  </si>
  <si>
    <t>BedWashBEatADressB</t>
  </si>
  <si>
    <t>BedWashCEatADressB</t>
  </si>
  <si>
    <t>BedWashAEatBDressA</t>
  </si>
  <si>
    <t>BedWashBEatBDressA</t>
  </si>
  <si>
    <t>BedWashCEatBDressA</t>
  </si>
  <si>
    <t>BedWashAEatBDressB</t>
  </si>
  <si>
    <t>BedWashBEatBDressB</t>
  </si>
  <si>
    <t>BedWashCEatBDressB</t>
  </si>
  <si>
    <t>BedToiletAEatADressA</t>
  </si>
  <si>
    <t>BedToiletBEatADressA</t>
  </si>
  <si>
    <t>BedToiletAEatADressB</t>
  </si>
  <si>
    <t>BedToiletBEatADressB</t>
  </si>
  <si>
    <t>BedToiletAEatBDressA</t>
  </si>
  <si>
    <t>BedToiletBEatBDressA</t>
  </si>
  <si>
    <t>BedToiletAEatBDressB</t>
  </si>
  <si>
    <t>BedToiletBEatBDressB</t>
  </si>
  <si>
    <t>BedEatADressA</t>
  </si>
  <si>
    <t>BedEatADressB</t>
  </si>
  <si>
    <t>BedEatBDressA</t>
  </si>
  <si>
    <t>BedEatBDressB</t>
  </si>
  <si>
    <t>BedToiletAWashADressA</t>
  </si>
  <si>
    <t>BedToiletBWashADressA</t>
  </si>
  <si>
    <t>BedToiletAWashBDressA</t>
  </si>
  <si>
    <t>BedToiletBWashBDressA</t>
  </si>
  <si>
    <t>BedToiletAWashCDressA</t>
  </si>
  <si>
    <t>BedToiletBWashCDressA</t>
  </si>
  <si>
    <t>BedToiletAWashADressB</t>
  </si>
  <si>
    <t>BedToiletBWashADressB</t>
  </si>
  <si>
    <t>BedToiletAWashBDressB</t>
  </si>
  <si>
    <t>BedToiletBWashBDressB</t>
  </si>
  <si>
    <t>BedToiletAWashCDressB</t>
  </si>
  <si>
    <t>BedToiletBWashCDressB</t>
  </si>
  <si>
    <t xml:space="preserve">BedToiletAWashAEatA  </t>
  </si>
  <si>
    <t>BedToiletBWashAEatA</t>
  </si>
  <si>
    <t>BedToiletAWashBEatA</t>
  </si>
  <si>
    <t>BedToiletBWashBEatA</t>
  </si>
  <si>
    <t>BedToiletAWashCEatA</t>
  </si>
  <si>
    <t>BedToiletBWashCEatA</t>
  </si>
  <si>
    <t>BedToiletAWashAEatB</t>
  </si>
  <si>
    <t>BedToiletBWashAEatB</t>
  </si>
  <si>
    <t>BedToiletAWashBEatB</t>
  </si>
  <si>
    <t>BedToiletBWashBEatB</t>
  </si>
  <si>
    <t>BedToiletAWashCEatB</t>
  </si>
  <si>
    <t>BedToiletBWashCEatB</t>
  </si>
  <si>
    <t>Calculated Need Level:</t>
  </si>
  <si>
    <t>Resultant Need Combination and task times</t>
  </si>
  <si>
    <t>Personal Helper</t>
  </si>
  <si>
    <t xml:space="preserve">Sum of all paid carer time required </t>
  </si>
  <si>
    <r>
      <t>If SU has no carers</t>
    </r>
    <r>
      <rPr>
        <sz val="10"/>
        <rFont val="Verdana"/>
        <family val="2"/>
      </rPr>
      <t xml:space="preserve"> sum =</t>
    </r>
    <r>
      <rPr>
        <sz val="10"/>
        <color indexed="48"/>
        <rFont val="Verdana"/>
        <family val="2"/>
      </rPr>
      <t xml:space="preserve"> "hrs per day" x 7 x carer rate </t>
    </r>
  </si>
  <si>
    <t>Identify level of need:</t>
  </si>
  <si>
    <t>Toileting = Level A or B</t>
  </si>
  <si>
    <t>Wash  = Level A or B or C</t>
  </si>
  <si>
    <t>Dress  = Level A or B</t>
  </si>
  <si>
    <t>Eat  = Level A or B</t>
  </si>
  <si>
    <r>
      <t>"hrs per day"</t>
    </r>
    <r>
      <rPr>
        <sz val="10"/>
        <rFont val="Verdana"/>
        <family val="2"/>
      </rPr>
      <t xml:space="preserve"> : see in Look up  </t>
    </r>
  </si>
  <si>
    <t>Look up table covers ondividual domains and all combinations thereforeay" are factored and shown as combination line in Look up</t>
  </si>
  <si>
    <t>Carer rate</t>
  </si>
  <si>
    <r>
      <t>If SU has unpaid carers</t>
    </r>
    <r>
      <rPr>
        <sz val="10"/>
        <rFont val="Verdana"/>
        <family val="2"/>
      </rPr>
      <t xml:space="preserve"> sum is Care needed - support given by unpaid carers. (which needs to be calculated by number of days per time slot (am, lunch. Tea or pm)</t>
    </r>
  </si>
  <si>
    <r>
      <t xml:space="preserve">SU states </t>
    </r>
    <r>
      <rPr>
        <b/>
        <sz val="10"/>
        <rFont val="Verdana"/>
        <family val="2"/>
      </rPr>
      <t>how many days</t>
    </r>
    <r>
      <rPr>
        <sz val="10"/>
        <rFont val="Verdana"/>
        <family val="2"/>
      </rPr>
      <t xml:space="preserve"> they have unpaid carer for each domain for each time of day.</t>
    </r>
  </si>
  <si>
    <t>In Toliet</t>
  </si>
  <si>
    <t>am</t>
  </si>
  <si>
    <t>lunch</t>
  </si>
  <si>
    <t>tea</t>
  </si>
  <si>
    <t>pm</t>
  </si>
  <si>
    <t>Wash</t>
  </si>
  <si>
    <t>Dress</t>
  </si>
  <si>
    <t>Eat</t>
  </si>
  <si>
    <t xml:space="preserve">1. System determines whether a single combo, based on AM needs, can be applied to all slots through out the day (AM, L, Tea, PM) </t>
  </si>
  <si>
    <t>i.e No additional combos/individual tasks are required (by default No of days for each "need" is the consistent within each time slot).</t>
  </si>
  <si>
    <t>AM</t>
  </si>
  <si>
    <t>L</t>
  </si>
  <si>
    <t>T</t>
  </si>
  <si>
    <t>PM</t>
  </si>
  <si>
    <t>Care REQUIRED</t>
  </si>
  <si>
    <t>WC</t>
  </si>
  <si>
    <t>DB</t>
  </si>
  <si>
    <t>EA</t>
  </si>
  <si>
    <t>B</t>
  </si>
  <si>
    <t>TB</t>
  </si>
  <si>
    <t>Formula =</t>
  </si>
  <si>
    <t>WC+DB+EA+TB+B</t>
  </si>
  <si>
    <t xml:space="preserve"> x 7</t>
  </si>
  <si>
    <t xml:space="preserve"> x 2</t>
  </si>
  <si>
    <t xml:space="preserve"> x 5</t>
  </si>
  <si>
    <t>2. If Not: Using a recursive process it will determine, by timeslot, the minimum set of combos/individual tasks required to complete the tasks.</t>
  </si>
  <si>
    <t>Calculation:</t>
  </si>
  <si>
    <t>Combo 1</t>
  </si>
  <si>
    <t xml:space="preserve"> x 1</t>
  </si>
  <si>
    <t>Combo 2</t>
  </si>
  <si>
    <t>WC+DB+TB+B</t>
  </si>
  <si>
    <t xml:space="preserve"> x 6</t>
  </si>
  <si>
    <t>Single a</t>
  </si>
  <si>
    <t>x 2</t>
  </si>
  <si>
    <t>Combo 3</t>
  </si>
  <si>
    <t>EA+TB</t>
  </si>
  <si>
    <t>x 4</t>
  </si>
  <si>
    <t>Single b</t>
  </si>
  <si>
    <t>Combo 4</t>
  </si>
  <si>
    <t>When combos merged:</t>
  </si>
  <si>
    <t>Formulae:</t>
  </si>
  <si>
    <t>3. The unpaid carer hrs, for respite, will apply exactly the same formulae using the unpaid days.</t>
  </si>
  <si>
    <r>
      <rPr>
        <b/>
        <sz val="11"/>
        <rFont val="Calibri"/>
        <family val="2"/>
        <scheme val="minor"/>
      </rPr>
      <t>And</t>
    </r>
    <r>
      <rPr>
        <sz val="11"/>
        <rFont val="Calibri"/>
        <family val="2"/>
        <scheme val="minor"/>
      </rPr>
      <t>, do you need carer to be there when you eat?</t>
    </r>
  </si>
  <si>
    <t>Learning disability</t>
  </si>
  <si>
    <t>Mild disability</t>
  </si>
  <si>
    <t>Carer</t>
  </si>
  <si>
    <t xml:space="preserve">Single/Couple </t>
  </si>
  <si>
    <t xml:space="preserve">Single </t>
  </si>
  <si>
    <t>Moderate disability</t>
  </si>
  <si>
    <t xml:space="preserve">Partner helps </t>
  </si>
  <si>
    <t>Severe disability</t>
  </si>
  <si>
    <t>Partner unable to help</t>
  </si>
  <si>
    <t>Communications</t>
  </si>
  <si>
    <t xml:space="preserve">No concerns </t>
  </si>
  <si>
    <t xml:space="preserve">Paid employment </t>
  </si>
  <si>
    <t>No paid work</t>
  </si>
  <si>
    <t>Have difficulties</t>
  </si>
  <si>
    <t>No work problems</t>
  </si>
  <si>
    <t>Use aids</t>
  </si>
  <si>
    <t>Wish I could work</t>
  </si>
  <si>
    <t>Non Verbal</t>
  </si>
  <si>
    <t>Work creates problems</t>
  </si>
  <si>
    <t>Behaviour</t>
  </si>
  <si>
    <t>Support from others</t>
  </si>
  <si>
    <t xml:space="preserve">None </t>
  </si>
  <si>
    <t>Unpredictable</t>
  </si>
  <si>
    <t>Some</t>
  </si>
  <si>
    <t xml:space="preserve">Disruptive </t>
  </si>
  <si>
    <t>A lot</t>
  </si>
  <si>
    <t>Challenging</t>
  </si>
  <si>
    <t xml:space="preserve">Others I care for </t>
  </si>
  <si>
    <t>Sensory</t>
  </si>
  <si>
    <t>Other family/children</t>
  </si>
  <si>
    <t>Hearing impairment</t>
  </si>
  <si>
    <t>Disabled adults/child</t>
  </si>
  <si>
    <t>Visual impairment</t>
  </si>
  <si>
    <t xml:space="preserve">Health problems </t>
  </si>
  <si>
    <t xml:space="preserve">Light/sound sensitive </t>
  </si>
  <si>
    <t xml:space="preserve">Unwell now </t>
  </si>
  <si>
    <t>Hearing &amp; Visual</t>
  </si>
  <si>
    <t xml:space="preserve">Ongoing problems </t>
  </si>
  <si>
    <t>All three</t>
  </si>
  <si>
    <t xml:space="preserve">Stress &amp; sleep </t>
  </si>
  <si>
    <t xml:space="preserve">No problems </t>
  </si>
  <si>
    <t>Health</t>
  </si>
  <si>
    <t xml:space="preserve">Sleep deprived </t>
  </si>
  <si>
    <t>On prescibed meds</t>
  </si>
  <si>
    <t xml:space="preserve">Find life very stressful </t>
  </si>
  <si>
    <t>Regular hospital appt</t>
  </si>
  <si>
    <t xml:space="preserve">Financial security </t>
  </si>
  <si>
    <t xml:space="preserve">OK financially </t>
  </si>
  <si>
    <t>Conerns about health</t>
  </si>
  <si>
    <t xml:space="preserve">Can make ends meet </t>
  </si>
  <si>
    <t>Specific conditions</t>
  </si>
  <si>
    <t>None</t>
  </si>
  <si>
    <t xml:space="preserve">Have money problems </t>
  </si>
  <si>
    <t xml:space="preserve">Epilepsy </t>
  </si>
  <si>
    <t xml:space="preserve">Personal disabilities </t>
  </si>
  <si>
    <t xml:space="preserve">Autism </t>
  </si>
  <si>
    <t>No impact on my role</t>
  </si>
  <si>
    <t xml:space="preserve">Dysphagia </t>
  </si>
  <si>
    <t>Physical problems</t>
  </si>
  <si>
    <t>Dementia</t>
  </si>
  <si>
    <t>Sensory problems</t>
  </si>
  <si>
    <t>Any two</t>
  </si>
  <si>
    <t>Physical &amp; Sensory</t>
  </si>
  <si>
    <t>Emotional</t>
  </si>
  <si>
    <t xml:space="preserve">Emotional well being </t>
  </si>
  <si>
    <t>Anxious</t>
  </si>
  <si>
    <t xml:space="preserve">Minor &amp; controlled </t>
  </si>
  <si>
    <t>Withdrawn</t>
  </si>
  <si>
    <t xml:space="preserve">Receiving treatment </t>
  </si>
  <si>
    <t>Anger</t>
  </si>
  <si>
    <t>At breaking point</t>
  </si>
  <si>
    <t>Sleeping</t>
  </si>
  <si>
    <t>Ability to cope</t>
  </si>
  <si>
    <t xml:space="preserve">Don't sleep enough </t>
  </si>
  <si>
    <t>Struggling to keep up</t>
  </si>
  <si>
    <t xml:space="preserve">Sleep pattern issues </t>
  </si>
  <si>
    <t xml:space="preserve">Unsustainable like this </t>
  </si>
  <si>
    <t>Making relationships</t>
  </si>
  <si>
    <t>Unable to continue</t>
  </si>
  <si>
    <t>Hard to make friends</t>
  </si>
  <si>
    <t>Impact on life</t>
  </si>
  <si>
    <t xml:space="preserve">Socially isolated </t>
  </si>
  <si>
    <t>Affects my family life</t>
  </si>
  <si>
    <t xml:space="preserve">Vulnerable individual </t>
  </si>
  <si>
    <t>Affects my social life</t>
  </si>
  <si>
    <t>Vulnerable to others</t>
  </si>
  <si>
    <t>Affects both</t>
  </si>
  <si>
    <t>Socially vulnerable</t>
  </si>
  <si>
    <t>Age</t>
  </si>
  <si>
    <t>0-65</t>
  </si>
  <si>
    <t>Unaware of danger</t>
  </si>
  <si>
    <t>65-70</t>
  </si>
  <si>
    <t>Daytime activity</t>
  </si>
  <si>
    <t>70 plus</t>
  </si>
  <si>
    <t>Day services</t>
  </si>
  <si>
    <t>other activities</t>
  </si>
  <si>
    <t>more than 1 of these</t>
  </si>
  <si>
    <t>Transport</t>
  </si>
  <si>
    <t>Can't travel alone</t>
  </si>
  <si>
    <t>Need an escort</t>
  </si>
  <si>
    <t xml:space="preserve">Out &amp; about </t>
  </si>
  <si>
    <t xml:space="preserve">I can't get out &amp; my quality of life is seriously affected </t>
  </si>
  <si>
    <t>Out and About needs</t>
  </si>
  <si>
    <t>Care Hours</t>
  </si>
  <si>
    <t>Days Day-care</t>
  </si>
  <si>
    <t>7 – 13 hours</t>
  </si>
  <si>
    <t>1 day + 2 weeks</t>
  </si>
  <si>
    <t>14 – 20 hours</t>
  </si>
  <si>
    <t>2 days + 4 weeks</t>
  </si>
  <si>
    <t>21 hours</t>
  </si>
  <si>
    <t>3 days + 6 weeks</t>
  </si>
  <si>
    <t>ALWAYS give 3 days day care + 6 weeks respite</t>
  </si>
  <si>
    <t>Feeling Safe</t>
  </si>
  <si>
    <t>I do things I don’t know I've done or that put me at risk</t>
  </si>
  <si>
    <t>Even with alarms and sensors I'd be unable to live at home alone</t>
  </si>
  <si>
    <t>Feeling Safe - "I do things I don’t know I've done or that put me at risk"</t>
  </si>
  <si>
    <t>Feeling Safe - "Even with alarms and sensors I'd be unable to live at home alone"</t>
  </si>
  <si>
    <t>No needs in "Feeling Safe"</t>
  </si>
  <si>
    <t>Total calculated unpaid care is applied to the table below to establish a Day Care Offer</t>
  </si>
  <si>
    <r>
      <t xml:space="preserve">Unpaid care/wk =&gt; </t>
    </r>
    <r>
      <rPr>
        <b/>
        <sz val="10"/>
        <rFont val="Calibri"/>
        <family val="2"/>
        <scheme val="minor"/>
      </rPr>
      <t>7hrs</t>
    </r>
    <r>
      <rPr>
        <sz val="11"/>
        <color theme="1"/>
        <rFont val="Calibri"/>
        <family val="2"/>
        <scheme val="minor"/>
      </rPr>
      <t xml:space="preserve"> </t>
    </r>
  </si>
  <si>
    <r>
      <t xml:space="preserve">Unpaid care/wk =&gt; </t>
    </r>
    <r>
      <rPr>
        <b/>
        <sz val="10"/>
        <rFont val="Calibri"/>
        <family val="2"/>
        <scheme val="minor"/>
      </rPr>
      <t>14hrs</t>
    </r>
    <r>
      <rPr>
        <sz val="11"/>
        <color theme="1"/>
        <rFont val="Calibri"/>
        <family val="2"/>
        <scheme val="minor"/>
      </rPr>
      <t xml:space="preserve"> </t>
    </r>
  </si>
  <si>
    <r>
      <t xml:space="preserve">Unpaid care/wk =&gt; </t>
    </r>
    <r>
      <rPr>
        <b/>
        <sz val="10"/>
        <rFont val="Calibri"/>
        <family val="2"/>
        <scheme val="minor"/>
      </rPr>
      <t>21hrs</t>
    </r>
    <r>
      <rPr>
        <sz val="11"/>
        <color theme="1"/>
        <rFont val="Calibri"/>
        <family val="2"/>
        <scheme val="minor"/>
      </rPr>
      <t xml:space="preserve"> </t>
    </r>
  </si>
  <si>
    <t>YPDT (under 65)</t>
  </si>
  <si>
    <t>under 65</t>
  </si>
  <si>
    <t>OPS Standard</t>
  </si>
  <si>
    <t>65+</t>
  </si>
  <si>
    <t>Day Care Rates</t>
  </si>
  <si>
    <t>Cost Per Day</t>
  </si>
  <si>
    <t>YDPT (under 65)</t>
  </si>
  <si>
    <t>OPS Higher</t>
  </si>
  <si>
    <t>Cost Per Week</t>
  </si>
  <si>
    <t>Respite Rates</t>
  </si>
  <si>
    <t>Classified as: Wash B or C + Dress B + Toilet + Eat B</t>
  </si>
  <si>
    <t>Carer involvement Day Care/Respite Offer</t>
  </si>
  <si>
    <t>Age Range</t>
  </si>
  <si>
    <t>Calculation and Rates</t>
  </si>
  <si>
    <t>Respite and Day Care added to weekly budget.  Weekly amount calculated as:</t>
  </si>
  <si>
    <t>Sum = (Days Day Care x Day Care Rate)+((No weeks respite x (Residential Rate))/52)</t>
  </si>
  <si>
    <t>Service User</t>
  </si>
  <si>
    <t>Days</t>
  </si>
  <si>
    <t>Nights</t>
  </si>
  <si>
    <t>College/At work</t>
  </si>
  <si>
    <t>Points</t>
  </si>
  <si>
    <t>Total Points</t>
  </si>
  <si>
    <t>0-20</t>
  </si>
  <si>
    <t>21-30</t>
  </si>
  <si>
    <t>31 - 50</t>
  </si>
  <si>
    <t>51 - 88</t>
  </si>
  <si>
    <t>Day points to Day Care Days</t>
  </si>
  <si>
    <t xml:space="preserve">Days </t>
  </si>
  <si>
    <t>Night points to weeks Respite</t>
  </si>
  <si>
    <t>0 - 9</t>
  </si>
  <si>
    <t>10 - 19</t>
  </si>
  <si>
    <t>20 - 29</t>
  </si>
  <si>
    <t>30 - 39</t>
  </si>
  <si>
    <t>40 - 49</t>
  </si>
  <si>
    <t>50 - 55</t>
  </si>
  <si>
    <t>Learning Disability</t>
  </si>
  <si>
    <t>Outcome:</t>
  </si>
  <si>
    <t>Day Care Rate</t>
  </si>
  <si>
    <t>Nightly Rate</t>
  </si>
  <si>
    <t>Provisional Weekly Personal Budget:</t>
  </si>
  <si>
    <t>Paid employment</t>
  </si>
  <si>
    <t>Others I care for</t>
  </si>
  <si>
    <t>Health problems</t>
  </si>
  <si>
    <t>Stress &amp; sleep</t>
  </si>
  <si>
    <t>Financial security</t>
  </si>
  <si>
    <t>Personal disabilities</t>
  </si>
  <si>
    <t>Emotional well being</t>
  </si>
  <si>
    <t>Select the appropriate choice within each applicable 'domain'</t>
  </si>
  <si>
    <t>(this rule may need to be expanded as some users need additional days day care for those days not at college; suggestion has been that the user indicates amount of college days and these are factored in.  Although this is not shown in this spreadsheet, I'm sure this is a calculation that could be achieved in a spreadsheet and, therefore, the OLM software)</t>
  </si>
  <si>
    <t>1) All appropriate choices selected</t>
  </si>
  <si>
    <t>Process:</t>
  </si>
  <si>
    <t>2) Selections define the points for the separate 'Days' and 'Nights' provision (and subsequently the PB)</t>
  </si>
  <si>
    <t>3) Selections 'look up' the LD Points tab to identify points value</t>
  </si>
  <si>
    <t>4) Selecting 'College/At Work' removes Day Care offer as user is deemed to be occupied during the day.</t>
  </si>
  <si>
    <t>5) Outcome shows the Days and Nights qualified for as well as the budgetary value.  This is to provide some intelligence around appropriate budget spend required to meet the assessed need</t>
  </si>
  <si>
    <t>6) If the user has also completed a 'Daily Needs' assessment, this is added to their weekly budget (LD would fund the additional home care options).  The respite qualified for in that calculation (if the carer has indicated unpaid care) is not used however; the respite amount calculated within the LD domain is considered to be more relevant.</t>
  </si>
  <si>
    <t>Sustainable Unpaid Carer Involvement</t>
  </si>
  <si>
    <t>7) Overall LD Budget has a threshold value.  If the total budget (including the 'care' element for daily needs) is greater than £500, the user is over the 'threshold' and receives a message as opposed to the budget (see above - message to be defined!)</t>
  </si>
  <si>
    <t>If 'At Risk' within the 'feeling safe' domain, carer qualifies for annual weeks respite.  The same calculated carer input value is used in the table below to establish both the Day Care and Respite offer</t>
  </si>
  <si>
    <t>If 'Unable to live alone' within the 'feeling safe' domain, carer qualifies for a set Day Care and annual weeks respite offer, irrespective of the calculated carer input (assumed that the Carer is providing 24hr care else individual would be in residential care)</t>
  </si>
  <si>
    <t>Only the relevant slots should be completed</t>
  </si>
  <si>
    <t>This is reflected in the conditional formatting</t>
  </si>
  <si>
    <t>Cells will 'grey out' depending on need level</t>
  </si>
  <si>
    <t>This identifies the level of Carer respite funding</t>
  </si>
  <si>
    <t>See rules on 'Carer Respite Rules' tab</t>
  </si>
  <si>
    <t>Toilet</t>
  </si>
  <si>
    <t>Eating</t>
  </si>
  <si>
    <t>Carer Input</t>
  </si>
  <si>
    <t>Eve</t>
  </si>
  <si>
    <t>Total AM</t>
  </si>
  <si>
    <t>Total Lunch</t>
  </si>
  <si>
    <t>Total PM</t>
  </si>
  <si>
    <t>Total Eve</t>
  </si>
  <si>
    <t>Calculated input:</t>
  </si>
  <si>
    <t>Total hrs</t>
  </si>
  <si>
    <t>Needs/Task Time and Carer Input</t>
  </si>
  <si>
    <t>Carer Input?</t>
  </si>
  <si>
    <t>Week</t>
  </si>
  <si>
    <t>Care Required (when Carer input indicated)</t>
  </si>
  <si>
    <t>Total lunch</t>
  </si>
  <si>
    <t>Total eve</t>
  </si>
  <si>
    <t>Needs with Everyday Living - Select the statement(s) that apply to the individual in the appropriate domains</t>
  </si>
  <si>
    <t>Does the individual have unpaid help (friends, family, neighbours etc) with this domain and how much help during the week do they give?  Only include their help if you feel it is enough &amp; they can cope</t>
  </si>
  <si>
    <t>Total Care:</t>
  </si>
  <si>
    <t>Total Carer:</t>
  </si>
  <si>
    <t>Carer Respite:</t>
  </si>
  <si>
    <t>No needs in "Feeling Safe"?</t>
  </si>
  <si>
    <t>Days Day Care</t>
  </si>
  <si>
    <t>Feeling Safe - "I do things I don’t know I've done or that put me at risk"?</t>
  </si>
  <si>
    <t>Day Care and Respite</t>
  </si>
  <si>
    <t>Weeks Respite</t>
  </si>
  <si>
    <t>Feeling Safe - "Even with alarms and sensors I'd be unable to live at home alone"?</t>
  </si>
  <si>
    <t>Under 65</t>
  </si>
  <si>
    <t>Care Budget</t>
  </si>
  <si>
    <t>Care Time Required (week)</t>
  </si>
  <si>
    <t>Hourly Care Rate</t>
  </si>
  <si>
    <t>Care Budget (week)</t>
  </si>
  <si>
    <t>One off weekly 'out and about' payment:</t>
  </si>
  <si>
    <t>Weekly Budget</t>
  </si>
  <si>
    <t>Need Level</t>
  </si>
  <si>
    <t>Carer Respite (none LD)</t>
  </si>
  <si>
    <t>Weeks</t>
  </si>
  <si>
    <t>Respite Rate</t>
  </si>
  <si>
    <t>Day Care Budget (week)</t>
  </si>
  <si>
    <t>Respite Budget (annual)</t>
  </si>
  <si>
    <t>Respite Budget (Annual)</t>
  </si>
  <si>
    <t>Total Carer Respite (week)</t>
  </si>
  <si>
    <t>LD</t>
  </si>
  <si>
    <t>Respite Budget (week)</t>
  </si>
  <si>
    <t>Total respite budget (week)</t>
  </si>
  <si>
    <t>LD?</t>
  </si>
  <si>
    <t>Day Care remove if LD has value</t>
  </si>
  <si>
    <t>Weeks removed if LD has value</t>
  </si>
  <si>
    <t>Personal Budget Summary Page</t>
  </si>
  <si>
    <t>Calculation</t>
  </si>
  <si>
    <t>Following rule not reflected in this spreadsheet pending further analysis:</t>
  </si>
  <si>
    <t>Carer Involvement Rules/Calculation (description)</t>
  </si>
  <si>
    <t>Carer involvement Day Care/Respite Offer description</t>
  </si>
  <si>
    <t>Total Indicative Budget</t>
  </si>
  <si>
    <t>Care Budget (week) Thresholds included (Inclusive LD and Care celling and Care only celling)</t>
  </si>
  <si>
    <t>removes value if thresholds (when including LD - £500, Care only - £450) has been surpassed</t>
  </si>
  <si>
    <t>Removes value if Care Threshold is passed</t>
  </si>
  <si>
    <t>Respite Budget (annual) including Threshold</t>
  </si>
  <si>
    <t>Respite Budget (week) including Threshold</t>
  </si>
  <si>
    <t>Total respite budget (week) Including Threshold</t>
  </si>
  <si>
    <t>Day Care Budget (week) including 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</si>
</sst>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4" formatCode="_-&quot;£&quot;* #,##0.00_-;\-&quot;£&quot;* #,##0.00_-;_-&quot;£&quot;* &quot;-&quot;??_-;_-@_-"/>
  </numFmts>
  <fonts count="27" x14ac:knownFonts="1">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
      <b/>
      <sz val="11"/>
      <name val="Calibri"/>
      <family val="2"/>
      <scheme val="minor"/>
    </font>
    <font>
      <sz val="11"/>
      <color theme="0" tint="-0.34998626667073579"/>
      <name val="Calibri"/>
      <family val="2"/>
      <scheme val="minor"/>
    </font>
    <font>
      <b/>
      <sz val="10"/>
      <name val="Verdana"/>
      <family val="2"/>
    </font>
    <font>
      <sz val="10"/>
      <name val="Verdana"/>
      <family val="2"/>
    </font>
    <font>
      <sz val="10"/>
      <color indexed="48"/>
      <name val="Verdana"/>
      <family val="2"/>
    </font>
    <font>
      <sz val="10"/>
      <color indexed="12"/>
      <name val="Verdana"/>
      <family val="2"/>
    </font>
    <font>
      <sz val="10"/>
      <name val="Arial"/>
      <family val="2"/>
    </font>
    <font>
      <b/>
      <sz val="12"/>
      <name val="Calibri"/>
      <family val="2"/>
      <scheme val="minor"/>
    </font>
    <font>
      <sz val="10"/>
      <name val="Calibri"/>
      <family val="2"/>
      <scheme val="minor"/>
    </font>
    <font>
      <b/>
      <sz val="10"/>
      <name val="Calibri"/>
      <family val="2"/>
      <scheme val="minor"/>
    </font>
    <font>
      <b/>
      <sz val="12"/>
      <color theme="0"/>
      <name val="Calibri"/>
      <family val="2"/>
      <scheme val="minor"/>
    </font>
    <font>
      <b/>
      <sz val="14"/>
      <color theme="0"/>
      <name val="Calibri"/>
      <family val="2"/>
      <scheme val="minor"/>
    </font>
    <font>
      <sz val="10"/>
      <color theme="0"/>
      <name val="Verdana"/>
      <family val="2"/>
    </font>
    <font>
      <b/>
      <sz val="11"/>
      <color theme="0"/>
      <name val="Calibri"/>
      <family val="2"/>
      <scheme val="minor"/>
    </font>
    <font>
      <i/>
      <sz val="11"/>
      <color rgb="FFFF0000"/>
      <name val="Calibri"/>
      <family val="2"/>
      <scheme val="minor"/>
    </font>
    <font>
      <b/>
      <sz val="10"/>
      <color theme="0"/>
      <name val="Calibri"/>
      <family val="2"/>
      <scheme val="minor"/>
    </font>
    <font>
      <i/>
      <sz val="11"/>
      <color theme="1"/>
      <name val="Calibri"/>
      <family val="2"/>
      <scheme val="minor"/>
    </font>
    <font>
      <i/>
      <sz val="11"/>
      <name val="Calibri"/>
      <family val="2"/>
      <scheme val="minor"/>
    </font>
    <font>
      <b/>
      <i/>
      <sz val="10"/>
      <color theme="0" tint="-0.499984740745262"/>
      <name val="Verdana"/>
      <family val="2"/>
    </font>
    <font>
      <i/>
      <sz val="10"/>
      <color theme="0" tint="-0.499984740745262"/>
      <name val="Verdana"/>
      <family val="2"/>
    </font>
    <font>
      <i/>
      <sz val="11"/>
      <color theme="0" tint="-0.499984740745262"/>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theme="1" tint="0.34998626667073579"/>
        <bgColor indexed="64"/>
      </patternFill>
    </fill>
    <fill>
      <patternFill patternType="solid">
        <fgColor theme="3"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indexed="22"/>
        <bgColor indexed="64"/>
      </patternFill>
    </fill>
    <fill>
      <patternFill patternType="solid">
        <fgColor indexed="1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7" tint="-0.249977111117893"/>
        <bgColor indexed="64"/>
      </patternFill>
    </fill>
    <fill>
      <patternFill patternType="solid">
        <fgColor theme="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8" tint="-0.499984740745262"/>
        <bgColor indexed="64"/>
      </patternFill>
    </fill>
    <fill>
      <patternFill patternType="solid">
        <fgColor theme="2" tint="-0.499984740745262"/>
        <bgColor indexed="64"/>
      </patternFill>
    </fill>
    <fill>
      <patternFill patternType="solid">
        <fgColor theme="2" tint="-0.749992370372631"/>
        <bgColor indexed="64"/>
      </patternFill>
    </fill>
  </fills>
  <borders count="6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right/>
      <top/>
      <bottom style="medium">
        <color indexed="64"/>
      </bottom>
      <diagonal/>
    </border>
    <border>
      <left style="medium">
        <color indexed="64"/>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thin">
        <color auto="1"/>
      </left>
      <right/>
      <top style="thin">
        <color auto="1"/>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cellStyleXfs>
  <cellXfs count="209">
    <xf numFmtId="0" fontId="0" fillId="0" borderId="0" xfId="0"/>
    <xf numFmtId="0" fontId="0" fillId="0" borderId="1" xfId="0" applyBorder="1"/>
    <xf numFmtId="0" fontId="0" fillId="0" borderId="0" xfId="0" applyFont="1"/>
    <xf numFmtId="0" fontId="2" fillId="0" borderId="0" xfId="0" applyFont="1"/>
    <xf numFmtId="0" fontId="2" fillId="0" borderId="0" xfId="0" applyFont="1" applyBorder="1"/>
    <xf numFmtId="0" fontId="0" fillId="0" borderId="0" xfId="0" applyFont="1" applyBorder="1"/>
    <xf numFmtId="0" fontId="0" fillId="0" borderId="2" xfId="0" applyFont="1" applyBorder="1"/>
    <xf numFmtId="0" fontId="2" fillId="0" borderId="2" xfId="0" applyFont="1" applyBorder="1"/>
    <xf numFmtId="0" fontId="0" fillId="0" borderId="0" xfId="0" applyFont="1" applyAlignment="1">
      <alignment wrapText="1"/>
    </xf>
    <xf numFmtId="0" fontId="2" fillId="0" borderId="0" xfId="0" applyFont="1" applyFill="1" applyBorder="1" applyAlignment="1">
      <alignment wrapText="1"/>
    </xf>
    <xf numFmtId="0" fontId="2" fillId="0" borderId="0" xfId="0" applyFont="1" applyBorder="1" applyAlignment="1">
      <alignment wrapText="1"/>
    </xf>
    <xf numFmtId="0" fontId="3" fillId="3" borderId="0" xfId="0" applyFont="1" applyFill="1" applyBorder="1" applyAlignment="1">
      <alignment wrapText="1"/>
    </xf>
    <xf numFmtId="0" fontId="3" fillId="4" borderId="0" xfId="0" applyFont="1" applyFill="1"/>
    <xf numFmtId="0" fontId="1" fillId="0" borderId="2" xfId="0" applyFont="1" applyBorder="1"/>
    <xf numFmtId="0" fontId="0" fillId="5" borderId="0" xfId="0" applyFont="1" applyFill="1"/>
    <xf numFmtId="0" fontId="2" fillId="5" borderId="0" xfId="0" applyFont="1" applyFill="1" applyBorder="1" applyAlignment="1">
      <alignment wrapText="1"/>
    </xf>
    <xf numFmtId="0" fontId="4" fillId="0" borderId="0" xfId="0" applyFont="1" applyBorder="1" applyAlignment="1">
      <alignment wrapText="1"/>
    </xf>
    <xf numFmtId="0" fontId="4" fillId="0" borderId="0" xfId="0" applyFont="1" applyFill="1" applyBorder="1" applyAlignment="1">
      <alignment wrapText="1"/>
    </xf>
    <xf numFmtId="0" fontId="2" fillId="0" borderId="1" xfId="0" applyFont="1" applyFill="1" applyBorder="1" applyAlignment="1">
      <alignment wrapText="1"/>
    </xf>
    <xf numFmtId="0" fontId="0" fillId="0" borderId="1" xfId="0" applyFont="1" applyBorder="1"/>
    <xf numFmtId="0" fontId="2" fillId="0" borderId="1" xfId="0" applyFont="1" applyBorder="1"/>
    <xf numFmtId="0" fontId="0" fillId="5" borderId="0" xfId="0" applyFont="1" applyFill="1" applyBorder="1"/>
    <xf numFmtId="0" fontId="2" fillId="0" borderId="1" xfId="0" applyFont="1" applyBorder="1" applyAlignment="1">
      <alignment wrapText="1"/>
    </xf>
    <xf numFmtId="0" fontId="5" fillId="0" borderId="0" xfId="0" applyFont="1"/>
    <xf numFmtId="0" fontId="5" fillId="0" borderId="1" xfId="0" applyFont="1" applyBorder="1"/>
    <xf numFmtId="0" fontId="5" fillId="0" borderId="0" xfId="0" applyFont="1" applyBorder="1"/>
    <xf numFmtId="0" fontId="3" fillId="3" borderId="2" xfId="0" applyFont="1" applyFill="1" applyBorder="1"/>
    <xf numFmtId="0" fontId="1" fillId="0" borderId="0" xfId="0" applyFont="1" applyAlignment="1">
      <alignment wrapText="1"/>
    </xf>
    <xf numFmtId="0" fontId="7" fillId="0" borderId="0" xfId="1" applyFont="1"/>
    <xf numFmtId="0" fontId="6" fillId="0" borderId="0" xfId="1" applyFont="1"/>
    <xf numFmtId="0" fontId="7" fillId="0" borderId="0" xfId="1" applyFont="1" applyAlignment="1">
      <alignment horizontal="center"/>
    </xf>
    <xf numFmtId="0" fontId="8" fillId="0" borderId="0" xfId="1" applyFont="1"/>
    <xf numFmtId="8" fontId="7" fillId="0" borderId="0" xfId="1" applyNumberFormat="1" applyFont="1"/>
    <xf numFmtId="0" fontId="7" fillId="6" borderId="0" xfId="1" applyFont="1" applyFill="1" applyAlignment="1">
      <alignment horizontal="center"/>
    </xf>
    <xf numFmtId="0" fontId="9" fillId="0" borderId="0" xfId="1" applyFont="1"/>
    <xf numFmtId="0" fontId="7" fillId="0" borderId="0" xfId="1" applyFont="1" applyAlignment="1">
      <alignment horizontal="left"/>
    </xf>
    <xf numFmtId="0" fontId="9" fillId="0" borderId="0" xfId="1" applyFont="1" applyFill="1" applyBorder="1" applyAlignment="1">
      <alignment horizontal="left"/>
    </xf>
    <xf numFmtId="0" fontId="9" fillId="0" borderId="0" xfId="1" applyFont="1" applyFill="1" applyBorder="1" applyAlignment="1">
      <alignment horizontal="center"/>
    </xf>
    <xf numFmtId="0" fontId="9" fillId="0" borderId="0" xfId="1" applyFont="1" applyFill="1" applyBorder="1"/>
    <xf numFmtId="0" fontId="0" fillId="0" borderId="0" xfId="0" applyFont="1" applyFill="1" applyBorder="1"/>
    <xf numFmtId="0" fontId="3" fillId="2" borderId="2" xfId="0" applyFont="1" applyFill="1" applyBorder="1"/>
    <xf numFmtId="44" fontId="2" fillId="0" borderId="2" xfId="0" applyNumberFormat="1" applyFont="1" applyBorder="1"/>
    <xf numFmtId="44" fontId="2" fillId="0" borderId="0" xfId="0" applyNumberFormat="1" applyFont="1" applyBorder="1"/>
    <xf numFmtId="44" fontId="2" fillId="0" borderId="1" xfId="0" applyNumberFormat="1" applyFont="1" applyBorder="1"/>
    <xf numFmtId="0" fontId="0" fillId="0" borderId="3" xfId="0" applyFont="1" applyBorder="1"/>
    <xf numFmtId="0" fontId="0" fillId="0" borderId="4" xfId="0" applyFont="1" applyBorder="1"/>
    <xf numFmtId="0" fontId="0" fillId="0" borderId="5" xfId="0" applyFont="1" applyBorder="1"/>
    <xf numFmtId="0" fontId="0" fillId="0" borderId="7" xfId="0" applyFont="1" applyBorder="1"/>
    <xf numFmtId="0" fontId="11" fillId="0" borderId="0" xfId="0" applyFont="1"/>
    <xf numFmtId="0" fontId="12" fillId="0" borderId="0" xfId="0" applyFont="1" applyFill="1"/>
    <xf numFmtId="0" fontId="13" fillId="0" borderId="6" xfId="0" applyFont="1" applyBorder="1"/>
    <xf numFmtId="0" fontId="13" fillId="0" borderId="8" xfId="0" applyFont="1" applyBorder="1"/>
    <xf numFmtId="0" fontId="12" fillId="0" borderId="4" xfId="0" applyFont="1" applyBorder="1" applyAlignment="1">
      <alignment vertical="top" wrapText="1"/>
    </xf>
    <xf numFmtId="0" fontId="12" fillId="0" borderId="9" xfId="0" applyFont="1" applyBorder="1" applyAlignment="1">
      <alignment vertical="top" wrapText="1"/>
    </xf>
    <xf numFmtId="0" fontId="12" fillId="0" borderId="8" xfId="0" applyFont="1" applyBorder="1" applyAlignment="1">
      <alignment vertical="top" wrapText="1"/>
    </xf>
    <xf numFmtId="0" fontId="12" fillId="0" borderId="10" xfId="0" applyFont="1" applyBorder="1" applyAlignment="1">
      <alignment vertical="top" wrapText="1"/>
    </xf>
    <xf numFmtId="8" fontId="3" fillId="4" borderId="0" xfId="0" applyNumberFormat="1" applyFont="1" applyFill="1"/>
    <xf numFmtId="0" fontId="1" fillId="0" borderId="0" xfId="0" applyFont="1"/>
    <xf numFmtId="0" fontId="0" fillId="0" borderId="11" xfId="0" applyFont="1" applyBorder="1"/>
    <xf numFmtId="0" fontId="0" fillId="8" borderId="12" xfId="0" applyFont="1" applyFill="1" applyBorder="1"/>
    <xf numFmtId="0" fontId="0" fillId="8" borderId="13" xfId="0" applyFont="1" applyFill="1" applyBorder="1"/>
    <xf numFmtId="0" fontId="0" fillId="8" borderId="2" xfId="0" applyFont="1" applyFill="1" applyBorder="1"/>
    <xf numFmtId="0" fontId="0" fillId="9" borderId="12" xfId="0" applyFont="1" applyFill="1" applyBorder="1"/>
    <xf numFmtId="0" fontId="0" fillId="9" borderId="14" xfId="0" applyFont="1" applyFill="1" applyBorder="1"/>
    <xf numFmtId="0" fontId="0" fillId="9" borderId="13" xfId="0" applyFont="1" applyFill="1" applyBorder="1"/>
    <xf numFmtId="0" fontId="0" fillId="9" borderId="2" xfId="0" applyFont="1" applyFill="1" applyBorder="1"/>
    <xf numFmtId="0" fontId="0" fillId="0" borderId="15" xfId="0" applyFont="1" applyBorder="1"/>
    <xf numFmtId="0" fontId="12" fillId="0" borderId="1" xfId="0" applyFont="1" applyBorder="1" applyAlignment="1">
      <alignment vertical="top" wrapText="1"/>
    </xf>
    <xf numFmtId="0" fontId="11" fillId="0" borderId="0" xfId="0" applyFont="1" applyBorder="1"/>
    <xf numFmtId="0" fontId="15" fillId="4" borderId="0" xfId="0" applyFont="1" applyFill="1" applyAlignment="1">
      <alignment wrapText="1"/>
    </xf>
    <xf numFmtId="0" fontId="16" fillId="4" borderId="0" xfId="1" applyFont="1" applyFill="1"/>
    <xf numFmtId="0" fontId="12" fillId="0" borderId="0" xfId="1" applyFont="1" applyFill="1"/>
    <xf numFmtId="0" fontId="12" fillId="0" borderId="0" xfId="1" applyFont="1"/>
    <xf numFmtId="0" fontId="2" fillId="0" borderId="0" xfId="1" applyFont="1" applyFill="1"/>
    <xf numFmtId="0" fontId="2" fillId="7" borderId="0" xfId="1" applyFont="1" applyFill="1"/>
    <xf numFmtId="0" fontId="2" fillId="7" borderId="0" xfId="1" applyFont="1" applyFill="1" applyAlignment="1">
      <alignment horizontal="right"/>
    </xf>
    <xf numFmtId="0" fontId="3" fillId="10" borderId="0" xfId="1" applyFont="1" applyFill="1"/>
    <xf numFmtId="0" fontId="3" fillId="10" borderId="0" xfId="0" applyFont="1" applyFill="1"/>
    <xf numFmtId="0" fontId="7" fillId="0" borderId="2" xfId="1" applyFont="1" applyBorder="1"/>
    <xf numFmtId="0" fontId="7" fillId="0" borderId="13" xfId="1" applyFont="1" applyBorder="1"/>
    <xf numFmtId="0" fontId="0" fillId="0" borderId="16" xfId="0" applyFont="1" applyBorder="1"/>
    <xf numFmtId="0" fontId="0" fillId="0" borderId="17" xfId="0" applyFont="1" applyBorder="1"/>
    <xf numFmtId="0" fontId="7" fillId="0" borderId="2" xfId="1" applyFont="1" applyFill="1" applyBorder="1"/>
    <xf numFmtId="0" fontId="7" fillId="0" borderId="2" xfId="1" quotePrefix="1" applyFont="1" applyBorder="1"/>
    <xf numFmtId="0" fontId="7" fillId="0" borderId="13" xfId="1" applyFont="1" applyFill="1" applyBorder="1"/>
    <xf numFmtId="6" fontId="0" fillId="0" borderId="0" xfId="0" applyNumberFormat="1" applyFont="1"/>
    <xf numFmtId="0" fontId="17" fillId="10" borderId="0" xfId="0" applyFont="1" applyFill="1"/>
    <xf numFmtId="44" fontId="0" fillId="0" borderId="0" xfId="0" applyNumberFormat="1" applyFont="1"/>
    <xf numFmtId="0" fontId="2" fillId="5" borderId="2" xfId="1" applyFont="1" applyFill="1" applyBorder="1"/>
    <xf numFmtId="0" fontId="17" fillId="11" borderId="0" xfId="0" applyFont="1" applyFill="1"/>
    <xf numFmtId="0" fontId="3" fillId="11" borderId="0" xfId="0" applyFont="1" applyFill="1"/>
    <xf numFmtId="0" fontId="2" fillId="12" borderId="18" xfId="1" applyFont="1" applyFill="1" applyBorder="1"/>
    <xf numFmtId="0" fontId="15" fillId="4" borderId="0" xfId="0" applyFont="1" applyFill="1" applyAlignment="1">
      <alignment vertical="center" wrapText="1"/>
    </xf>
    <xf numFmtId="0" fontId="15" fillId="4" borderId="0" xfId="1" applyFont="1" applyFill="1" applyAlignment="1">
      <alignment vertical="center"/>
    </xf>
    <xf numFmtId="0" fontId="3" fillId="4" borderId="0" xfId="0" applyFont="1" applyFill="1" applyAlignment="1">
      <alignment vertical="center"/>
    </xf>
    <xf numFmtId="0" fontId="17" fillId="13" borderId="0" xfId="0" applyFont="1" applyFill="1"/>
    <xf numFmtId="0" fontId="19" fillId="13" borderId="0" xfId="1" applyFont="1" applyFill="1"/>
    <xf numFmtId="0" fontId="3" fillId="14" borderId="0" xfId="0" applyFont="1" applyFill="1"/>
    <xf numFmtId="0" fontId="17" fillId="14" borderId="0" xfId="0" applyFont="1" applyFill="1" applyAlignment="1">
      <alignment vertical="center"/>
    </xf>
    <xf numFmtId="0" fontId="20" fillId="0" borderId="0" xfId="0" applyFont="1"/>
    <xf numFmtId="0" fontId="21" fillId="0" borderId="0" xfId="0" applyFont="1"/>
    <xf numFmtId="0" fontId="20" fillId="0" borderId="0" xfId="0" applyFont="1" applyFill="1" applyBorder="1"/>
    <xf numFmtId="44" fontId="21" fillId="0" borderId="0" xfId="0" applyNumberFormat="1" applyFont="1" applyBorder="1" applyAlignment="1">
      <alignment horizontal="left"/>
    </xf>
    <xf numFmtId="0" fontId="21" fillId="0" borderId="0" xfId="0" applyFont="1" applyAlignment="1">
      <alignment horizontal="left"/>
    </xf>
    <xf numFmtId="0" fontId="0" fillId="0" borderId="2" xfId="0" applyBorder="1"/>
    <xf numFmtId="0" fontId="0" fillId="15" borderId="2" xfId="0" applyFill="1" applyBorder="1"/>
    <xf numFmtId="0" fontId="0" fillId="0" borderId="19" xfId="0" applyBorder="1"/>
    <xf numFmtId="0" fontId="0" fillId="0" borderId="21" xfId="0" applyBorder="1"/>
    <xf numFmtId="0" fontId="0" fillId="0" borderId="22" xfId="0" applyBorder="1"/>
    <xf numFmtId="0" fontId="0" fillId="0" borderId="23" xfId="0" applyBorder="1"/>
    <xf numFmtId="0" fontId="0" fillId="15" borderId="23" xfId="0" applyFill="1" applyBorder="1"/>
    <xf numFmtId="0" fontId="0" fillId="0" borderId="24" xfId="0" applyBorder="1"/>
    <xf numFmtId="0" fontId="0" fillId="15" borderId="25" xfId="0" applyFill="1" applyBorder="1"/>
    <xf numFmtId="0" fontId="0" fillId="0" borderId="26" xfId="0" applyBorder="1"/>
    <xf numFmtId="0" fontId="0" fillId="0" borderId="27" xfId="0" applyBorder="1"/>
    <xf numFmtId="0" fontId="0" fillId="0" borderId="28" xfId="0" applyBorder="1"/>
    <xf numFmtId="0" fontId="0" fillId="0" borderId="29" xfId="0" applyBorder="1"/>
    <xf numFmtId="0" fontId="0" fillId="15" borderId="20" xfId="0" applyFill="1"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0" xfId="0" applyBorder="1"/>
    <xf numFmtId="0" fontId="0" fillId="0" borderId="5" xfId="0" applyFill="1" applyBorder="1"/>
    <xf numFmtId="0" fontId="0" fillId="0" borderId="36" xfId="0" applyBorder="1"/>
    <xf numFmtId="0" fontId="0" fillId="15" borderId="12" xfId="0" applyFill="1" applyBorder="1"/>
    <xf numFmtId="0" fontId="0" fillId="0" borderId="37" xfId="0" applyBorder="1"/>
    <xf numFmtId="0" fontId="0" fillId="0" borderId="16" xfId="0" applyBorder="1"/>
    <xf numFmtId="0" fontId="0" fillId="0" borderId="38" xfId="0" applyBorder="1"/>
    <xf numFmtId="0" fontId="0" fillId="0" borderId="39" xfId="0" applyBorder="1"/>
    <xf numFmtId="0" fontId="0" fillId="16" borderId="40" xfId="0" applyFill="1" applyBorder="1"/>
    <xf numFmtId="0" fontId="0" fillId="8" borderId="4" xfId="0" applyFill="1"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5" xfId="0" applyBorder="1"/>
    <xf numFmtId="0" fontId="0" fillId="0" borderId="7" xfId="0" applyBorder="1"/>
    <xf numFmtId="0" fontId="0" fillId="0" borderId="46" xfId="0" applyBorder="1"/>
    <xf numFmtId="0" fontId="0" fillId="0" borderId="10" xfId="0" applyBorder="1"/>
    <xf numFmtId="0" fontId="1" fillId="0" borderId="41" xfId="0" applyFont="1" applyBorder="1"/>
    <xf numFmtId="0" fontId="15" fillId="4" borderId="0" xfId="0" applyFont="1" applyFill="1" applyAlignment="1">
      <alignment vertical="center"/>
    </xf>
    <xf numFmtId="0" fontId="3" fillId="4" borderId="0" xfId="0" applyFont="1" applyFill="1" applyAlignment="1"/>
    <xf numFmtId="0" fontId="3" fillId="2" borderId="3" xfId="0" applyFont="1" applyFill="1" applyBorder="1"/>
    <xf numFmtId="0" fontId="0" fillId="0" borderId="9" xfId="0" applyBorder="1"/>
    <xf numFmtId="0" fontId="0" fillId="0" borderId="47" xfId="0" applyBorder="1"/>
    <xf numFmtId="0" fontId="0" fillId="0" borderId="15" xfId="0" applyBorder="1"/>
    <xf numFmtId="0" fontId="3" fillId="2" borderId="18" xfId="0" applyFont="1" applyFill="1" applyBorder="1"/>
    <xf numFmtId="0" fontId="0" fillId="0" borderId="18" xfId="0" applyFont="1" applyBorder="1"/>
    <xf numFmtId="0" fontId="3" fillId="2" borderId="40" xfId="0" applyFont="1" applyFill="1" applyBorder="1"/>
    <xf numFmtId="0" fontId="0" fillId="0" borderId="8" xfId="0" applyBorder="1"/>
    <xf numFmtId="0" fontId="12" fillId="0" borderId="0" xfId="0" applyFont="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0" fontId="12" fillId="0" borderId="2" xfId="0" applyFont="1" applyFill="1" applyBorder="1"/>
    <xf numFmtId="0" fontId="17" fillId="17" borderId="0" xfId="0" applyFont="1" applyFill="1"/>
    <xf numFmtId="0" fontId="15" fillId="17" borderId="0" xfId="0" applyFont="1" applyFill="1"/>
    <xf numFmtId="0" fontId="3" fillId="17" borderId="0" xfId="0" applyFont="1" applyFill="1"/>
    <xf numFmtId="0" fontId="14" fillId="17" borderId="0" xfId="0" applyFont="1" applyFill="1"/>
    <xf numFmtId="0" fontId="0" fillId="17" borderId="0" xfId="0" applyFont="1" applyFill="1"/>
    <xf numFmtId="0" fontId="0" fillId="0" borderId="48" xfId="0" applyFont="1" applyBorder="1"/>
    <xf numFmtId="0" fontId="3" fillId="11" borderId="0" xfId="0" applyFont="1" applyFill="1" applyBorder="1"/>
    <xf numFmtId="0" fontId="0" fillId="0" borderId="2" xfId="0" applyFont="1" applyBorder="1" applyAlignment="1">
      <alignment wrapText="1"/>
    </xf>
    <xf numFmtId="0" fontId="0" fillId="0" borderId="49" xfId="0" applyBorder="1"/>
    <xf numFmtId="0" fontId="0" fillId="0" borderId="18" xfId="0" applyBorder="1"/>
    <xf numFmtId="0" fontId="0" fillId="0" borderId="50" xfId="0" applyBorder="1"/>
    <xf numFmtId="0" fontId="0" fillId="0" borderId="51" xfId="0" applyBorder="1"/>
    <xf numFmtId="0" fontId="0" fillId="0" borderId="52" xfId="0" applyBorder="1"/>
    <xf numFmtId="0" fontId="17" fillId="18" borderId="3" xfId="0" applyFont="1" applyFill="1" applyBorder="1"/>
    <xf numFmtId="0" fontId="0" fillId="0" borderId="53" xfId="0" applyBorder="1"/>
    <xf numFmtId="0" fontId="17" fillId="18" borderId="30" xfId="0" applyFont="1" applyFill="1" applyBorder="1"/>
    <xf numFmtId="0" fontId="17" fillId="18" borderId="54" xfId="0" applyFont="1" applyFill="1" applyBorder="1"/>
    <xf numFmtId="0" fontId="17" fillId="18" borderId="55" xfId="0" applyFont="1" applyFill="1" applyBorder="1"/>
    <xf numFmtId="44" fontId="0" fillId="0" borderId="56" xfId="0" applyNumberFormat="1" applyBorder="1"/>
    <xf numFmtId="0" fontId="3" fillId="18" borderId="54" xfId="0" applyFont="1" applyFill="1" applyBorder="1"/>
    <xf numFmtId="0" fontId="3" fillId="18" borderId="55" xfId="0" applyFont="1" applyFill="1" applyBorder="1"/>
    <xf numFmtId="44" fontId="0" fillId="0" borderId="57" xfId="0" applyNumberFormat="1" applyBorder="1"/>
    <xf numFmtId="0" fontId="0" fillId="0" borderId="58" xfId="0" applyBorder="1"/>
    <xf numFmtId="0" fontId="0" fillId="0" borderId="59" xfId="0" applyBorder="1"/>
    <xf numFmtId="0" fontId="17" fillId="19" borderId="3" xfId="0" applyFont="1" applyFill="1" applyBorder="1"/>
    <xf numFmtId="0" fontId="17" fillId="19" borderId="53" xfId="0" applyFont="1" applyFill="1" applyBorder="1"/>
    <xf numFmtId="0" fontId="17" fillId="19" borderId="9" xfId="0" applyFont="1" applyFill="1" applyBorder="1"/>
    <xf numFmtId="0" fontId="20" fillId="0" borderId="0" xfId="0" applyFont="1" applyBorder="1"/>
    <xf numFmtId="0" fontId="17" fillId="3" borderId="0" xfId="0" applyFont="1" applyFill="1" applyBorder="1" applyAlignment="1">
      <alignment vertical="center" wrapText="1"/>
    </xf>
    <xf numFmtId="0" fontId="0" fillId="5" borderId="0" xfId="0" applyFont="1" applyFill="1" applyAlignment="1">
      <alignment vertical="center"/>
    </xf>
    <xf numFmtId="0" fontId="0" fillId="0" borderId="0" xfId="0" applyFont="1" applyAlignment="1">
      <alignment vertical="center"/>
    </xf>
    <xf numFmtId="0" fontId="1" fillId="0" borderId="2" xfId="0" applyFont="1" applyBorder="1" applyAlignment="1">
      <alignment vertical="center"/>
    </xf>
    <xf numFmtId="0" fontId="3" fillId="3" borderId="2" xfId="0" applyFont="1" applyFill="1" applyBorder="1" applyAlignment="1">
      <alignment vertical="center"/>
    </xf>
    <xf numFmtId="0" fontId="17" fillId="3" borderId="0" xfId="0" applyFont="1" applyFill="1" applyAlignment="1">
      <alignment vertical="center" wrapText="1"/>
    </xf>
    <xf numFmtId="0" fontId="1" fillId="0" borderId="0" xfId="0" applyFont="1" applyBorder="1"/>
    <xf numFmtId="0" fontId="3" fillId="19" borderId="0" xfId="0" applyFont="1" applyFill="1" applyBorder="1" applyAlignment="1">
      <alignment wrapText="1"/>
    </xf>
    <xf numFmtId="0" fontId="3" fillId="19" borderId="0" xfId="0" applyFont="1" applyFill="1"/>
    <xf numFmtId="44" fontId="2" fillId="0" borderId="12" xfId="0" applyNumberFormat="1" applyFont="1" applyBorder="1"/>
    <xf numFmtId="44" fontId="2" fillId="0" borderId="4" xfId="0" applyNumberFormat="1" applyFont="1" applyBorder="1"/>
    <xf numFmtId="0" fontId="0" fillId="0" borderId="12" xfId="0" applyFont="1" applyBorder="1"/>
    <xf numFmtId="0" fontId="22" fillId="15" borderId="0" xfId="1" applyFont="1" applyFill="1"/>
    <xf numFmtId="0" fontId="23" fillId="15" borderId="0" xfId="1" applyFont="1" applyFill="1"/>
    <xf numFmtId="0" fontId="24" fillId="15" borderId="0" xfId="0" applyFont="1" applyFill="1"/>
    <xf numFmtId="0" fontId="23" fillId="15" borderId="0" xfId="1" applyFont="1" applyFill="1" applyAlignment="1">
      <alignment horizontal="center"/>
    </xf>
    <xf numFmtId="0" fontId="23" fillId="15" borderId="0" xfId="1" applyFont="1" applyFill="1" applyAlignment="1">
      <alignment horizontal="left"/>
    </xf>
    <xf numFmtId="0" fontId="14" fillId="4" borderId="0" xfId="1" applyFont="1" applyFill="1" applyAlignment="1">
      <alignment vertical="center"/>
    </xf>
    <xf numFmtId="44" fontId="0" fillId="0" borderId="39" xfId="0" applyNumberFormat="1" applyBorder="1"/>
    <xf numFmtId="0" fontId="0" fillId="0" borderId="1" xfId="0" applyFont="1" applyBorder="1" applyAlignment="1">
      <alignment horizontal="left" wrapText="1"/>
    </xf>
    <xf numFmtId="0" fontId="0" fillId="0" borderId="0" xfId="0" applyFont="1" applyAlignment="1">
      <alignment horizontal="left" vertical="center" wrapText="1"/>
    </xf>
    <xf numFmtId="0" fontId="18"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Border="1" applyAlignment="1">
      <alignment horizontal="left" vertical="center" wrapText="1"/>
    </xf>
  </cellXfs>
  <cellStyles count="2">
    <cellStyle name="Normal" xfId="0" builtinId="0"/>
    <cellStyle name="Normal 2" xfId="1"/>
  </cellStyles>
  <dxfs count="9">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400050</xdr:colOff>
      <xdr:row>38</xdr:row>
      <xdr:rowOff>0</xdr:rowOff>
    </xdr:from>
    <xdr:to>
      <xdr:col>13</xdr:col>
      <xdr:colOff>400050</xdr:colOff>
      <xdr:row>38</xdr:row>
      <xdr:rowOff>0</xdr:rowOff>
    </xdr:to>
    <xdr:sp macro="" textlink="">
      <xdr:nvSpPr>
        <xdr:cNvPr id="6" name="Line 2"/>
        <xdr:cNvSpPr>
          <a:spLocks noChangeShapeType="1"/>
        </xdr:cNvSpPr>
      </xdr:nvSpPr>
      <xdr:spPr bwMode="auto">
        <a:xfrm flipV="1">
          <a:off x="4533900" y="6238875"/>
          <a:ext cx="0" cy="0"/>
        </a:xfrm>
        <a:prstGeom prst="line">
          <a:avLst/>
        </a:prstGeom>
        <a:noFill/>
        <a:ln w="571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361950</xdr:colOff>
      <xdr:row>38</xdr:row>
      <xdr:rowOff>0</xdr:rowOff>
    </xdr:from>
    <xdr:to>
      <xdr:col>14</xdr:col>
      <xdr:colOff>361950</xdr:colOff>
      <xdr:row>38</xdr:row>
      <xdr:rowOff>0</xdr:rowOff>
    </xdr:to>
    <xdr:sp macro="" textlink="">
      <xdr:nvSpPr>
        <xdr:cNvPr id="7" name="Line 3"/>
        <xdr:cNvSpPr>
          <a:spLocks noChangeShapeType="1"/>
        </xdr:cNvSpPr>
      </xdr:nvSpPr>
      <xdr:spPr bwMode="auto">
        <a:xfrm flipV="1">
          <a:off x="6219825" y="6238875"/>
          <a:ext cx="0" cy="0"/>
        </a:xfrm>
        <a:prstGeom prst="line">
          <a:avLst/>
        </a:prstGeom>
        <a:noFill/>
        <a:ln w="571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323850</xdr:colOff>
      <xdr:row>38</xdr:row>
      <xdr:rowOff>0</xdr:rowOff>
    </xdr:from>
    <xdr:to>
      <xdr:col>15</xdr:col>
      <xdr:colOff>323850</xdr:colOff>
      <xdr:row>38</xdr:row>
      <xdr:rowOff>0</xdr:rowOff>
    </xdr:to>
    <xdr:sp macro="" textlink="">
      <xdr:nvSpPr>
        <xdr:cNvPr id="8" name="Line 4"/>
        <xdr:cNvSpPr>
          <a:spLocks noChangeShapeType="1"/>
        </xdr:cNvSpPr>
      </xdr:nvSpPr>
      <xdr:spPr bwMode="auto">
        <a:xfrm flipV="1">
          <a:off x="6791325" y="6238875"/>
          <a:ext cx="0" cy="0"/>
        </a:xfrm>
        <a:prstGeom prst="line">
          <a:avLst/>
        </a:prstGeom>
        <a:noFill/>
        <a:ln w="571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342900</xdr:colOff>
      <xdr:row>38</xdr:row>
      <xdr:rowOff>0</xdr:rowOff>
    </xdr:from>
    <xdr:to>
      <xdr:col>16</xdr:col>
      <xdr:colOff>342900</xdr:colOff>
      <xdr:row>38</xdr:row>
      <xdr:rowOff>0</xdr:rowOff>
    </xdr:to>
    <xdr:sp macro="" textlink="">
      <xdr:nvSpPr>
        <xdr:cNvPr id="9" name="Line 5"/>
        <xdr:cNvSpPr>
          <a:spLocks noChangeShapeType="1"/>
        </xdr:cNvSpPr>
      </xdr:nvSpPr>
      <xdr:spPr bwMode="auto">
        <a:xfrm flipV="1">
          <a:off x="7419975" y="6238875"/>
          <a:ext cx="0" cy="0"/>
        </a:xfrm>
        <a:prstGeom prst="line">
          <a:avLst/>
        </a:prstGeom>
        <a:noFill/>
        <a:ln w="571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8"/>
  <sheetViews>
    <sheetView workbookViewId="0">
      <pane ySplit="1" topLeftCell="A2" activePane="bottomLeft" state="frozen"/>
      <selection pane="bottomLeft" activeCell="B11" sqref="B11"/>
    </sheetView>
  </sheetViews>
  <sheetFormatPr defaultRowHeight="15" x14ac:dyDescent="0.25"/>
  <cols>
    <col min="1" max="1" width="24.85546875" bestFit="1" customWidth="1"/>
    <col min="12" max="12" width="0" hidden="1" customWidth="1"/>
  </cols>
  <sheetData>
    <row r="1" spans="1:12" ht="15.75" thickBot="1" x14ac:dyDescent="0.3">
      <c r="A1" s="181" t="s">
        <v>554</v>
      </c>
      <c r="B1" s="182"/>
      <c r="C1" s="182"/>
      <c r="D1" s="182"/>
      <c r="E1" s="182"/>
      <c r="F1" s="183"/>
    </row>
    <row r="2" spans="1:12" ht="15.75" thickBot="1" x14ac:dyDescent="0.3">
      <c r="A2" s="138"/>
      <c r="B2" s="124"/>
      <c r="C2" s="124"/>
      <c r="D2" s="124"/>
      <c r="E2" s="124"/>
      <c r="F2" s="137"/>
      <c r="L2" t="s">
        <v>533</v>
      </c>
    </row>
    <row r="3" spans="1:12" ht="15.75" thickBot="1" x14ac:dyDescent="0.3">
      <c r="A3" s="170" t="s">
        <v>407</v>
      </c>
      <c r="B3" s="131" t="s">
        <v>533</v>
      </c>
      <c r="C3" s="171"/>
      <c r="D3" s="171"/>
      <c r="E3" s="171"/>
      <c r="F3" s="146"/>
      <c r="L3" t="s">
        <v>444</v>
      </c>
    </row>
    <row r="4" spans="1:12" ht="15.75" thickBot="1" x14ac:dyDescent="0.3">
      <c r="A4" s="138"/>
      <c r="B4" s="124"/>
      <c r="C4" s="124"/>
      <c r="D4" s="124"/>
      <c r="E4" s="124"/>
      <c r="F4" s="137"/>
    </row>
    <row r="5" spans="1:12" x14ac:dyDescent="0.25">
      <c r="A5" s="172" t="s">
        <v>548</v>
      </c>
      <c r="B5" s="173"/>
      <c r="C5" s="173"/>
      <c r="D5" s="173"/>
      <c r="E5" s="173"/>
      <c r="F5" s="174"/>
    </row>
    <row r="6" spans="1:12" x14ac:dyDescent="0.25">
      <c r="A6" s="119" t="s">
        <v>530</v>
      </c>
      <c r="B6" s="166" t="str">
        <f>'LD - SU and Carer'!B31</f>
        <v/>
      </c>
      <c r="C6" s="167"/>
      <c r="D6" s="167"/>
      <c r="E6" s="167"/>
      <c r="F6" s="168"/>
    </row>
    <row r="7" spans="1:12" ht="15.75" thickBot="1" x14ac:dyDescent="0.3">
      <c r="A7" s="139" t="s">
        <v>539</v>
      </c>
      <c r="B7" s="175">
        <f>'LD - SU and Carer'!G32</f>
        <v>0</v>
      </c>
      <c r="C7" s="140"/>
      <c r="D7" s="140"/>
      <c r="E7" s="140"/>
      <c r="F7" s="141"/>
    </row>
    <row r="8" spans="1:12" ht="15.75" thickBot="1" x14ac:dyDescent="0.3">
      <c r="A8" s="138"/>
      <c r="B8" s="124"/>
      <c r="C8" s="124"/>
      <c r="D8" s="124"/>
      <c r="E8" s="124"/>
      <c r="F8" s="137"/>
    </row>
    <row r="9" spans="1:12" x14ac:dyDescent="0.25">
      <c r="A9" s="172" t="s">
        <v>534</v>
      </c>
      <c r="B9" s="176"/>
      <c r="C9" s="176"/>
      <c r="D9" s="176"/>
      <c r="E9" s="176"/>
      <c r="F9" s="177"/>
    </row>
    <row r="10" spans="1:12" x14ac:dyDescent="0.25">
      <c r="A10" s="138" t="s">
        <v>540</v>
      </c>
      <c r="B10" s="165" t="str">
        <f>'Needs Calculation - Carer Input'!A5</f>
        <v>BedToiletBWashCEatBDressB</v>
      </c>
      <c r="C10" s="167"/>
      <c r="D10" s="167"/>
      <c r="E10" s="167"/>
      <c r="F10" s="168"/>
    </row>
    <row r="11" spans="1:12" ht="15.75" thickBot="1" x14ac:dyDescent="0.3">
      <c r="A11" s="120" t="s">
        <v>539</v>
      </c>
      <c r="B11" s="178">
        <f>'Daily Needs'!B57</f>
        <v>102.92</v>
      </c>
      <c r="C11" s="179"/>
      <c r="D11" s="179"/>
      <c r="E11" s="179"/>
      <c r="F11" s="180"/>
    </row>
    <row r="12" spans="1:12" ht="15.75" thickBot="1" x14ac:dyDescent="0.3">
      <c r="A12" s="138"/>
      <c r="B12" s="124"/>
      <c r="C12" s="124"/>
      <c r="D12" s="124"/>
      <c r="E12" s="124"/>
      <c r="F12" s="137"/>
    </row>
    <row r="13" spans="1:12" x14ac:dyDescent="0.25">
      <c r="A13" s="172" t="s">
        <v>541</v>
      </c>
      <c r="B13" s="173"/>
      <c r="C13" s="173"/>
      <c r="D13" s="173"/>
      <c r="E13" s="173"/>
      <c r="F13" s="174"/>
    </row>
    <row r="14" spans="1:12" x14ac:dyDescent="0.25">
      <c r="A14" s="108" t="s">
        <v>544</v>
      </c>
      <c r="B14" s="167">
        <f>'Daily Needs'!B61</f>
        <v>129</v>
      </c>
      <c r="C14" s="167"/>
      <c r="D14" s="167"/>
      <c r="E14" s="167"/>
      <c r="F14" s="168"/>
    </row>
    <row r="15" spans="1:12" x14ac:dyDescent="0.25">
      <c r="A15" s="108" t="s">
        <v>546</v>
      </c>
      <c r="B15" s="167">
        <f>'Daily Needs'!B66</f>
        <v>3948</v>
      </c>
      <c r="C15" s="167"/>
      <c r="D15" s="167"/>
      <c r="E15" s="167"/>
      <c r="F15" s="168"/>
    </row>
    <row r="16" spans="1:12" ht="15.75" thickBot="1" x14ac:dyDescent="0.3">
      <c r="A16" s="169" t="s">
        <v>547</v>
      </c>
      <c r="B16" s="140">
        <f>'Daily Needs'!B71</f>
        <v>204.92307692307691</v>
      </c>
      <c r="C16" s="140"/>
      <c r="D16" s="140"/>
      <c r="E16" s="140"/>
      <c r="F16" s="141"/>
    </row>
    <row r="17" spans="1:6" ht="15.75" thickBot="1" x14ac:dyDescent="0.3">
      <c r="A17" s="138"/>
      <c r="B17" s="124"/>
      <c r="C17" s="124"/>
      <c r="D17" s="124"/>
      <c r="E17" s="124"/>
      <c r="F17" s="137"/>
    </row>
    <row r="18" spans="1:6" ht="15.75" thickBot="1" x14ac:dyDescent="0.3">
      <c r="A18" s="181" t="s">
        <v>559</v>
      </c>
      <c r="B18" s="203">
        <f>B7+B11+B16</f>
        <v>307.84307692307692</v>
      </c>
      <c r="C18" s="171"/>
      <c r="D18" s="171"/>
      <c r="E18" s="171"/>
      <c r="F18" s="146"/>
    </row>
  </sheetData>
  <dataValidations count="1">
    <dataValidation type="list" allowBlank="1" showInputMessage="1" showErrorMessage="1" sqref="B3">
      <formula1>$L$2:$L$3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72"/>
  <sheetViews>
    <sheetView tabSelected="1" zoomScale="90" zoomScaleNormal="90" workbookViewId="0">
      <pane ySplit="1" topLeftCell="A50" activePane="bottomLeft" state="frozen"/>
      <selection pane="bottomLeft" activeCell="B53" sqref="B53"/>
    </sheetView>
  </sheetViews>
  <sheetFormatPr defaultRowHeight="15" x14ac:dyDescent="0.25"/>
  <cols>
    <col min="1" max="1" width="88.42578125" style="8" customWidth="1"/>
    <col min="2" max="2" width="10.7109375" style="2" bestFit="1" customWidth="1"/>
    <col min="3" max="3" width="11" style="2" hidden="1" customWidth="1"/>
    <col min="4" max="4" width="23.5703125" style="2" hidden="1" customWidth="1"/>
    <col min="5" max="5" width="20.28515625" style="2" customWidth="1"/>
    <col min="6" max="6" width="9.140625" style="2"/>
    <col min="7" max="10" width="15.5703125" style="2" customWidth="1"/>
    <col min="11" max="11" width="9.140625" style="2"/>
    <col min="12" max="13" width="9.140625" style="2" hidden="1" customWidth="1"/>
    <col min="14" max="16384" width="9.140625" style="2"/>
  </cols>
  <sheetData>
    <row r="1" spans="1:13" ht="21" customHeight="1" x14ac:dyDescent="0.25">
      <c r="A1" s="143" t="s">
        <v>522</v>
      </c>
      <c r="B1" s="12"/>
      <c r="C1" s="12"/>
      <c r="D1" s="12"/>
      <c r="E1" s="12"/>
      <c r="F1" s="12"/>
      <c r="G1" s="98" t="s">
        <v>497</v>
      </c>
      <c r="H1" s="97"/>
      <c r="I1" s="97"/>
      <c r="J1" s="97"/>
    </row>
    <row r="2" spans="1:13" ht="48" customHeight="1" thickBot="1" x14ac:dyDescent="0.3">
      <c r="A2" s="190" t="s">
        <v>30</v>
      </c>
      <c r="B2" s="186" t="s">
        <v>33</v>
      </c>
      <c r="C2" s="187"/>
      <c r="D2" s="188" t="s">
        <v>261</v>
      </c>
      <c r="E2" s="189" t="str">
        <f>IF(AND(C3="Toilet A",C5="",C7="",C9=""),"ToiletA",IF(OR(C5="Toilet B",C7="Toilet B",C9="Toilet B"),"ToiletB",""))</f>
        <v>ToiletB</v>
      </c>
      <c r="G2" s="204" t="s">
        <v>523</v>
      </c>
      <c r="H2" s="204"/>
      <c r="I2" s="204"/>
      <c r="J2" s="204"/>
      <c r="L2" s="2" t="s">
        <v>25</v>
      </c>
      <c r="M2" s="2">
        <v>0</v>
      </c>
    </row>
    <row r="3" spans="1:13" ht="15.75" thickBot="1" x14ac:dyDescent="0.3">
      <c r="A3" s="9" t="s">
        <v>31</v>
      </c>
      <c r="B3" s="45" t="s">
        <v>26</v>
      </c>
      <c r="C3" s="2" t="str">
        <f>IF(B3="Yes",D3,"")</f>
        <v/>
      </c>
      <c r="D3" s="23" t="s">
        <v>0</v>
      </c>
      <c r="E3" s="3"/>
      <c r="G3" s="40" t="s">
        <v>59</v>
      </c>
      <c r="H3" s="40" t="s">
        <v>60</v>
      </c>
      <c r="I3" s="40" t="s">
        <v>61</v>
      </c>
      <c r="J3" s="40" t="s">
        <v>62</v>
      </c>
      <c r="L3" s="39" t="s">
        <v>26</v>
      </c>
      <c r="M3" s="2">
        <v>1</v>
      </c>
    </row>
    <row r="4" spans="1:13" ht="15.75" thickBot="1" x14ac:dyDescent="0.3">
      <c r="A4" s="17" t="s">
        <v>22</v>
      </c>
      <c r="D4" s="23"/>
      <c r="E4" s="3"/>
      <c r="G4" s="6">
        <v>1</v>
      </c>
      <c r="H4" s="6">
        <v>1</v>
      </c>
      <c r="I4" s="7"/>
      <c r="J4" s="6">
        <v>1</v>
      </c>
      <c r="M4" s="2">
        <v>2</v>
      </c>
    </row>
    <row r="5" spans="1:13" ht="30.75" thickBot="1" x14ac:dyDescent="0.3">
      <c r="A5" s="9" t="s">
        <v>32</v>
      </c>
      <c r="B5" s="45" t="s">
        <v>25</v>
      </c>
      <c r="C5" s="2" t="str">
        <f>IF(B5="Yes",D5,"")</f>
        <v>Toilet B</v>
      </c>
      <c r="D5" s="23" t="s">
        <v>1</v>
      </c>
      <c r="E5" s="3"/>
      <c r="G5" s="99" t="s">
        <v>501</v>
      </c>
      <c r="M5" s="2">
        <v>3</v>
      </c>
    </row>
    <row r="6" spans="1:13" ht="15.75" thickBot="1" x14ac:dyDescent="0.3">
      <c r="A6" s="17" t="s">
        <v>22</v>
      </c>
      <c r="D6" s="23"/>
      <c r="E6" s="3"/>
      <c r="G6" s="100" t="s">
        <v>502</v>
      </c>
      <c r="M6" s="2">
        <v>4</v>
      </c>
    </row>
    <row r="7" spans="1:13" ht="15.75" thickBot="1" x14ac:dyDescent="0.3">
      <c r="A7" s="9" t="s">
        <v>2</v>
      </c>
      <c r="B7" s="45" t="s">
        <v>26</v>
      </c>
      <c r="C7" s="2" t="str">
        <f>IF(B7="Yes",D7,"")</f>
        <v/>
      </c>
      <c r="D7" s="23" t="s">
        <v>1</v>
      </c>
      <c r="E7" s="3"/>
      <c r="G7" s="101" t="s">
        <v>503</v>
      </c>
      <c r="M7" s="2">
        <v>5</v>
      </c>
    </row>
    <row r="8" spans="1:13" ht="15.75" thickBot="1" x14ac:dyDescent="0.3">
      <c r="A8" s="17" t="s">
        <v>22</v>
      </c>
      <c r="D8" s="23"/>
      <c r="E8" s="3"/>
      <c r="G8" s="3"/>
      <c r="M8" s="2">
        <v>6</v>
      </c>
    </row>
    <row r="9" spans="1:13" ht="15.75" thickBot="1" x14ac:dyDescent="0.3">
      <c r="A9" s="18" t="s">
        <v>3</v>
      </c>
      <c r="B9" s="45" t="s">
        <v>26</v>
      </c>
      <c r="C9" s="19" t="str">
        <f>IF(B9="Yes",D9,"")</f>
        <v/>
      </c>
      <c r="D9" s="24" t="s">
        <v>1</v>
      </c>
      <c r="E9" s="20"/>
      <c r="F9" s="19"/>
      <c r="G9" s="20"/>
      <c r="H9" s="19"/>
      <c r="I9" s="19"/>
      <c r="J9" s="19"/>
      <c r="M9" s="2">
        <v>7</v>
      </c>
    </row>
    <row r="10" spans="1:13" x14ac:dyDescent="0.25">
      <c r="E10" s="3"/>
      <c r="G10" s="3"/>
    </row>
    <row r="11" spans="1:13" ht="48" customHeight="1" thickBot="1" x14ac:dyDescent="0.3">
      <c r="A11" s="185" t="s">
        <v>29</v>
      </c>
      <c r="B11" s="186" t="s">
        <v>33</v>
      </c>
      <c r="C11" s="187"/>
      <c r="D11" s="188" t="s">
        <v>261</v>
      </c>
      <c r="E11" s="189" t="str">
        <f>IF(OR(C21="Wash C"),"WashC", IF(OR(C23="Wash B",C18="Wash B", C16="Wash B"),"WashB", IF(OR(C12="Wash A",C14="Wash A"),"WashA","")))</f>
        <v>WashC</v>
      </c>
      <c r="G11" s="204" t="s">
        <v>523</v>
      </c>
      <c r="H11" s="204"/>
      <c r="I11" s="204"/>
      <c r="J11" s="204"/>
    </row>
    <row r="12" spans="1:13" ht="15.75" thickBot="1" x14ac:dyDescent="0.3">
      <c r="A12" s="9" t="s">
        <v>5</v>
      </c>
      <c r="B12" s="45" t="s">
        <v>25</v>
      </c>
      <c r="C12" s="2" t="str">
        <f>IF(B12="Yes",D12,"")</f>
        <v>Wash A</v>
      </c>
      <c r="D12" s="23" t="s">
        <v>4</v>
      </c>
      <c r="E12" s="3"/>
      <c r="G12" s="40" t="s">
        <v>59</v>
      </c>
      <c r="H12" s="40" t="s">
        <v>60</v>
      </c>
      <c r="I12" s="40" t="s">
        <v>61</v>
      </c>
      <c r="J12" s="40" t="s">
        <v>62</v>
      </c>
    </row>
    <row r="13" spans="1:13" ht="15.75" thickBot="1" x14ac:dyDescent="0.3">
      <c r="A13" s="17" t="s">
        <v>22</v>
      </c>
      <c r="D13" s="23"/>
      <c r="E13" s="3"/>
      <c r="G13" s="7">
        <v>1</v>
      </c>
      <c r="H13" s="6"/>
      <c r="I13" s="6"/>
      <c r="J13" s="6">
        <v>1</v>
      </c>
    </row>
    <row r="14" spans="1:13" ht="15.75" thickBot="1" x14ac:dyDescent="0.3">
      <c r="A14" s="9" t="s">
        <v>6</v>
      </c>
      <c r="B14" s="45" t="s">
        <v>25</v>
      </c>
      <c r="C14" s="2" t="str">
        <f>IF(B14="Yes",D14,"")</f>
        <v>Wash A</v>
      </c>
      <c r="D14" s="23" t="s">
        <v>4</v>
      </c>
      <c r="E14" s="3"/>
    </row>
    <row r="15" spans="1:13" ht="15.75" thickBot="1" x14ac:dyDescent="0.3">
      <c r="A15" s="17" t="s">
        <v>22</v>
      </c>
      <c r="D15" s="23"/>
      <c r="G15" s="3"/>
    </row>
    <row r="16" spans="1:13" ht="15.75" thickBot="1" x14ac:dyDescent="0.3">
      <c r="A16" s="9" t="s">
        <v>34</v>
      </c>
      <c r="B16" s="45" t="s">
        <v>25</v>
      </c>
      <c r="C16" s="2" t="str">
        <f>IF(B16="Yes",D16,"")</f>
        <v>Wash B</v>
      </c>
      <c r="D16" s="23" t="s">
        <v>7</v>
      </c>
    </row>
    <row r="17" spans="1:10" ht="15.75" thickBot="1" x14ac:dyDescent="0.3">
      <c r="A17" s="17" t="s">
        <v>22</v>
      </c>
      <c r="D17" s="23"/>
      <c r="G17" s="3"/>
    </row>
    <row r="18" spans="1:10" ht="15.75" thickBot="1" x14ac:dyDescent="0.3">
      <c r="A18" s="9" t="s">
        <v>35</v>
      </c>
      <c r="B18" s="45" t="s">
        <v>25</v>
      </c>
      <c r="C18" s="2" t="str">
        <f>IF(B18="Yes",D18,"")</f>
        <v>Wash B</v>
      </c>
      <c r="D18" s="23" t="s">
        <v>7</v>
      </c>
      <c r="G18" s="3"/>
    </row>
    <row r="19" spans="1:10" x14ac:dyDescent="0.25">
      <c r="A19" s="9"/>
      <c r="D19" s="23"/>
      <c r="E19" s="3"/>
      <c r="G19" s="3"/>
    </row>
    <row r="20" spans="1:10" ht="15.75" thickBot="1" x14ac:dyDescent="0.3">
      <c r="A20" s="15" t="s">
        <v>63</v>
      </c>
      <c r="B20" s="21" t="s">
        <v>33</v>
      </c>
      <c r="C20" s="5"/>
      <c r="D20" s="25"/>
      <c r="E20" s="4"/>
      <c r="F20" s="5"/>
      <c r="G20" s="4"/>
      <c r="H20" s="5"/>
      <c r="I20" s="5"/>
      <c r="J20" s="5"/>
    </row>
    <row r="21" spans="1:10" ht="15.75" thickBot="1" x14ac:dyDescent="0.3">
      <c r="A21" s="9" t="s">
        <v>9</v>
      </c>
      <c r="B21" s="45" t="s">
        <v>25</v>
      </c>
      <c r="C21" s="5" t="str">
        <f>IF(AND(B21="Yes",B18="",B16="",B14="",B12=""),"", IF(AND(OR(B18="Yes",B16="Yes",B14="Yes",B12="Yes"),B21="Yes"),"Wash C",""))</f>
        <v>Wash C</v>
      </c>
      <c r="D21" s="25" t="s">
        <v>8</v>
      </c>
      <c r="E21" s="5"/>
      <c r="F21" s="5"/>
      <c r="G21" s="4"/>
      <c r="H21" s="5"/>
      <c r="I21" s="5"/>
      <c r="J21" s="5"/>
    </row>
    <row r="22" spans="1:10" ht="15.75" thickBot="1" x14ac:dyDescent="0.3">
      <c r="A22" s="9"/>
      <c r="B22" s="5"/>
      <c r="C22" s="5"/>
      <c r="D22" s="25"/>
      <c r="E22" s="4"/>
      <c r="F22" s="5"/>
      <c r="G22" s="4"/>
      <c r="H22" s="5"/>
      <c r="I22" s="5"/>
      <c r="J22" s="5"/>
    </row>
    <row r="23" spans="1:10" ht="15.75" thickBot="1" x14ac:dyDescent="0.3">
      <c r="A23" s="18" t="s">
        <v>27</v>
      </c>
      <c r="B23" s="45" t="s">
        <v>25</v>
      </c>
      <c r="C23" s="19" t="str">
        <f>IF(AND(B23="Yes",B18="",B16="",B14="",B12=""),"",IF(AND(OR(B18="Yes",B16="Yes",B14="Yes",B12="Yes"),B23="Yes"),"Wash B",""))</f>
        <v>Wash B</v>
      </c>
      <c r="D23" s="24" t="s">
        <v>7</v>
      </c>
      <c r="E23" s="19"/>
      <c r="F23" s="19"/>
      <c r="G23" s="20"/>
      <c r="H23" s="19"/>
      <c r="I23" s="19"/>
      <c r="J23" s="19"/>
    </row>
    <row r="24" spans="1:10" x14ac:dyDescent="0.25">
      <c r="A24" s="9"/>
      <c r="E24" s="3"/>
      <c r="G24" s="3"/>
    </row>
    <row r="25" spans="1:10" ht="46.5" customHeight="1" thickBot="1" x14ac:dyDescent="0.3">
      <c r="A25" s="185" t="s">
        <v>28</v>
      </c>
      <c r="B25" s="186" t="s">
        <v>33</v>
      </c>
      <c r="C25" s="187"/>
      <c r="D25" s="188" t="s">
        <v>261</v>
      </c>
      <c r="E25" s="189" t="str">
        <f>IF(AND(C26="Dress A",C28="",C30=""),"DressA",IF(OR(C28="Dress B",C30="Dress B"),"DressB",""))</f>
        <v>DressB</v>
      </c>
      <c r="G25" s="204" t="s">
        <v>523</v>
      </c>
      <c r="H25" s="204"/>
      <c r="I25" s="204"/>
      <c r="J25" s="204"/>
    </row>
    <row r="26" spans="1:10" ht="15.75" thickBot="1" x14ac:dyDescent="0.3">
      <c r="A26" s="10" t="s">
        <v>11</v>
      </c>
      <c r="B26" s="45" t="s">
        <v>25</v>
      </c>
      <c r="C26" s="2" t="str">
        <f>IF(B26="Yes",D26,"")</f>
        <v>Dress A</v>
      </c>
      <c r="D26" s="23" t="s">
        <v>10</v>
      </c>
      <c r="E26" s="3"/>
      <c r="G26" s="40" t="s">
        <v>59</v>
      </c>
      <c r="H26" s="40" t="s">
        <v>60</v>
      </c>
      <c r="I26" s="40" t="s">
        <v>61</v>
      </c>
      <c r="J26" s="40" t="s">
        <v>62</v>
      </c>
    </row>
    <row r="27" spans="1:10" ht="15.75" thickBot="1" x14ac:dyDescent="0.3">
      <c r="A27" s="16" t="s">
        <v>22</v>
      </c>
      <c r="B27" s="5"/>
      <c r="C27" s="5"/>
      <c r="D27" s="25"/>
      <c r="E27" s="4"/>
      <c r="F27" s="5"/>
      <c r="G27" s="7">
        <v>1</v>
      </c>
      <c r="H27" s="6"/>
      <c r="I27" s="6"/>
      <c r="J27" s="6">
        <v>5</v>
      </c>
    </row>
    <row r="28" spans="1:10" ht="15.75" thickBot="1" x14ac:dyDescent="0.3">
      <c r="A28" s="10" t="s">
        <v>13</v>
      </c>
      <c r="B28" s="45" t="s">
        <v>25</v>
      </c>
      <c r="C28" s="5" t="str">
        <f>IF(B28="Yes",D28,"")</f>
        <v>Dress B</v>
      </c>
      <c r="D28" s="25" t="s">
        <v>12</v>
      </c>
      <c r="E28" s="4"/>
      <c r="F28" s="5"/>
      <c r="G28" s="5"/>
      <c r="H28" s="5"/>
      <c r="I28" s="5"/>
      <c r="J28" s="5"/>
    </row>
    <row r="29" spans="1:10" ht="15.75" thickBot="1" x14ac:dyDescent="0.3">
      <c r="A29" s="16" t="s">
        <v>22</v>
      </c>
      <c r="B29" s="5"/>
      <c r="C29" s="5"/>
      <c r="D29" s="25"/>
      <c r="E29" s="4"/>
      <c r="F29" s="5"/>
      <c r="G29" s="5"/>
      <c r="H29" s="5"/>
      <c r="I29" s="5"/>
      <c r="J29" s="5"/>
    </row>
    <row r="30" spans="1:10" ht="15.75" thickBot="1" x14ac:dyDescent="0.3">
      <c r="A30" s="22" t="s">
        <v>14</v>
      </c>
      <c r="B30" s="45" t="s">
        <v>25</v>
      </c>
      <c r="C30" s="19" t="str">
        <f>IF(B30="Yes",D30,"")</f>
        <v>Dress B</v>
      </c>
      <c r="D30" s="24" t="s">
        <v>12</v>
      </c>
      <c r="E30" s="20"/>
      <c r="F30" s="19"/>
      <c r="G30" s="20"/>
      <c r="H30" s="19"/>
      <c r="I30" s="19"/>
      <c r="J30" s="19"/>
    </row>
    <row r="31" spans="1:10" x14ac:dyDescent="0.25">
      <c r="A31" s="10"/>
      <c r="E31" s="3"/>
      <c r="G31" s="3"/>
    </row>
    <row r="32" spans="1:10" ht="47.25" customHeight="1" thickBot="1" x14ac:dyDescent="0.3">
      <c r="A32" s="185" t="s">
        <v>21</v>
      </c>
      <c r="B32" s="186" t="s">
        <v>33</v>
      </c>
      <c r="C32" s="187"/>
      <c r="D32" s="188" t="s">
        <v>261</v>
      </c>
      <c r="E32" s="189" t="str">
        <f>IF(AND(C33="Eat A",C36=""),"EatA",IF(OR(C33="Eat B",C36="Eat B"),"EatB",""))</f>
        <v>EatB</v>
      </c>
      <c r="G32" s="204" t="s">
        <v>523</v>
      </c>
      <c r="H32" s="204"/>
      <c r="I32" s="204"/>
      <c r="J32" s="204"/>
    </row>
    <row r="33" spans="1:10" ht="15.75" thickBot="1" x14ac:dyDescent="0.3">
      <c r="A33" s="9" t="s">
        <v>20</v>
      </c>
      <c r="B33" s="45" t="s">
        <v>25</v>
      </c>
      <c r="C33" s="5" t="str">
        <f>IF(B34="No",IF(B33="Yes",D33,""),IF(B34="Yes",IF(B33="Yes",D34,""),""))</f>
        <v>Eat B</v>
      </c>
      <c r="D33" s="25" t="s">
        <v>15</v>
      </c>
      <c r="E33" s="4"/>
      <c r="F33" s="5"/>
      <c r="G33" s="40" t="s">
        <v>59</v>
      </c>
      <c r="H33" s="40" t="s">
        <v>60</v>
      </c>
      <c r="I33" s="40" t="s">
        <v>61</v>
      </c>
      <c r="J33" s="40" t="s">
        <v>62</v>
      </c>
    </row>
    <row r="34" spans="1:10" ht="15.75" thickBot="1" x14ac:dyDescent="0.3">
      <c r="A34" s="9" t="s">
        <v>318</v>
      </c>
      <c r="B34" s="45" t="s">
        <v>25</v>
      </c>
      <c r="C34" s="5"/>
      <c r="D34" s="25" t="s">
        <v>16</v>
      </c>
      <c r="E34" s="4"/>
      <c r="F34" s="5"/>
      <c r="G34" s="7">
        <v>7</v>
      </c>
      <c r="H34" s="6">
        <v>2</v>
      </c>
      <c r="I34" s="6">
        <v>3</v>
      </c>
      <c r="J34" s="6"/>
    </row>
    <row r="35" spans="1:10" ht="15.75" thickBot="1" x14ac:dyDescent="0.3">
      <c r="A35" s="17" t="s">
        <v>22</v>
      </c>
      <c r="B35" s="5"/>
      <c r="C35" s="5"/>
      <c r="D35" s="25"/>
      <c r="E35" s="4"/>
      <c r="F35" s="5"/>
      <c r="G35" s="5"/>
      <c r="H35" s="5"/>
      <c r="I35" s="5"/>
      <c r="J35" s="5"/>
    </row>
    <row r="36" spans="1:10" ht="15.75" thickBot="1" x14ac:dyDescent="0.3">
      <c r="A36" s="18" t="s">
        <v>17</v>
      </c>
      <c r="B36" s="45" t="s">
        <v>25</v>
      </c>
      <c r="C36" s="19" t="str">
        <f>IF(B36="Yes",D36,"")</f>
        <v>Eat B</v>
      </c>
      <c r="D36" s="24" t="s">
        <v>16</v>
      </c>
      <c r="E36" s="20"/>
      <c r="F36" s="19"/>
      <c r="G36" s="19"/>
      <c r="H36" s="19"/>
      <c r="I36" s="19"/>
      <c r="J36" s="19"/>
    </row>
    <row r="37" spans="1:10" x14ac:dyDescent="0.25">
      <c r="A37" s="9"/>
      <c r="E37" s="3"/>
    </row>
    <row r="38" spans="1:10" ht="46.5" customHeight="1" thickBot="1" x14ac:dyDescent="0.3">
      <c r="A38" s="185" t="s">
        <v>23</v>
      </c>
      <c r="B38" s="186" t="s">
        <v>33</v>
      </c>
      <c r="C38" s="187"/>
      <c r="D38" s="188" t="s">
        <v>261</v>
      </c>
      <c r="E38" s="189" t="str">
        <f>IF(OR(B39="Yes",B41 ="Yes"),"Bed","")</f>
        <v>Bed</v>
      </c>
      <c r="G38" s="204" t="s">
        <v>523</v>
      </c>
      <c r="H38" s="204"/>
      <c r="I38" s="204"/>
      <c r="J38" s="204"/>
    </row>
    <row r="39" spans="1:10" ht="15.75" thickBot="1" x14ac:dyDescent="0.3">
      <c r="A39" s="10" t="s">
        <v>19</v>
      </c>
      <c r="B39" s="45" t="s">
        <v>25</v>
      </c>
      <c r="C39" s="2" t="str">
        <f>IF(B39="Yes",D39,"")</f>
        <v xml:space="preserve">Bed </v>
      </c>
      <c r="D39" s="23" t="s">
        <v>18</v>
      </c>
      <c r="E39" s="3"/>
      <c r="G39" s="40" t="s">
        <v>59</v>
      </c>
      <c r="H39" s="40" t="s">
        <v>60</v>
      </c>
      <c r="I39" s="40" t="s">
        <v>61</v>
      </c>
      <c r="J39" s="40" t="s">
        <v>62</v>
      </c>
    </row>
    <row r="40" spans="1:10" ht="15.75" thickBot="1" x14ac:dyDescent="0.3">
      <c r="A40" s="16" t="s">
        <v>22</v>
      </c>
      <c r="B40" s="5"/>
      <c r="C40" s="5"/>
      <c r="D40" s="25"/>
      <c r="E40" s="4"/>
      <c r="F40" s="5"/>
      <c r="G40" s="7"/>
      <c r="H40" s="6"/>
      <c r="I40" s="6"/>
      <c r="J40" s="6">
        <v>7</v>
      </c>
    </row>
    <row r="41" spans="1:10" ht="15.75" thickBot="1" x14ac:dyDescent="0.3">
      <c r="A41" s="18" t="s">
        <v>24</v>
      </c>
      <c r="B41" s="45" t="s">
        <v>25</v>
      </c>
      <c r="C41" s="19" t="str">
        <f>IF(B41="Yes",D41,"")</f>
        <v xml:space="preserve">Bed </v>
      </c>
      <c r="D41" s="24" t="s">
        <v>18</v>
      </c>
      <c r="E41" s="20"/>
      <c r="F41" s="19"/>
      <c r="G41" s="20"/>
      <c r="H41" s="19"/>
      <c r="I41" s="19"/>
      <c r="J41" s="19"/>
    </row>
    <row r="42" spans="1:10" x14ac:dyDescent="0.25">
      <c r="A42" s="9"/>
      <c r="E42" s="3"/>
      <c r="G42" s="3"/>
    </row>
    <row r="43" spans="1:10" ht="15.75" thickBot="1" x14ac:dyDescent="0.3">
      <c r="A43" s="11" t="s">
        <v>419</v>
      </c>
      <c r="B43" s="14" t="s">
        <v>33</v>
      </c>
      <c r="D43" s="13" t="s">
        <v>261</v>
      </c>
      <c r="E43" s="26" t="str">
        <f>IF(B44="Yes", D44,"")</f>
        <v/>
      </c>
    </row>
    <row r="44" spans="1:10" ht="15.75" thickBot="1" x14ac:dyDescent="0.3">
      <c r="A44" s="9" t="s">
        <v>420</v>
      </c>
      <c r="B44" s="45" t="s">
        <v>26</v>
      </c>
      <c r="C44" s="5"/>
      <c r="D44" s="25" t="s">
        <v>421</v>
      </c>
      <c r="E44" s="4"/>
      <c r="F44" s="5"/>
      <c r="H44" s="5"/>
      <c r="I44" s="5"/>
      <c r="J44" s="5"/>
    </row>
    <row r="45" spans="1:10" x14ac:dyDescent="0.25">
      <c r="A45" s="18"/>
      <c r="B45" s="19"/>
      <c r="C45" s="19"/>
      <c r="D45" s="24"/>
      <c r="E45" s="20"/>
      <c r="F45" s="19"/>
      <c r="G45" s="43"/>
      <c r="H45" s="19"/>
      <c r="I45" s="19"/>
      <c r="J45" s="19"/>
    </row>
    <row r="46" spans="1:10" x14ac:dyDescent="0.25">
      <c r="A46" s="9"/>
      <c r="B46" s="5"/>
      <c r="C46" s="5"/>
      <c r="D46" s="24"/>
      <c r="E46" s="20"/>
      <c r="F46" s="5"/>
      <c r="G46" s="42"/>
      <c r="H46" s="5"/>
      <c r="I46" s="5"/>
      <c r="J46" s="5"/>
    </row>
    <row r="47" spans="1:10" ht="15.75" thickBot="1" x14ac:dyDescent="0.3">
      <c r="A47" s="11" t="s">
        <v>431</v>
      </c>
      <c r="B47" s="14" t="s">
        <v>33</v>
      </c>
      <c r="D47" s="13" t="s">
        <v>261</v>
      </c>
      <c r="E47" s="26" t="str">
        <f>C48</f>
        <v>Unable to live alone</v>
      </c>
      <c r="G47" s="102" t="s">
        <v>504</v>
      </c>
    </row>
    <row r="48" spans="1:10" ht="15.75" thickBot="1" x14ac:dyDescent="0.3">
      <c r="A48" s="9" t="s">
        <v>432</v>
      </c>
      <c r="B48" s="45" t="s">
        <v>25</v>
      </c>
      <c r="C48" s="2" t="str">
        <f>IF(AND(B48="Yes",B50=""),"At Risk",IF(OR(AND(B48="",B50="Yes"),AND(B48="Yes",B50="Yes")),"Unable to live alone",""))</f>
        <v>Unable to live alone</v>
      </c>
      <c r="E48" s="3"/>
      <c r="G48" s="103" t="s">
        <v>505</v>
      </c>
    </row>
    <row r="49" spans="1:10" ht="15.75" thickBot="1" x14ac:dyDescent="0.3">
      <c r="A49" s="17" t="s">
        <v>22</v>
      </c>
      <c r="B49" s="5"/>
      <c r="C49" s="5"/>
      <c r="D49" s="5"/>
      <c r="E49" s="4"/>
      <c r="F49" s="5"/>
      <c r="G49" s="4"/>
      <c r="H49" s="5"/>
      <c r="I49" s="5"/>
      <c r="J49" s="5"/>
    </row>
    <row r="50" spans="1:10" ht="15.75" thickBot="1" x14ac:dyDescent="0.3">
      <c r="A50" s="18" t="s">
        <v>433</v>
      </c>
      <c r="B50" s="45" t="s">
        <v>25</v>
      </c>
      <c r="C50" s="19"/>
      <c r="D50" s="19"/>
      <c r="E50" s="20"/>
      <c r="F50" s="19"/>
      <c r="G50" s="20"/>
      <c r="H50" s="19"/>
      <c r="I50" s="19"/>
      <c r="J50" s="19"/>
    </row>
    <row r="51" spans="1:10" x14ac:dyDescent="0.25">
      <c r="A51" s="9"/>
      <c r="B51" s="191"/>
      <c r="C51" s="5"/>
      <c r="D51" s="5"/>
      <c r="E51" s="4"/>
      <c r="F51" s="5"/>
      <c r="G51" s="4"/>
      <c r="H51" s="5"/>
      <c r="I51" s="5"/>
      <c r="J51" s="5"/>
    </row>
    <row r="52" spans="1:10" x14ac:dyDescent="0.25">
      <c r="A52" s="192" t="s">
        <v>555</v>
      </c>
      <c r="B52" s="193"/>
      <c r="C52" s="193"/>
      <c r="D52" s="193"/>
      <c r="E52" s="193"/>
      <c r="G52" s="3"/>
    </row>
    <row r="53" spans="1:10" x14ac:dyDescent="0.25">
      <c r="A53" s="9" t="s">
        <v>535</v>
      </c>
      <c r="B53" s="164">
        <f>IF('Needs Calculation - Carer Input'!H4="Y",'Needs Calculation - Carer Input'!H5,'Needs Calculation - Carer Input'!F5)</f>
        <v>7.75</v>
      </c>
      <c r="C53" s="5"/>
      <c r="D53" s="5"/>
      <c r="E53" s="5"/>
      <c r="F53" s="5"/>
    </row>
    <row r="54" spans="1:10" x14ac:dyDescent="0.25">
      <c r="A54" s="8" t="s">
        <v>536</v>
      </c>
      <c r="B54" s="41">
        <v>13.28</v>
      </c>
      <c r="C54" s="5"/>
      <c r="D54" s="5"/>
      <c r="E54" s="5"/>
      <c r="F54" s="5"/>
    </row>
    <row r="55" spans="1:10" ht="15.75" thickBot="1" x14ac:dyDescent="0.3">
      <c r="A55" s="3" t="s">
        <v>538</v>
      </c>
      <c r="B55" s="194">
        <f>IF(B44="Yes",12.6,0)</f>
        <v>0</v>
      </c>
      <c r="C55" s="5"/>
      <c r="D55" s="5"/>
      <c r="E55" s="5"/>
      <c r="F55" s="5"/>
    </row>
    <row r="56" spans="1:10" ht="15.75" thickBot="1" x14ac:dyDescent="0.3">
      <c r="A56" s="27" t="s">
        <v>537</v>
      </c>
      <c r="B56" s="195">
        <f>IF((B53*B54)+B55&gt;450,"Above the threashold",(B53*B54)+B55)</f>
        <v>102.92</v>
      </c>
      <c r="C56" s="5"/>
      <c r="D56" s="5"/>
      <c r="E56" s="5"/>
      <c r="F56" s="5"/>
    </row>
    <row r="57" spans="1:10" ht="15.75" thickBot="1" x14ac:dyDescent="0.3">
      <c r="A57" s="27" t="s">
        <v>560</v>
      </c>
      <c r="B57" s="195">
        <f>IF('LD - SU and Carer'!B31="Budget greater than threshold amount; needs should be considered outside of RAS",0,IF(B56+B71&gt;450,"Budget greater than threshold amount; needs should be considered outside of RAS",'Daily Needs'!B56))</f>
        <v>102.92</v>
      </c>
      <c r="C57" s="5"/>
      <c r="D57" s="5"/>
      <c r="E57" s="184" t="s">
        <v>561</v>
      </c>
      <c r="F57" s="5"/>
    </row>
    <row r="58" spans="1:10" x14ac:dyDescent="0.25">
      <c r="B58" s="5"/>
      <c r="C58" s="5"/>
      <c r="D58" s="5"/>
      <c r="E58" s="184"/>
      <c r="F58" s="5"/>
    </row>
    <row r="59" spans="1:10" x14ac:dyDescent="0.25">
      <c r="A59" s="8" t="s">
        <v>528</v>
      </c>
      <c r="B59" s="6">
        <f>IF('Needs Calculation - Carer Input'!H2="Y",0,'Needs Calculation - Carer Input'!H7)</f>
        <v>3</v>
      </c>
      <c r="C59" s="5"/>
      <c r="E59" s="184" t="s">
        <v>552</v>
      </c>
      <c r="F59" s="5"/>
    </row>
    <row r="60" spans="1:10" ht="15.75" thickBot="1" x14ac:dyDescent="0.3">
      <c r="A60" s="8" t="s">
        <v>478</v>
      </c>
      <c r="B60" s="196">
        <f>IF('Personal Budget'!B3="",0,IF('Personal Budget'!B3="Under 65",'Needs Calculation - Carer Input'!C128,IF('Personal Budget'!B3="65+",'Needs Calculation - Carer Input'!C129,"")))</f>
        <v>43</v>
      </c>
      <c r="E60" s="99"/>
    </row>
    <row r="61" spans="1:10" ht="15.75" thickBot="1" x14ac:dyDescent="0.3">
      <c r="A61" s="27" t="s">
        <v>544</v>
      </c>
      <c r="B61" s="45">
        <f>B59*B60</f>
        <v>129</v>
      </c>
    </row>
    <row r="62" spans="1:10" ht="15.75" thickBot="1" x14ac:dyDescent="0.3">
      <c r="A62" s="27" t="s">
        <v>566</v>
      </c>
      <c r="B62" s="45">
        <f>IF('LD - SU and Carer'!B31="Budget greater than threshold amount; needs should be considered outside of RAS",0,B61)</f>
        <v>129</v>
      </c>
      <c r="E62" s="99" t="s">
        <v>562</v>
      </c>
    </row>
    <row r="63" spans="1:10" x14ac:dyDescent="0.25">
      <c r="E63" s="99"/>
    </row>
    <row r="64" spans="1:10" x14ac:dyDescent="0.25">
      <c r="A64" s="8" t="s">
        <v>531</v>
      </c>
      <c r="B64" s="6">
        <f>IF('Needs Calculation - Carer Input'!H2="Y",0,'Needs Calculation - Carer Input'!H8)</f>
        <v>6</v>
      </c>
      <c r="E64" s="99" t="s">
        <v>553</v>
      </c>
    </row>
    <row r="65" spans="1:5" ht="15.75" thickBot="1" x14ac:dyDescent="0.3">
      <c r="A65" s="8" t="s">
        <v>543</v>
      </c>
      <c r="B65" s="196">
        <f>IF('Personal Budget'!B3="",0,IF('Personal Budget'!B3="Under 65",'Needs Calculation - Carer Input'!C132,IF(AND('Personal Budget'!B3="65+",OR('Personal Budget'!B10="ToiletAWashBEatBDressB",'Personal Budget'!B10="ToiletBWashBEatBDressB",'Personal Budget'!B10="ToiletAWashcEatBDressB",'Personal Budget'!B10="ToiletBWashCEatBDressB",'Personal Budget'!B10="BedToiletAWashBEatBDressB",'Personal Budget'!B10="BedToiletBWashBEatBDressB",'Personal Budget'!B10="BedToiletAWashcEatBDressB",'Personal Budget'!B10="BedToiletBWashCEatBDressB")),'Needs Calculation - Carer Input'!C134,IF('Personal Budget'!B3="65+",'Needs Calculation - Carer Input'!C133,0))))</f>
        <v>658</v>
      </c>
      <c r="E65" s="99"/>
    </row>
    <row r="66" spans="1:5" ht="15.75" thickBot="1" x14ac:dyDescent="0.3">
      <c r="A66" s="27" t="s">
        <v>545</v>
      </c>
      <c r="B66" s="45">
        <f>B64*B65</f>
        <v>3948</v>
      </c>
    </row>
    <row r="67" spans="1:5" ht="15.75" thickBot="1" x14ac:dyDescent="0.3">
      <c r="A67" s="27" t="s">
        <v>563</v>
      </c>
      <c r="B67" s="45">
        <f>IF(B57="Budget greater than threshold amount; needs should be considered outside of RAS",0,B66)</f>
        <v>3948</v>
      </c>
      <c r="E67" s="99" t="s">
        <v>562</v>
      </c>
    </row>
    <row r="68" spans="1:5" ht="15.75" thickBot="1" x14ac:dyDescent="0.3">
      <c r="A68" s="27" t="s">
        <v>549</v>
      </c>
      <c r="B68" s="45">
        <f>B66/52</f>
        <v>75.92307692307692</v>
      </c>
    </row>
    <row r="69" spans="1:5" ht="15.75" thickBot="1" x14ac:dyDescent="0.3">
      <c r="A69" s="27" t="s">
        <v>564</v>
      </c>
      <c r="B69" s="45">
        <f>IF(B57="Budget greater than threshold amount; needs should be considered outside of RAS",0,B68)</f>
        <v>75.92307692307692</v>
      </c>
      <c r="E69" s="99" t="s">
        <v>562</v>
      </c>
    </row>
    <row r="70" spans="1:5" ht="15.75" thickBot="1" x14ac:dyDescent="0.3">
      <c r="E70" s="99"/>
    </row>
    <row r="71" spans="1:5" ht="15.75" thickBot="1" x14ac:dyDescent="0.3">
      <c r="A71" s="27" t="s">
        <v>550</v>
      </c>
      <c r="B71" s="45">
        <f>B61+B68</f>
        <v>204.92307692307691</v>
      </c>
    </row>
    <row r="72" spans="1:5" ht="15.75" thickBot="1" x14ac:dyDescent="0.3">
      <c r="A72" s="27" t="s">
        <v>565</v>
      </c>
      <c r="B72" s="45">
        <f>IF(B57="Budget greater than threshold amount; needs should be considered outside of RAS",0,B71)</f>
        <v>204.92307692307691</v>
      </c>
      <c r="E72" s="99" t="s">
        <v>562</v>
      </c>
    </row>
  </sheetData>
  <mergeCells count="5">
    <mergeCell ref="G2:J2"/>
    <mergeCell ref="G11:J11"/>
    <mergeCell ref="G25:J25"/>
    <mergeCell ref="G32:J32"/>
    <mergeCell ref="G38:J38"/>
  </mergeCells>
  <conditionalFormatting sqref="I4">
    <cfRule type="expression" dxfId="8" priority="10">
      <formula>IF($E$2="ToiletB",1,0)</formula>
    </cfRule>
  </conditionalFormatting>
  <conditionalFormatting sqref="H4:J4">
    <cfRule type="expression" dxfId="7" priority="9">
      <formula>IF($E$2="ToiletA",1,0)</formula>
    </cfRule>
  </conditionalFormatting>
  <conditionalFormatting sqref="H13:J13">
    <cfRule type="expression" dxfId="6" priority="7">
      <formula>IF(OR($E$11="WashA",$E$11="WashB"),1,0)</formula>
    </cfRule>
  </conditionalFormatting>
  <conditionalFormatting sqref="H13:I13">
    <cfRule type="expression" dxfId="5" priority="6">
      <formula>IF($E$11="WashC",1,0)</formula>
    </cfRule>
  </conditionalFormatting>
  <conditionalFormatting sqref="H27:J27">
    <cfRule type="expression" dxfId="4" priority="5">
      <formula>IF($E$25="DressA",1,0)</formula>
    </cfRule>
  </conditionalFormatting>
  <conditionalFormatting sqref="H27:I27">
    <cfRule type="expression" dxfId="3" priority="4">
      <formula>IF($E$25="DressB",1,0)</formula>
    </cfRule>
  </conditionalFormatting>
  <conditionalFormatting sqref="H34:J34">
    <cfRule type="expression" dxfId="2" priority="3">
      <formula>IF($E$32="EatA",1,0)</formula>
    </cfRule>
  </conditionalFormatting>
  <conditionalFormatting sqref="J34">
    <cfRule type="expression" dxfId="1" priority="2">
      <formula>IF($E$32="EatB",1,0)</formula>
    </cfRule>
  </conditionalFormatting>
  <conditionalFormatting sqref="H40:I40">
    <cfRule type="expression" dxfId="0" priority="1">
      <formula>IF($E$38="Bed",1,0)</formula>
    </cfRule>
  </conditionalFormatting>
  <dataValidations count="4">
    <dataValidation type="list" allowBlank="1" showInputMessage="1" showErrorMessage="1" sqref="B30 B3 B5 B7 B9 B12 B14 B16 B18 B21 B23 B26 B28 B33:B34 B36 B39 B41 B44 B48 B50">
      <formula1>$L$2:$L$3</formula1>
    </dataValidation>
    <dataValidation type="list" allowBlank="1" showInputMessage="1" showErrorMessage="1" sqref="B37 B42 B49 B52">
      <formula1>#REF!</formula1>
    </dataValidation>
    <dataValidation type="list" allowBlank="1" showInputMessage="1" showErrorMessage="1" sqref="B45:B46 B51">
      <formula1>$L$2</formula1>
    </dataValidation>
    <dataValidation type="list" allowBlank="1" showInputMessage="1" showErrorMessage="1" sqref="G4:J4 G13:J13 G27:J27 G34:J34 G40:J40">
      <formula1>$M$2:$M$9</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58"/>
  <sheetViews>
    <sheetView zoomScale="90" zoomScaleNormal="90" workbookViewId="0">
      <pane ySplit="1" topLeftCell="A2" activePane="bottomLeft" state="frozen"/>
      <selection pane="bottomLeft" activeCell="B32" sqref="B32"/>
    </sheetView>
  </sheetViews>
  <sheetFormatPr defaultRowHeight="15" x14ac:dyDescent="0.25"/>
  <cols>
    <col min="1" max="1" width="22.140625" style="2" bestFit="1" customWidth="1"/>
    <col min="2" max="2" width="28.7109375" style="2" customWidth="1"/>
    <col min="3" max="3" width="11.5703125" style="2" hidden="1" customWidth="1"/>
    <col min="4" max="4" width="9.140625" style="2" hidden="1" customWidth="1"/>
    <col min="5" max="5" width="11.5703125" style="2" hidden="1" customWidth="1"/>
    <col min="6" max="6" width="9.140625" style="2" hidden="1" customWidth="1"/>
    <col min="7" max="11" width="9.140625" style="2"/>
    <col min="12" max="12" width="9.140625" style="2" customWidth="1"/>
    <col min="13" max="16384" width="9.140625" style="2"/>
  </cols>
  <sheetData>
    <row r="1" spans="1:10" ht="27" customHeight="1" x14ac:dyDescent="0.3">
      <c r="A1" s="92" t="s">
        <v>476</v>
      </c>
      <c r="B1" s="69"/>
      <c r="C1" s="69"/>
      <c r="D1" s="69"/>
      <c r="E1" s="69"/>
      <c r="F1" s="69"/>
      <c r="G1" s="69"/>
      <c r="H1" s="69"/>
      <c r="I1" s="69"/>
      <c r="J1" s="69"/>
    </row>
    <row r="2" spans="1:10" x14ac:dyDescent="0.25">
      <c r="C2" s="2" t="s">
        <v>461</v>
      </c>
    </row>
    <row r="3" spans="1:10" x14ac:dyDescent="0.25">
      <c r="A3" s="86" t="s">
        <v>457</v>
      </c>
      <c r="B3" s="77" t="s">
        <v>488</v>
      </c>
      <c r="C3" s="77" t="s">
        <v>458</v>
      </c>
      <c r="D3" s="77"/>
      <c r="E3" s="77"/>
      <c r="F3" s="77"/>
      <c r="G3" s="77"/>
      <c r="H3" s="77"/>
      <c r="I3" s="77"/>
      <c r="J3" s="77"/>
    </row>
    <row r="4" spans="1:10" x14ac:dyDescent="0.25">
      <c r="A4" s="88" t="s">
        <v>319</v>
      </c>
      <c r="B4" s="6" t="s">
        <v>324</v>
      </c>
      <c r="C4" s="2">
        <f>IF(B4="","",VLOOKUP(B4,'LD Points'!A2:B5,2,FALSE))</f>
        <v>3</v>
      </c>
    </row>
    <row r="5" spans="1:10" x14ac:dyDescent="0.25">
      <c r="A5" s="88" t="s">
        <v>328</v>
      </c>
      <c r="B5" s="6"/>
      <c r="C5" s="2" t="str">
        <f>IF(B5="","",VLOOKUP(B5,'LD Points'!A7:B10,2,FALSE))</f>
        <v/>
      </c>
    </row>
    <row r="6" spans="1:10" x14ac:dyDescent="0.25">
      <c r="A6" s="88" t="s">
        <v>338</v>
      </c>
      <c r="B6" s="6"/>
      <c r="C6" s="2" t="str">
        <f>IF(B6="","",VLOOKUP(B6,'LD Points'!A12:B15,2,FALSE))</f>
        <v/>
      </c>
    </row>
    <row r="7" spans="1:10" x14ac:dyDescent="0.25">
      <c r="A7" s="88" t="s">
        <v>347</v>
      </c>
      <c r="B7" s="6" t="s">
        <v>349</v>
      </c>
      <c r="C7" s="2">
        <f>IF(B7="","",VLOOKUP(B7,'LD Points'!A17:B22,2,FALSE))</f>
        <v>0</v>
      </c>
    </row>
    <row r="8" spans="1:10" x14ac:dyDescent="0.25">
      <c r="A8" s="88" t="s">
        <v>360</v>
      </c>
      <c r="B8" s="6"/>
      <c r="C8" s="2" t="str">
        <f>IF(B8="","",VLOOKUP(B8,'LD Points'!A24:B27,2,FALSE))</f>
        <v/>
      </c>
    </row>
    <row r="9" spans="1:10" x14ac:dyDescent="0.25">
      <c r="A9" s="88" t="s">
        <v>369</v>
      </c>
      <c r="B9" s="6" t="s">
        <v>372</v>
      </c>
      <c r="C9" s="2">
        <f>IF(B9="","",VLOOKUP(B9,'LD Points'!A29:B34,2,FALSE))</f>
        <v>3</v>
      </c>
    </row>
    <row r="10" spans="1:10" x14ac:dyDescent="0.25">
      <c r="A10" s="88" t="s">
        <v>382</v>
      </c>
      <c r="B10" s="6"/>
      <c r="C10" s="2" t="str">
        <f>IF(B10="","",VLOOKUP(B10,'LD Points'!A36:B39,2,FALSE))</f>
        <v/>
      </c>
    </row>
    <row r="11" spans="1:10" x14ac:dyDescent="0.25">
      <c r="A11" s="88" t="s">
        <v>390</v>
      </c>
      <c r="B11" s="6"/>
      <c r="C11" s="2" t="str">
        <f>IF(B11="","",VLOOKUP(B11,'LD Points'!A41:B43,2,FALSE))</f>
        <v/>
      </c>
    </row>
    <row r="12" spans="1:10" x14ac:dyDescent="0.25">
      <c r="A12" s="88" t="s">
        <v>396</v>
      </c>
      <c r="B12" s="6"/>
      <c r="C12" s="2" t="str">
        <f>IF(B12="","",VLOOKUP(B12,'LD Points'!A45:B47,2,FALSE))</f>
        <v/>
      </c>
    </row>
    <row r="13" spans="1:10" x14ac:dyDescent="0.25">
      <c r="A13" s="88" t="s">
        <v>402</v>
      </c>
      <c r="B13" s="6"/>
      <c r="C13" s="2" t="str">
        <f>IF(B13="","",VLOOKUP(B13,'LD Points'!A49:B52,2,FALSE))</f>
        <v/>
      </c>
    </row>
    <row r="14" spans="1:10" x14ac:dyDescent="0.25">
      <c r="A14" s="88" t="s">
        <v>411</v>
      </c>
      <c r="B14" s="6"/>
      <c r="C14" s="2" t="str">
        <f>IF(B14="","",VLOOKUP(B14,'LD Points'!A54:B58,2,FALSE))</f>
        <v/>
      </c>
    </row>
    <row r="15" spans="1:10" x14ac:dyDescent="0.25">
      <c r="A15" s="88" t="s">
        <v>416</v>
      </c>
      <c r="B15" s="6"/>
      <c r="C15" s="2" t="str">
        <f>IF(B15="","",VLOOKUP(B15,'LD Points'!A60:B62,2,FALSE))</f>
        <v/>
      </c>
    </row>
    <row r="16" spans="1:10" x14ac:dyDescent="0.25">
      <c r="A16" s="73"/>
      <c r="C16" s="2" t="s">
        <v>461</v>
      </c>
    </row>
    <row r="17" spans="1:10" x14ac:dyDescent="0.25">
      <c r="A17" s="89" t="s">
        <v>321</v>
      </c>
      <c r="B17" s="90" t="s">
        <v>488</v>
      </c>
      <c r="C17" s="163" t="s">
        <v>458</v>
      </c>
      <c r="D17" s="163"/>
      <c r="E17" s="163" t="s">
        <v>459</v>
      </c>
      <c r="F17" s="163"/>
      <c r="G17" s="90"/>
      <c r="H17" s="90"/>
      <c r="I17" s="90"/>
      <c r="J17" s="90"/>
    </row>
    <row r="18" spans="1:10" x14ac:dyDescent="0.25">
      <c r="A18" s="91" t="s">
        <v>322</v>
      </c>
      <c r="B18" s="6"/>
      <c r="C18" s="162" t="str">
        <f>IF(B18="","",VLOOKUP(B18,'LD Points'!A66:C68,2,FALSE))</f>
        <v/>
      </c>
      <c r="D18" s="5"/>
      <c r="E18" s="5" t="str">
        <f>IF(B18="","",VLOOKUP(B18,'LD Points'!A66:C68,3,FALSE))</f>
        <v/>
      </c>
      <c r="F18" s="5"/>
    </row>
    <row r="19" spans="1:10" x14ac:dyDescent="0.25">
      <c r="A19" s="91" t="s">
        <v>481</v>
      </c>
      <c r="B19" s="6"/>
      <c r="C19" s="162" t="str">
        <f>IF(B19="","",VLOOKUP(B19,'LD Points'!A70:C73,2,FALSE))</f>
        <v/>
      </c>
      <c r="D19" s="5"/>
      <c r="E19" s="5" t="str">
        <f>IF(B19="","",VLOOKUP(B19,'LD Points'!A70:C73,3,FALSE))</f>
        <v/>
      </c>
      <c r="F19" s="5"/>
    </row>
    <row r="20" spans="1:10" x14ac:dyDescent="0.25">
      <c r="A20" s="91" t="s">
        <v>339</v>
      </c>
      <c r="B20" s="6"/>
      <c r="C20" s="162" t="str">
        <f>IF(B20="","",VLOOKUP(B20,'LD Points'!A75:C77,2,FALSE))</f>
        <v/>
      </c>
      <c r="D20" s="5"/>
      <c r="E20" s="5" t="str">
        <f>IF(B20="","",VLOOKUP(B20,'LD Points'!A75:C77,3,FALSE))</f>
        <v/>
      </c>
      <c r="F20" s="5"/>
    </row>
    <row r="21" spans="1:10" x14ac:dyDescent="0.25">
      <c r="A21" s="91" t="s">
        <v>482</v>
      </c>
      <c r="B21" s="6"/>
      <c r="C21" s="162" t="str">
        <f>IF(B21="","",VLOOKUP(B21,'LD Points'!A79:C81,2,FALSE))</f>
        <v/>
      </c>
      <c r="D21" s="5"/>
      <c r="E21" s="5" t="str">
        <f>IF(B21="","",VLOOKUP(B21,'LD Points'!A79:C81,3,FALSE))</f>
        <v/>
      </c>
      <c r="F21" s="5"/>
    </row>
    <row r="22" spans="1:10" x14ac:dyDescent="0.25">
      <c r="A22" s="91" t="s">
        <v>483</v>
      </c>
      <c r="B22" s="6"/>
      <c r="C22" s="162" t="str">
        <f>IF(B22="","",VLOOKUP(B22,'LD Points'!A83:C85,2,FALSE))</f>
        <v/>
      </c>
      <c r="D22" s="5"/>
      <c r="E22" s="5" t="str">
        <f>IF(B22="","",VLOOKUP(B22,'LD Points'!A83:C85,3,FALSE))</f>
        <v/>
      </c>
      <c r="F22" s="5"/>
    </row>
    <row r="23" spans="1:10" x14ac:dyDescent="0.25">
      <c r="A23" s="91" t="s">
        <v>484</v>
      </c>
      <c r="B23" s="6"/>
      <c r="C23" s="162" t="str">
        <f>IF(B23="","",VLOOKUP(B23,'LD Points'!A87:C89,2,FALSE))</f>
        <v/>
      </c>
      <c r="D23" s="5"/>
      <c r="E23" s="5" t="str">
        <f>IF(B23="","",VLOOKUP(B23,'LD Points'!A87:C89,3,FALSE))</f>
        <v/>
      </c>
      <c r="F23" s="5"/>
    </row>
    <row r="24" spans="1:10" x14ac:dyDescent="0.25">
      <c r="A24" s="91" t="s">
        <v>485</v>
      </c>
      <c r="B24" s="6"/>
      <c r="C24" s="162" t="str">
        <f>IF(B24="","",VLOOKUP(B24,'LD Points'!A91:C93,2,FALSE))</f>
        <v/>
      </c>
      <c r="D24" s="5"/>
      <c r="E24" s="5" t="str">
        <f>IF(B24="","",VLOOKUP(B24,'LD Points'!A91:C93,3,FALSE))</f>
        <v/>
      </c>
      <c r="F24" s="5"/>
    </row>
    <row r="25" spans="1:10" x14ac:dyDescent="0.25">
      <c r="A25" s="91" t="s">
        <v>486</v>
      </c>
      <c r="B25" s="6"/>
      <c r="C25" s="162" t="str">
        <f>IF(B25="","",VLOOKUP(B25,'LD Points'!A95:C99,2,FALSE))</f>
        <v/>
      </c>
      <c r="D25" s="5"/>
      <c r="E25" s="5" t="str">
        <f>IF(B25="","",VLOOKUP(B25,'LD Points'!A95:C99,3,FALSE))</f>
        <v/>
      </c>
      <c r="F25" s="5"/>
    </row>
    <row r="26" spans="1:10" x14ac:dyDescent="0.25">
      <c r="A26" s="91" t="s">
        <v>487</v>
      </c>
      <c r="B26" s="6"/>
      <c r="C26" s="162" t="str">
        <f>IF(B26="","",VLOOKUP(B26,'LD Points'!A101:C104,2,FALSE))</f>
        <v/>
      </c>
      <c r="D26" s="5"/>
      <c r="E26" s="5" t="str">
        <f>IF(B26="","",VLOOKUP(B26,'LD Points'!A101:C104,2,FALSE))</f>
        <v/>
      </c>
      <c r="F26" s="5"/>
    </row>
    <row r="27" spans="1:10" x14ac:dyDescent="0.25">
      <c r="A27" s="91" t="s">
        <v>391</v>
      </c>
      <c r="B27" s="6"/>
      <c r="C27" s="162" t="str">
        <f>IF(B27="","",VLOOKUP(B27,'LD Points'!A106:C109,2,FALSE))</f>
        <v/>
      </c>
      <c r="D27" s="5"/>
      <c r="E27" s="5" t="str">
        <f>IF(B27="","",VLOOKUP(B27,'LD Points'!A106:C109,3,FALSE))</f>
        <v/>
      </c>
      <c r="F27" s="5"/>
    </row>
    <row r="28" spans="1:10" x14ac:dyDescent="0.25">
      <c r="A28" s="91" t="s">
        <v>399</v>
      </c>
      <c r="B28" s="6"/>
      <c r="C28" s="162" t="str">
        <f>IF(B28="","",VLOOKUP(B28,'LD Points'!A111:C114,2,FALSE))</f>
        <v/>
      </c>
      <c r="D28" s="5"/>
      <c r="E28" s="5" t="str">
        <f>IF(B28="","",VLOOKUP(B28,'LD Points'!A111:C114,3,FALSE))</f>
        <v/>
      </c>
      <c r="F28" s="5"/>
    </row>
    <row r="29" spans="1:10" x14ac:dyDescent="0.25">
      <c r="A29" s="91" t="s">
        <v>407</v>
      </c>
      <c r="B29" s="6"/>
      <c r="C29" s="162" t="str">
        <f>IF(B29="","",VLOOKUP(B29,'LD Points'!A116:C118,2,FALSE))</f>
        <v/>
      </c>
      <c r="D29" s="5"/>
      <c r="E29" s="5" t="str">
        <f>IF(B29="","",VLOOKUP(B29,'LD Points'!A116:C118,3,FALSE))</f>
        <v/>
      </c>
      <c r="F29" s="5"/>
    </row>
    <row r="30" spans="1:10" x14ac:dyDescent="0.25">
      <c r="A30" s="73"/>
    </row>
    <row r="31" spans="1:10" ht="18.75" x14ac:dyDescent="0.25">
      <c r="A31" s="93" t="s">
        <v>477</v>
      </c>
      <c r="B31" s="94" t="str">
        <f>IF((((D32*'LD Points'!E122)+((F32*'LD Points'!E130)/52))+'Daily Needs'!B56)&gt;500,"Budget greater than threshold amount; needs should be considered outside of RAS",IF(AND(D32=0,F32=0),"",IF(AND(D32&gt;0,F32=0),CONCATENATE("Would ",D32," Days Day Care help?"),IF(AND(D32=0,F32&gt;0),CONCATENATE("Would ",F32," Nights Respite help?"),CONCATENATE("Would ",D32," Days Day Care and ",F32," Nights Respite help?")))))</f>
        <v/>
      </c>
      <c r="C31" s="12" t="s">
        <v>462</v>
      </c>
      <c r="D31" s="12" t="s">
        <v>458</v>
      </c>
      <c r="E31" s="12" t="s">
        <v>462</v>
      </c>
      <c r="F31" s="12" t="s">
        <v>459</v>
      </c>
      <c r="G31" s="12"/>
      <c r="H31" s="12"/>
      <c r="I31" s="12"/>
      <c r="J31" s="12"/>
    </row>
    <row r="32" spans="1:10" x14ac:dyDescent="0.25">
      <c r="A32" s="2" t="s">
        <v>480</v>
      </c>
      <c r="C32" s="2">
        <f>SUM(C18:C29)+SUM(C4:C15)</f>
        <v>6</v>
      </c>
      <c r="D32" s="2">
        <f>IF(B14="College/At Work",0,IF(C32&lt;21,0,IF(C32&lt;31,3,IF(C32&lt;51,4,IF(C32&lt;89,5,"")))))</f>
        <v>0</v>
      </c>
      <c r="E32" s="2">
        <f>SUM(E18:E29)</f>
        <v>0</v>
      </c>
      <c r="F32" s="2">
        <f>IF(E32&lt;10,0,IF(E32&lt;20,14,IF(E32&lt;30,21,IF(E32&lt;40,28,IF(E32&lt;50,35,IF(E32&lt;56,42,""))))))</f>
        <v>0</v>
      </c>
      <c r="G32" s="87">
        <f>IF((((D32*'LD Points'!E122)+((F32*'LD Points'!E130)/52))+'Daily Needs'!B56)&gt;500,0,(D32*'LD Points'!E122)+((F32*'LD Points'!E130)/52))</f>
        <v>0</v>
      </c>
    </row>
    <row r="35" spans="1:17" x14ac:dyDescent="0.25">
      <c r="A35" s="95" t="s">
        <v>491</v>
      </c>
      <c r="B35" s="96"/>
      <c r="C35" s="95"/>
      <c r="D35" s="95"/>
      <c r="E35" s="95"/>
      <c r="F35" s="95"/>
      <c r="G35" s="95"/>
      <c r="H35" s="95"/>
      <c r="I35" s="95"/>
      <c r="J35" s="95"/>
    </row>
    <row r="36" spans="1:17" x14ac:dyDescent="0.25">
      <c r="A36" s="205" t="s">
        <v>490</v>
      </c>
      <c r="B36" s="205"/>
      <c r="C36" s="205"/>
      <c r="D36" s="205"/>
      <c r="E36" s="205"/>
      <c r="F36" s="205"/>
      <c r="G36" s="205"/>
      <c r="H36" s="205"/>
      <c r="I36" s="205"/>
      <c r="J36" s="205"/>
      <c r="K36" s="205"/>
      <c r="L36" s="205"/>
      <c r="M36" s="205"/>
      <c r="N36" s="205"/>
      <c r="O36" s="205"/>
      <c r="P36" s="205"/>
      <c r="Q36" s="205"/>
    </row>
    <row r="37" spans="1:17" x14ac:dyDescent="0.25">
      <c r="A37" s="205" t="s">
        <v>492</v>
      </c>
      <c r="B37" s="205"/>
      <c r="C37" s="205"/>
      <c r="D37" s="205"/>
      <c r="E37" s="205"/>
      <c r="F37" s="205"/>
      <c r="G37" s="205"/>
      <c r="H37" s="205"/>
      <c r="I37" s="205"/>
      <c r="J37" s="205"/>
      <c r="K37" s="205"/>
      <c r="L37" s="205"/>
      <c r="M37" s="205"/>
      <c r="N37" s="205"/>
      <c r="O37" s="205"/>
      <c r="P37" s="205"/>
      <c r="Q37" s="205"/>
    </row>
    <row r="38" spans="1:17" x14ac:dyDescent="0.25">
      <c r="A38" s="205" t="s">
        <v>493</v>
      </c>
      <c r="B38" s="205"/>
      <c r="C38" s="205"/>
      <c r="D38" s="205"/>
      <c r="E38" s="205"/>
      <c r="F38" s="205"/>
      <c r="G38" s="205"/>
      <c r="H38" s="205"/>
      <c r="I38" s="205"/>
      <c r="J38" s="205"/>
      <c r="K38" s="205"/>
      <c r="L38" s="205"/>
      <c r="M38" s="205"/>
      <c r="N38" s="205"/>
      <c r="O38" s="205"/>
      <c r="P38" s="205"/>
      <c r="Q38" s="205"/>
    </row>
    <row r="39" spans="1:17" x14ac:dyDescent="0.25">
      <c r="A39" s="205" t="s">
        <v>494</v>
      </c>
      <c r="B39" s="205"/>
      <c r="C39" s="205"/>
      <c r="D39" s="205"/>
      <c r="E39" s="205"/>
      <c r="F39" s="205"/>
      <c r="G39" s="205"/>
      <c r="H39" s="205"/>
      <c r="I39" s="205"/>
      <c r="J39" s="205"/>
      <c r="K39" s="205"/>
      <c r="L39" s="205"/>
      <c r="M39" s="205"/>
      <c r="N39" s="205"/>
      <c r="O39" s="205"/>
      <c r="P39" s="205"/>
      <c r="Q39" s="205"/>
    </row>
    <row r="40" spans="1:17" ht="33" customHeight="1" x14ac:dyDescent="0.25">
      <c r="A40" s="206" t="s">
        <v>489</v>
      </c>
      <c r="B40" s="206"/>
      <c r="C40" s="206"/>
      <c r="D40" s="206"/>
      <c r="E40" s="206"/>
      <c r="F40" s="206"/>
      <c r="G40" s="206"/>
      <c r="H40" s="206"/>
      <c r="I40" s="206"/>
      <c r="J40" s="206"/>
      <c r="K40" s="206"/>
      <c r="L40" s="206"/>
      <c r="M40" s="206"/>
      <c r="N40" s="206"/>
      <c r="O40" s="206"/>
      <c r="P40" s="206"/>
      <c r="Q40" s="206"/>
    </row>
    <row r="41" spans="1:17" ht="29.25" customHeight="1" x14ac:dyDescent="0.25">
      <c r="A41" s="205" t="s">
        <v>495</v>
      </c>
      <c r="B41" s="205"/>
      <c r="C41" s="205"/>
      <c r="D41" s="205"/>
      <c r="E41" s="205"/>
      <c r="F41" s="205"/>
      <c r="G41" s="205"/>
      <c r="H41" s="205"/>
      <c r="I41" s="205"/>
      <c r="J41" s="205"/>
      <c r="K41" s="205"/>
      <c r="L41" s="205"/>
      <c r="M41" s="205"/>
      <c r="N41" s="205"/>
      <c r="O41" s="205"/>
      <c r="P41" s="205"/>
      <c r="Q41" s="205"/>
    </row>
    <row r="42" spans="1:17" ht="30" customHeight="1" x14ac:dyDescent="0.25">
      <c r="A42" s="205" t="s">
        <v>496</v>
      </c>
      <c r="B42" s="205"/>
      <c r="C42" s="205"/>
      <c r="D42" s="205"/>
      <c r="E42" s="205"/>
      <c r="F42" s="205"/>
      <c r="G42" s="205"/>
      <c r="H42" s="205"/>
      <c r="I42" s="205"/>
      <c r="J42" s="205"/>
      <c r="K42" s="205"/>
      <c r="L42" s="205"/>
      <c r="M42" s="205"/>
      <c r="N42" s="205"/>
      <c r="O42" s="205"/>
      <c r="P42" s="205"/>
      <c r="Q42" s="205"/>
    </row>
    <row r="43" spans="1:17" ht="30.75" customHeight="1" x14ac:dyDescent="0.25">
      <c r="A43" s="205" t="s">
        <v>498</v>
      </c>
      <c r="B43" s="205"/>
      <c r="C43" s="205"/>
      <c r="D43" s="205"/>
      <c r="E43" s="205"/>
      <c r="F43" s="205"/>
      <c r="G43" s="205"/>
      <c r="H43" s="205"/>
      <c r="I43" s="205"/>
      <c r="J43" s="205"/>
      <c r="K43" s="205"/>
      <c r="L43" s="205"/>
      <c r="M43" s="205"/>
      <c r="N43" s="205"/>
      <c r="O43" s="205"/>
      <c r="P43" s="205"/>
      <c r="Q43" s="205"/>
    </row>
    <row r="44" spans="1:17" x14ac:dyDescent="0.25">
      <c r="A44" s="71"/>
      <c r="B44" s="71"/>
    </row>
    <row r="45" spans="1:17" x14ac:dyDescent="0.25">
      <c r="A45" s="72"/>
      <c r="B45" s="71"/>
    </row>
    <row r="46" spans="1:17" x14ac:dyDescent="0.25">
      <c r="A46" s="72"/>
    </row>
    <row r="47" spans="1:17" x14ac:dyDescent="0.25">
      <c r="A47" s="72"/>
      <c r="B47" s="71"/>
    </row>
    <row r="48" spans="1:17" x14ac:dyDescent="0.25">
      <c r="A48" s="72"/>
      <c r="B48" s="71"/>
    </row>
    <row r="49" spans="1:2" x14ac:dyDescent="0.25">
      <c r="A49" s="72"/>
      <c r="B49" s="71"/>
    </row>
    <row r="50" spans="1:2" x14ac:dyDescent="0.25">
      <c r="A50" s="72"/>
    </row>
    <row r="51" spans="1:2" x14ac:dyDescent="0.25">
      <c r="A51" s="72"/>
      <c r="B51" s="71"/>
    </row>
    <row r="52" spans="1:2" x14ac:dyDescent="0.25">
      <c r="A52" s="72"/>
      <c r="B52" s="71"/>
    </row>
    <row r="53" spans="1:2" x14ac:dyDescent="0.25">
      <c r="A53" s="72"/>
      <c r="B53" s="71"/>
    </row>
    <row r="54" spans="1:2" x14ac:dyDescent="0.25">
      <c r="A54" s="72"/>
    </row>
    <row r="55" spans="1:2" x14ac:dyDescent="0.25">
      <c r="A55" s="72"/>
      <c r="B55" s="71"/>
    </row>
    <row r="56" spans="1:2" x14ac:dyDescent="0.25">
      <c r="A56" s="72"/>
      <c r="B56" s="71"/>
    </row>
    <row r="57" spans="1:2" x14ac:dyDescent="0.25">
      <c r="A57" s="72"/>
      <c r="B57" s="71"/>
    </row>
    <row r="58" spans="1:2" x14ac:dyDescent="0.25">
      <c r="A58" s="72"/>
    </row>
  </sheetData>
  <mergeCells count="8">
    <mergeCell ref="A42:Q42"/>
    <mergeCell ref="A43:Q43"/>
    <mergeCell ref="A36:Q36"/>
    <mergeCell ref="A37:Q37"/>
    <mergeCell ref="A38:Q38"/>
    <mergeCell ref="A39:Q39"/>
    <mergeCell ref="A40:Q40"/>
    <mergeCell ref="A41:Q4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4">
        <x14:dataValidation type="list" allowBlank="1" showInputMessage="1" showErrorMessage="1">
          <x14:formula1>
            <xm:f>'LD Points'!$A$3:$A$5</xm:f>
          </x14:formula1>
          <xm:sqref>B4</xm:sqref>
        </x14:dataValidation>
        <x14:dataValidation type="list" allowBlank="1" showInputMessage="1" showErrorMessage="1">
          <x14:formula1>
            <xm:f>'LD Points'!$A$7:$A$10</xm:f>
          </x14:formula1>
          <xm:sqref>B5</xm:sqref>
        </x14:dataValidation>
        <x14:dataValidation type="list" allowBlank="1" showInputMessage="1" showErrorMessage="1">
          <x14:formula1>
            <xm:f>'LD Points'!$A$12:$A$15</xm:f>
          </x14:formula1>
          <xm:sqref>B6</xm:sqref>
        </x14:dataValidation>
        <x14:dataValidation type="list" allowBlank="1" showInputMessage="1" showErrorMessage="1">
          <x14:formula1>
            <xm:f>'LD Points'!$A$17:$A$22</xm:f>
          </x14:formula1>
          <xm:sqref>B7</xm:sqref>
        </x14:dataValidation>
        <x14:dataValidation type="list" allowBlank="1" showInputMessage="1" showErrorMessage="1">
          <x14:formula1>
            <xm:f>'LD Points'!$A$24:$A$27</xm:f>
          </x14:formula1>
          <xm:sqref>B8</xm:sqref>
        </x14:dataValidation>
        <x14:dataValidation type="list" allowBlank="1" showInputMessage="1" showErrorMessage="1">
          <x14:formula1>
            <xm:f>'LD Points'!$A$29:$A$34</xm:f>
          </x14:formula1>
          <xm:sqref>B9</xm:sqref>
        </x14:dataValidation>
        <x14:dataValidation type="list" allowBlank="1" showInputMessage="1" showErrorMessage="1">
          <x14:formula1>
            <xm:f>'LD Points'!$A$36:$A$39</xm:f>
          </x14:formula1>
          <xm:sqref>B10</xm:sqref>
        </x14:dataValidation>
        <x14:dataValidation type="list" allowBlank="1" showInputMessage="1" showErrorMessage="1">
          <x14:formula1>
            <xm:f>'LD Points'!$A$41:$A$43</xm:f>
          </x14:formula1>
          <xm:sqref>B11</xm:sqref>
        </x14:dataValidation>
        <x14:dataValidation type="list" allowBlank="1" showInputMessage="1" showErrorMessage="1">
          <x14:formula1>
            <xm:f>'LD Points'!$A$45:$A$47</xm:f>
          </x14:formula1>
          <xm:sqref>B12</xm:sqref>
        </x14:dataValidation>
        <x14:dataValidation type="list" allowBlank="1" showInputMessage="1" showErrorMessage="1">
          <x14:formula1>
            <xm:f>'LD Points'!$A$49:$A$52</xm:f>
          </x14:formula1>
          <xm:sqref>B13</xm:sqref>
        </x14:dataValidation>
        <x14:dataValidation type="list" allowBlank="1" showInputMessage="1" showErrorMessage="1">
          <x14:formula1>
            <xm:f>'LD Points'!$A$54:$A$58</xm:f>
          </x14:formula1>
          <xm:sqref>B14</xm:sqref>
        </x14:dataValidation>
        <x14:dataValidation type="list" allowBlank="1" showInputMessage="1" showErrorMessage="1">
          <x14:formula1>
            <xm:f>'LD Points'!$A$60:$A$62</xm:f>
          </x14:formula1>
          <xm:sqref>B15</xm:sqref>
        </x14:dataValidation>
        <x14:dataValidation type="list" allowBlank="1" showInputMessage="1" showErrorMessage="1">
          <x14:formula1>
            <xm:f>'LD Points'!$A$66:$A$68</xm:f>
          </x14:formula1>
          <xm:sqref>B18</xm:sqref>
        </x14:dataValidation>
        <x14:dataValidation type="list" allowBlank="1" showInputMessage="1" showErrorMessage="1">
          <x14:formula1>
            <xm:f>'LD Points'!$A$70:$A$73</xm:f>
          </x14:formula1>
          <xm:sqref>B19</xm:sqref>
        </x14:dataValidation>
        <x14:dataValidation type="list" allowBlank="1" showInputMessage="1" showErrorMessage="1">
          <x14:formula1>
            <xm:f>'LD Points'!$A$75:$A$77</xm:f>
          </x14:formula1>
          <xm:sqref>B20</xm:sqref>
        </x14:dataValidation>
        <x14:dataValidation type="list" allowBlank="1" showInputMessage="1" showErrorMessage="1">
          <x14:formula1>
            <xm:f>'LD Points'!$A$79:$A$81</xm:f>
          </x14:formula1>
          <xm:sqref>B21</xm:sqref>
        </x14:dataValidation>
        <x14:dataValidation type="list" allowBlank="1" showInputMessage="1" showErrorMessage="1">
          <x14:formula1>
            <xm:f>'LD Points'!$A$83:$A$85</xm:f>
          </x14:formula1>
          <xm:sqref>B22</xm:sqref>
        </x14:dataValidation>
        <x14:dataValidation type="list" allowBlank="1" showInputMessage="1" showErrorMessage="1">
          <x14:formula1>
            <xm:f>'LD Points'!$A$87:$A$89</xm:f>
          </x14:formula1>
          <xm:sqref>B23</xm:sqref>
        </x14:dataValidation>
        <x14:dataValidation type="list" allowBlank="1" showInputMessage="1" showErrorMessage="1">
          <x14:formula1>
            <xm:f>'LD Points'!$A$91:$A$93</xm:f>
          </x14:formula1>
          <xm:sqref>B24</xm:sqref>
        </x14:dataValidation>
        <x14:dataValidation type="list" allowBlank="1" showInputMessage="1" showErrorMessage="1">
          <x14:formula1>
            <xm:f>'LD Points'!$A$95:$A$99</xm:f>
          </x14:formula1>
          <xm:sqref>B25</xm:sqref>
        </x14:dataValidation>
        <x14:dataValidation type="list" allowBlank="1" showInputMessage="1" showErrorMessage="1">
          <x14:formula1>
            <xm:f>'LD Points'!$A$101:$A$104</xm:f>
          </x14:formula1>
          <xm:sqref>B26</xm:sqref>
        </x14:dataValidation>
        <x14:dataValidation type="list" allowBlank="1" showInputMessage="1" showErrorMessage="1">
          <x14:formula1>
            <xm:f>'LD Points'!$A$106:$A$109</xm:f>
          </x14:formula1>
          <xm:sqref>B27</xm:sqref>
        </x14:dataValidation>
        <x14:dataValidation type="list" allowBlank="1" showInputMessage="1" showErrorMessage="1">
          <x14:formula1>
            <xm:f>'LD Points'!$A$111:$A$114</xm:f>
          </x14:formula1>
          <xm:sqref>B28</xm:sqref>
        </x14:dataValidation>
        <x14:dataValidation type="list" allowBlank="1" showInputMessage="1" showErrorMessage="1">
          <x14:formula1>
            <xm:f>'LD Points'!$A$116:$A$118</xm:f>
          </x14:formula1>
          <xm:sqref>B29:B30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34"/>
  <sheetViews>
    <sheetView zoomScale="90" zoomScaleNormal="90" workbookViewId="0">
      <selection activeCell="C11" sqref="C11"/>
    </sheetView>
  </sheetViews>
  <sheetFormatPr defaultRowHeight="15" x14ac:dyDescent="0.25"/>
  <cols>
    <col min="1" max="1" width="29.85546875" customWidth="1"/>
    <col min="2" max="2" width="15.140625" bestFit="1" customWidth="1"/>
    <col min="3" max="3" width="14" bestFit="1" customWidth="1"/>
    <col min="4" max="4" width="17.28515625" customWidth="1"/>
    <col min="6" max="6" width="13.28515625" customWidth="1"/>
    <col min="7" max="7" width="15.42578125" bestFit="1" customWidth="1"/>
    <col min="8" max="8" width="11" bestFit="1" customWidth="1"/>
    <col min="11" max="11" width="18.140625" customWidth="1"/>
    <col min="12" max="12" width="22.140625" customWidth="1"/>
    <col min="13" max="13" width="15.85546875" customWidth="1"/>
  </cols>
  <sheetData>
    <row r="1" spans="1:21" ht="19.5" thickBot="1" x14ac:dyDescent="0.3">
      <c r="A1" s="143" t="s">
        <v>516</v>
      </c>
      <c r="B1" s="144"/>
      <c r="C1" s="144"/>
      <c r="D1" s="144"/>
      <c r="E1" s="144"/>
      <c r="F1" s="144"/>
      <c r="G1" s="143"/>
      <c r="H1" s="144"/>
      <c r="K1" s="202" t="s">
        <v>557</v>
      </c>
      <c r="L1" s="70"/>
      <c r="M1" s="70"/>
      <c r="N1" s="70"/>
      <c r="O1" s="70"/>
      <c r="P1" s="70"/>
      <c r="Q1" s="70"/>
      <c r="R1" s="70"/>
      <c r="S1" s="70"/>
      <c r="T1" s="70"/>
      <c r="U1" s="70"/>
    </row>
    <row r="2" spans="1:21" ht="15.75" thickBot="1" x14ac:dyDescent="0.3">
      <c r="G2" s="145" t="s">
        <v>551</v>
      </c>
      <c r="H2" s="146" t="str">
        <f>IF('LD - SU and Carer'!G32&gt;0,"Y","")</f>
        <v/>
      </c>
      <c r="K2" s="29" t="s">
        <v>263</v>
      </c>
      <c r="L2" s="28" t="s">
        <v>264</v>
      </c>
      <c r="M2" s="28"/>
      <c r="N2" s="28"/>
      <c r="O2" s="28"/>
      <c r="P2" s="28"/>
      <c r="Q2" s="28"/>
      <c r="R2" s="28"/>
      <c r="S2" s="28"/>
      <c r="T2" s="28"/>
      <c r="U2" s="28"/>
    </row>
    <row r="3" spans="1:21" ht="15.75" thickBot="1" x14ac:dyDescent="0.3">
      <c r="A3" s="144" t="s">
        <v>262</v>
      </c>
      <c r="B3" s="12"/>
      <c r="C3" s="12"/>
      <c r="D3" s="56"/>
      <c r="E3" s="12"/>
      <c r="F3" s="12"/>
      <c r="G3" s="12"/>
      <c r="H3" s="12"/>
      <c r="K3" s="28"/>
      <c r="L3" s="29" t="s">
        <v>265</v>
      </c>
      <c r="M3" s="28"/>
      <c r="N3" s="28"/>
      <c r="O3" s="28"/>
      <c r="P3" s="28"/>
      <c r="Q3" s="28"/>
      <c r="R3" s="28"/>
      <c r="S3" s="28"/>
      <c r="T3" s="28"/>
      <c r="U3" s="28"/>
    </row>
    <row r="4" spans="1:21" ht="15.75" thickBot="1" x14ac:dyDescent="0.3">
      <c r="A4" s="8" t="s">
        <v>112</v>
      </c>
      <c r="B4" s="40" t="s">
        <v>59</v>
      </c>
      <c r="C4" s="40" t="s">
        <v>60</v>
      </c>
      <c r="D4" s="40" t="s">
        <v>61</v>
      </c>
      <c r="E4" s="149" t="s">
        <v>62</v>
      </c>
      <c r="F4" s="151" t="s">
        <v>518</v>
      </c>
      <c r="G4" s="145" t="s">
        <v>517</v>
      </c>
      <c r="H4" s="146" t="str">
        <f>IF(SUM(C61:F65)&gt;0,"Y","N")</f>
        <v>Y</v>
      </c>
      <c r="K4" s="28"/>
      <c r="L4" s="30"/>
      <c r="M4" s="28"/>
      <c r="N4" s="28"/>
      <c r="O4" s="28"/>
      <c r="P4" s="28"/>
      <c r="Q4" s="28"/>
      <c r="R4" s="28"/>
      <c r="S4" s="28"/>
      <c r="T4" s="28"/>
      <c r="U4" s="28"/>
    </row>
    <row r="5" spans="1:21" ht="15.75" thickBot="1" x14ac:dyDescent="0.3">
      <c r="A5" s="27" t="str">
        <f>CONCATENATE('Daily Needs'!E38,'Daily Needs'!E2,'Daily Needs'!E11,'Daily Needs'!E32,'Daily Needs'!E25)</f>
        <v>BedToiletBWashCEatBDressB</v>
      </c>
      <c r="B5" s="6">
        <f>IF($A$5="","",VLOOKUP($A$5,'Need&amp;Task Time Combos'!$A$1:$E$216,2,FALSE))</f>
        <v>1</v>
      </c>
      <c r="C5" s="6">
        <f>IF($A$5="","",VLOOKUP($A$5,'Need&amp;Task Time Combos'!$A$1:$E$216,3,FALSE))</f>
        <v>0.25</v>
      </c>
      <c r="D5" s="6">
        <f>IF($A$5="","",VLOOKUP($A$5,'Need&amp;Task Time Combos'!$A$1:$E$216,4,FALSE))</f>
        <v>0.25</v>
      </c>
      <c r="E5" s="150">
        <f>IF($A$5="","",VLOOKUP($A$5,'Need&amp;Task Time Combos'!$A$1:$E$216,5,FALSE))</f>
        <v>0.75</v>
      </c>
      <c r="F5" s="152">
        <f>SUM(B5:E5)*7</f>
        <v>15.75</v>
      </c>
      <c r="G5" t="s">
        <v>524</v>
      </c>
      <c r="H5">
        <f>G16</f>
        <v>7.75</v>
      </c>
      <c r="K5" s="28"/>
      <c r="L5" s="30"/>
      <c r="M5" s="28" t="s">
        <v>266</v>
      </c>
      <c r="N5" s="28" t="s">
        <v>267</v>
      </c>
      <c r="O5" s="28"/>
      <c r="P5" s="28"/>
      <c r="Q5" s="28"/>
      <c r="R5" s="28"/>
      <c r="S5" s="28"/>
      <c r="T5" s="28"/>
      <c r="U5" s="28"/>
    </row>
    <row r="6" spans="1:21" x14ac:dyDescent="0.25">
      <c r="A6" s="27"/>
      <c r="B6" s="5"/>
      <c r="C6" s="5"/>
      <c r="D6" s="5"/>
      <c r="E6" s="5"/>
      <c r="G6" t="s">
        <v>525</v>
      </c>
      <c r="H6">
        <f>G66</f>
        <v>6.75</v>
      </c>
      <c r="K6" s="28"/>
      <c r="L6" s="28"/>
      <c r="M6" s="28"/>
      <c r="N6" s="28" t="s">
        <v>268</v>
      </c>
      <c r="O6" s="28"/>
      <c r="P6" s="28"/>
      <c r="Q6" s="28"/>
      <c r="R6" s="28"/>
      <c r="S6" s="28"/>
      <c r="T6" s="28"/>
      <c r="U6" s="28"/>
    </row>
    <row r="7" spans="1:21" x14ac:dyDescent="0.25">
      <c r="A7" s="27"/>
      <c r="B7" s="5"/>
      <c r="C7" s="5"/>
      <c r="D7" s="5"/>
      <c r="E7" s="5"/>
      <c r="F7" t="s">
        <v>526</v>
      </c>
      <c r="G7" t="s">
        <v>458</v>
      </c>
      <c r="H7">
        <f>IF(B110="Yes",B111,IF(E114="Yes",B115,IF(F119="Yes",B120,"")))</f>
        <v>3</v>
      </c>
      <c r="K7" s="28"/>
      <c r="L7" s="28"/>
      <c r="M7" s="28"/>
      <c r="N7" s="28" t="s">
        <v>269</v>
      </c>
      <c r="O7" s="28"/>
      <c r="P7" s="28"/>
      <c r="Q7" s="28"/>
      <c r="R7" s="28"/>
      <c r="S7" s="28"/>
      <c r="T7" s="28"/>
      <c r="U7" s="28"/>
    </row>
    <row r="8" spans="1:21" x14ac:dyDescent="0.25">
      <c r="A8" s="27"/>
      <c r="B8" s="5"/>
      <c r="C8" s="5"/>
      <c r="D8" s="5"/>
      <c r="E8" s="5"/>
      <c r="F8" s="5"/>
      <c r="G8" t="s">
        <v>542</v>
      </c>
      <c r="H8">
        <f>IF(E114="Yes",B116,IF(F119="Yes",B121,""))</f>
        <v>6</v>
      </c>
      <c r="K8" s="28"/>
      <c r="L8" s="28"/>
      <c r="M8" s="28"/>
      <c r="N8" s="28" t="s">
        <v>270</v>
      </c>
      <c r="O8" s="28"/>
      <c r="P8" s="28"/>
      <c r="Q8" s="28"/>
      <c r="R8" s="28"/>
      <c r="S8" s="28"/>
      <c r="T8" s="28"/>
      <c r="U8" s="28"/>
    </row>
    <row r="9" spans="1:21" ht="15.75" thickBot="1" x14ac:dyDescent="0.3">
      <c r="A9" s="95" t="s">
        <v>519</v>
      </c>
      <c r="B9" s="95"/>
      <c r="C9" s="95"/>
      <c r="D9" s="95"/>
      <c r="E9" s="95"/>
      <c r="F9" s="95"/>
      <c r="G9" s="95"/>
      <c r="H9" s="95"/>
      <c r="K9" s="28"/>
      <c r="L9" s="28"/>
      <c r="M9" s="28"/>
      <c r="N9" s="28"/>
      <c r="O9" s="28"/>
      <c r="P9" s="28"/>
      <c r="Q9" s="28"/>
      <c r="R9" s="28"/>
      <c r="S9" s="28"/>
      <c r="T9" s="28"/>
      <c r="U9" s="28"/>
    </row>
    <row r="10" spans="1:21" ht="15.75" thickBot="1" x14ac:dyDescent="0.3">
      <c r="C10" s="114" t="s">
        <v>59</v>
      </c>
      <c r="D10" s="115" t="s">
        <v>60</v>
      </c>
      <c r="E10" s="115" t="s">
        <v>62</v>
      </c>
      <c r="F10" s="116" t="s">
        <v>509</v>
      </c>
      <c r="K10" s="28"/>
      <c r="L10" s="30"/>
      <c r="M10" s="31" t="s">
        <v>271</v>
      </c>
      <c r="N10" s="28"/>
      <c r="O10" s="28"/>
      <c r="P10" s="28"/>
      <c r="Q10" s="28"/>
      <c r="R10" s="28"/>
      <c r="S10" s="28"/>
      <c r="T10" s="28"/>
      <c r="U10" s="28"/>
    </row>
    <row r="11" spans="1:21" x14ac:dyDescent="0.25">
      <c r="A11" s="118" t="s">
        <v>23</v>
      </c>
      <c r="B11" s="121" t="str">
        <f>'Daily Needs'!E38</f>
        <v>Bed</v>
      </c>
      <c r="C11" s="106">
        <f>IF(B11="Bed",7-('Daily Needs'!G40),"")</f>
        <v>7</v>
      </c>
      <c r="D11" s="117"/>
      <c r="E11" s="117"/>
      <c r="F11" s="107">
        <f>IF(B11="Bed",7-('Daily Needs'!J40),"")</f>
        <v>0</v>
      </c>
      <c r="K11" s="28"/>
      <c r="L11" s="28"/>
      <c r="M11" s="28" t="s">
        <v>272</v>
      </c>
      <c r="N11" s="28"/>
      <c r="O11" s="28"/>
      <c r="P11" s="28"/>
      <c r="Q11" s="28"/>
      <c r="R11" s="28"/>
      <c r="S11" s="28"/>
      <c r="T11" s="28"/>
      <c r="U11" s="28"/>
    </row>
    <row r="12" spans="1:21" x14ac:dyDescent="0.25">
      <c r="A12" s="119" t="s">
        <v>506</v>
      </c>
      <c r="B12" s="122" t="str">
        <f>'Daily Needs'!E2</f>
        <v>ToiletB</v>
      </c>
      <c r="C12" s="108">
        <f>IF(OR(B12="ToiletA",B12="ToiletB"),7-('Daily Needs'!G4),"")</f>
        <v>6</v>
      </c>
      <c r="D12" s="104">
        <f>IF(B12="ToiletB",7-('Daily Needs'!H4),"")</f>
        <v>6</v>
      </c>
      <c r="E12" s="105"/>
      <c r="F12" s="109">
        <f>IF(B12="ToiletB",7-('Daily Needs'!J4),"")</f>
        <v>6</v>
      </c>
      <c r="K12" s="28"/>
      <c r="L12" s="28"/>
      <c r="M12" s="28"/>
      <c r="N12" s="28"/>
      <c r="O12" s="28"/>
      <c r="P12" s="28"/>
      <c r="Q12" s="28"/>
      <c r="R12" s="28"/>
      <c r="S12" s="28"/>
      <c r="T12" s="28"/>
      <c r="U12" s="28"/>
    </row>
    <row r="13" spans="1:21" x14ac:dyDescent="0.25">
      <c r="A13" s="119" t="s">
        <v>29</v>
      </c>
      <c r="B13" s="122" t="str">
        <f>'Daily Needs'!E11</f>
        <v>WashC</v>
      </c>
      <c r="C13" s="108">
        <f>IF(OR(B13="WashA",B13="WashB",B13="WashC"),7-('Daily Needs'!G13),"")</f>
        <v>6</v>
      </c>
      <c r="D13" s="105"/>
      <c r="E13" s="105"/>
      <c r="F13" s="109">
        <f>IF(B13="WashC",7-('Daily Needs'!J13),"")</f>
        <v>6</v>
      </c>
      <c r="K13" s="28"/>
      <c r="L13" s="28"/>
      <c r="M13" s="31" t="s">
        <v>273</v>
      </c>
      <c r="N13" s="32">
        <v>13.28</v>
      </c>
      <c r="O13" s="28"/>
      <c r="P13" s="28"/>
      <c r="Q13" s="28"/>
      <c r="R13" s="28"/>
      <c r="S13" s="28"/>
      <c r="T13" s="28"/>
      <c r="U13" s="28"/>
    </row>
    <row r="14" spans="1:21" ht="15.75" thickBot="1" x14ac:dyDescent="0.3">
      <c r="A14" s="119" t="s">
        <v>507</v>
      </c>
      <c r="B14" s="122" t="str">
        <f>'Daily Needs'!E32</f>
        <v>EatB</v>
      </c>
      <c r="C14" s="108">
        <f>IF(OR(B14="EatA",B14="EatB"),7-('Daily Needs'!G34),"")</f>
        <v>0</v>
      </c>
      <c r="D14" s="104">
        <f>IF(B14="EatB",7-('Daily Needs'!H34),"")</f>
        <v>5</v>
      </c>
      <c r="E14" s="104">
        <f>IF(B14="EatB",7-('Daily Needs'!I34),"")</f>
        <v>4</v>
      </c>
      <c r="F14" s="110"/>
      <c r="K14" s="28"/>
      <c r="L14" s="28"/>
      <c r="M14" s="28"/>
      <c r="N14" s="28"/>
      <c r="O14" s="28"/>
      <c r="P14" s="28"/>
      <c r="Q14" s="28"/>
      <c r="R14" s="28"/>
      <c r="S14" s="28"/>
      <c r="T14" s="28"/>
      <c r="U14" s="28"/>
    </row>
    <row r="15" spans="1:21" ht="15.75" thickBot="1" x14ac:dyDescent="0.3">
      <c r="A15" s="120" t="s">
        <v>28</v>
      </c>
      <c r="B15" s="123" t="str">
        <f>'Daily Needs'!E25</f>
        <v>DressB</v>
      </c>
      <c r="C15" s="111">
        <f>IF(OR(B15="DressA",B15="DressB"),7-('Daily Needs'!G27),"")</f>
        <v>6</v>
      </c>
      <c r="D15" s="112"/>
      <c r="E15" s="112"/>
      <c r="F15" s="113">
        <f>IF(B15="DressB",7-('Daily Needs'!J27),"")</f>
        <v>2</v>
      </c>
      <c r="G15" s="132" t="s">
        <v>515</v>
      </c>
      <c r="K15" s="28"/>
      <c r="L15" s="29" t="s">
        <v>274</v>
      </c>
      <c r="M15" s="28"/>
      <c r="N15" s="28"/>
      <c r="O15" s="28"/>
      <c r="P15" s="28"/>
      <c r="Q15" s="28"/>
      <c r="R15" s="28"/>
      <c r="S15" s="28"/>
      <c r="T15" s="28"/>
      <c r="U15" s="28"/>
    </row>
    <row r="16" spans="1:21" ht="15.75" thickBot="1" x14ac:dyDescent="0.3">
      <c r="A16" s="125" t="s">
        <v>514</v>
      </c>
      <c r="C16" s="129">
        <f>H26</f>
        <v>3.25</v>
      </c>
      <c r="D16" s="130">
        <f>H36</f>
        <v>1.5</v>
      </c>
      <c r="E16" s="130">
        <f>H46</f>
        <v>1</v>
      </c>
      <c r="F16" s="131">
        <f>H56</f>
        <v>2</v>
      </c>
      <c r="G16" s="133">
        <f>SUM(C16:F16)</f>
        <v>7.75</v>
      </c>
      <c r="K16" s="28"/>
      <c r="L16" s="28"/>
      <c r="M16" s="28"/>
      <c r="N16" s="28"/>
      <c r="O16" s="28"/>
      <c r="P16" s="28"/>
      <c r="Q16" s="28"/>
      <c r="R16" s="28"/>
      <c r="S16" s="28"/>
      <c r="T16" s="28"/>
      <c r="U16" s="28"/>
    </row>
    <row r="17" spans="1:25" ht="15.75" thickBot="1" x14ac:dyDescent="0.3">
      <c r="K17" s="28"/>
      <c r="L17" s="28"/>
      <c r="M17" s="28" t="s">
        <v>275</v>
      </c>
      <c r="N17" s="28"/>
      <c r="O17" s="28"/>
      <c r="P17" s="28"/>
      <c r="Q17" s="28"/>
      <c r="R17" s="28"/>
      <c r="S17" s="28"/>
      <c r="T17" s="28"/>
      <c r="U17" s="28"/>
    </row>
    <row r="18" spans="1:25" x14ac:dyDescent="0.25">
      <c r="A18" s="142" t="s">
        <v>286</v>
      </c>
      <c r="B18" s="134"/>
      <c r="C18" s="134"/>
      <c r="D18" s="134"/>
      <c r="E18" s="134"/>
      <c r="F18" s="134"/>
      <c r="G18" s="134"/>
      <c r="H18" s="135"/>
      <c r="K18" s="28"/>
      <c r="L18" s="28"/>
      <c r="M18" s="28" t="s">
        <v>276</v>
      </c>
      <c r="N18" s="28" t="s">
        <v>277</v>
      </c>
      <c r="O18" s="28" t="s">
        <v>278</v>
      </c>
      <c r="P18" s="28" t="s">
        <v>279</v>
      </c>
      <c r="Q18" s="28" t="s">
        <v>280</v>
      </c>
      <c r="R18" s="28"/>
      <c r="S18" s="28"/>
      <c r="T18" s="28"/>
      <c r="U18" s="28"/>
    </row>
    <row r="19" spans="1:25" x14ac:dyDescent="0.25">
      <c r="A19" s="136">
        <v>1</v>
      </c>
      <c r="B19" s="1">
        <v>2</v>
      </c>
      <c r="C19" s="1">
        <v>3</v>
      </c>
      <c r="D19" s="1">
        <v>4</v>
      </c>
      <c r="E19" s="1">
        <v>5</v>
      </c>
      <c r="F19" s="1">
        <v>6</v>
      </c>
      <c r="G19" s="1">
        <v>7</v>
      </c>
      <c r="H19" s="137"/>
      <c r="K19" s="28"/>
      <c r="L19" s="28"/>
      <c r="M19" s="28" t="s">
        <v>281</v>
      </c>
      <c r="N19" s="28" t="s">
        <v>277</v>
      </c>
      <c r="O19" s="28"/>
      <c r="P19" s="28"/>
      <c r="Q19" s="28" t="s">
        <v>280</v>
      </c>
      <c r="R19" s="28"/>
      <c r="S19" s="28"/>
      <c r="T19" s="28"/>
      <c r="U19" s="28"/>
    </row>
    <row r="20" spans="1:25" x14ac:dyDescent="0.25">
      <c r="A20" s="147" t="str">
        <f>IF($C$11&gt;=A$19,$B$11,"")</f>
        <v>Bed</v>
      </c>
      <c r="B20" s="148" t="str">
        <f t="shared" ref="B20:G20" si="0">IF($C$11&gt;=B$19,$B$11,"")</f>
        <v>Bed</v>
      </c>
      <c r="C20" s="148" t="str">
        <f t="shared" si="0"/>
        <v>Bed</v>
      </c>
      <c r="D20" s="148" t="str">
        <f t="shared" si="0"/>
        <v>Bed</v>
      </c>
      <c r="E20" s="148" t="str">
        <f t="shared" si="0"/>
        <v>Bed</v>
      </c>
      <c r="F20" s="148" t="str">
        <f t="shared" si="0"/>
        <v>Bed</v>
      </c>
      <c r="G20" s="148" t="str">
        <f t="shared" si="0"/>
        <v>Bed</v>
      </c>
      <c r="H20" s="137"/>
      <c r="K20" s="28"/>
      <c r="L20" s="28"/>
      <c r="M20" s="28" t="s">
        <v>282</v>
      </c>
      <c r="N20" s="28" t="s">
        <v>277</v>
      </c>
      <c r="O20" s="28"/>
      <c r="P20" s="28"/>
      <c r="Q20" s="28" t="s">
        <v>280</v>
      </c>
      <c r="R20" s="28"/>
      <c r="S20" s="28"/>
      <c r="T20" s="28"/>
      <c r="U20" s="28"/>
    </row>
    <row r="21" spans="1:25" x14ac:dyDescent="0.25">
      <c r="A21" s="138" t="str">
        <f>IF($C$12&gt;=A$19,$B$12,"")</f>
        <v>ToiletB</v>
      </c>
      <c r="B21" s="124" t="str">
        <f t="shared" ref="B21:G21" si="1">IF($C$12&gt;=B$19,$B$12,"")</f>
        <v>ToiletB</v>
      </c>
      <c r="C21" s="124" t="str">
        <f t="shared" si="1"/>
        <v>ToiletB</v>
      </c>
      <c r="D21" s="124" t="str">
        <f t="shared" si="1"/>
        <v>ToiletB</v>
      </c>
      <c r="E21" s="124" t="str">
        <f t="shared" si="1"/>
        <v>ToiletB</v>
      </c>
      <c r="F21" s="124" t="str">
        <f t="shared" si="1"/>
        <v>ToiletB</v>
      </c>
      <c r="G21" s="124" t="str">
        <f t="shared" si="1"/>
        <v/>
      </c>
      <c r="H21" s="137"/>
      <c r="K21" s="28"/>
      <c r="L21" s="28"/>
      <c r="M21" s="28" t="s">
        <v>283</v>
      </c>
      <c r="N21" s="28" t="s">
        <v>277</v>
      </c>
      <c r="O21" s="28" t="s">
        <v>278</v>
      </c>
      <c r="P21" s="28" t="s">
        <v>279</v>
      </c>
      <c r="Q21" s="28"/>
      <c r="R21" s="28"/>
      <c r="S21" s="28"/>
      <c r="T21" s="28"/>
      <c r="U21" s="28"/>
    </row>
    <row r="22" spans="1:25" x14ac:dyDescent="0.25">
      <c r="A22" s="138" t="str">
        <f>IF($C$13&gt;=A$19,$B$13,"")</f>
        <v>WashC</v>
      </c>
      <c r="B22" s="124" t="str">
        <f t="shared" ref="B22:G22" si="2">IF($C$13&gt;=B$19,$B$13,"")</f>
        <v>WashC</v>
      </c>
      <c r="C22" s="124" t="str">
        <f t="shared" si="2"/>
        <v>WashC</v>
      </c>
      <c r="D22" s="124" t="str">
        <f t="shared" si="2"/>
        <v>WashC</v>
      </c>
      <c r="E22" s="124" t="str">
        <f t="shared" si="2"/>
        <v>WashC</v>
      </c>
      <c r="F22" s="124" t="str">
        <f t="shared" si="2"/>
        <v>WashC</v>
      </c>
      <c r="G22" s="124" t="str">
        <f t="shared" si="2"/>
        <v/>
      </c>
      <c r="H22" s="137"/>
      <c r="K22" s="28"/>
      <c r="L22" s="28"/>
      <c r="M22" s="28"/>
      <c r="N22" s="28"/>
      <c r="O22" s="28"/>
      <c r="P22" s="28"/>
      <c r="Q22" s="28"/>
      <c r="R22" s="28"/>
      <c r="S22" s="28"/>
      <c r="T22" s="28"/>
      <c r="U22" s="28"/>
    </row>
    <row r="23" spans="1:25" x14ac:dyDescent="0.25">
      <c r="A23" s="138" t="str">
        <f>IF($C$14&gt;=A$19,$B$14,"")</f>
        <v/>
      </c>
      <c r="B23" s="124" t="str">
        <f t="shared" ref="B23:G23" si="3">IF($C$14&gt;=B$19,$B$14,"")</f>
        <v/>
      </c>
      <c r="C23" s="124" t="str">
        <f t="shared" si="3"/>
        <v/>
      </c>
      <c r="D23" s="124" t="str">
        <f t="shared" si="3"/>
        <v/>
      </c>
      <c r="E23" s="124" t="str">
        <f t="shared" si="3"/>
        <v/>
      </c>
      <c r="F23" s="124" t="str">
        <f t="shared" si="3"/>
        <v/>
      </c>
      <c r="G23" s="124" t="str">
        <f t="shared" si="3"/>
        <v/>
      </c>
      <c r="H23" s="137"/>
      <c r="K23" s="28" t="s">
        <v>556</v>
      </c>
      <c r="L23" s="28"/>
      <c r="M23" s="28"/>
      <c r="N23" s="28"/>
      <c r="O23" s="28"/>
      <c r="P23" s="28"/>
      <c r="Q23" s="28"/>
      <c r="R23" s="28"/>
      <c r="S23" s="28"/>
      <c r="T23" s="28"/>
      <c r="U23" s="28"/>
    </row>
    <row r="24" spans="1:25" x14ac:dyDescent="0.25">
      <c r="A24" s="138" t="str">
        <f>IF($C$15&gt;=A$19,$B$15,"")</f>
        <v>DressB</v>
      </c>
      <c r="B24" s="124" t="str">
        <f t="shared" ref="B24:G24" si="4">IF($C$15&gt;=B$19,$B$15,"")</f>
        <v>DressB</v>
      </c>
      <c r="C24" s="124" t="str">
        <f t="shared" si="4"/>
        <v>DressB</v>
      </c>
      <c r="D24" s="124" t="str">
        <f t="shared" si="4"/>
        <v>DressB</v>
      </c>
      <c r="E24" s="124" t="str">
        <f t="shared" si="4"/>
        <v>DressB</v>
      </c>
      <c r="F24" s="124" t="str">
        <f t="shared" si="4"/>
        <v>DressB</v>
      </c>
      <c r="G24" s="124" t="str">
        <f t="shared" si="4"/>
        <v/>
      </c>
      <c r="H24" s="137"/>
      <c r="K24" s="197" t="s">
        <v>284</v>
      </c>
      <c r="L24" s="198"/>
      <c r="M24" s="198"/>
      <c r="N24" s="198"/>
      <c r="O24" s="198"/>
      <c r="P24" s="198"/>
      <c r="Q24" s="198"/>
      <c r="R24" s="198"/>
      <c r="S24" s="198"/>
      <c r="T24" s="198"/>
      <c r="U24" s="198"/>
      <c r="V24" s="199"/>
      <c r="W24" s="199"/>
      <c r="X24" s="199"/>
      <c r="Y24" s="199"/>
    </row>
    <row r="25" spans="1:25" x14ac:dyDescent="0.25">
      <c r="A25" s="138" t="str">
        <f t="shared" ref="A25" si="5">IF(F17&gt;=1,B17,"")</f>
        <v/>
      </c>
      <c r="B25" s="124"/>
      <c r="C25" s="124"/>
      <c r="D25" s="124"/>
      <c r="E25" s="124"/>
      <c r="F25" s="124"/>
      <c r="G25" s="124"/>
      <c r="H25" s="137" t="s">
        <v>510</v>
      </c>
      <c r="K25" s="198"/>
      <c r="L25" s="198" t="s">
        <v>285</v>
      </c>
      <c r="M25" s="198"/>
      <c r="N25" s="198"/>
      <c r="O25" s="198"/>
      <c r="P25" s="198"/>
      <c r="Q25" s="198"/>
      <c r="R25" s="198"/>
      <c r="S25" s="198"/>
      <c r="T25" s="198"/>
      <c r="U25" s="198"/>
      <c r="V25" s="199"/>
      <c r="W25" s="199"/>
      <c r="X25" s="199"/>
      <c r="Y25" s="199"/>
    </row>
    <row r="26" spans="1:25" ht="15.75" thickBot="1" x14ac:dyDescent="0.3">
      <c r="A26" s="139">
        <f>IF(CONCATENATE(A20,A21,A22,A23,A24)="","",VLOOKUP(CONCATENATE(A20,A21,A22,A23,A24),'Need&amp;Task Time Combos'!$A$1:$E$216,2,FALSE))</f>
        <v>0.5</v>
      </c>
      <c r="B26" s="140">
        <f>IF(CONCATENATE(B20,B21,B22,B23,B24)="","",VLOOKUP(CONCATENATE(B20,B21,B22,B23,B24),'Need&amp;Task Time Combos'!$A$1:$E$216,2,FALSE))</f>
        <v>0.5</v>
      </c>
      <c r="C26" s="140">
        <f>IF(CONCATENATE(C20,C21,C22,C23,C24)="","",VLOOKUP(CONCATENATE(C20,C21,C22,C23,C24),'Need&amp;Task Time Combos'!$A$1:$E$216,2,FALSE))</f>
        <v>0.5</v>
      </c>
      <c r="D26" s="140">
        <f>IF(CONCATENATE(D20,D21,D22,D23,D24)="","",VLOOKUP(CONCATENATE(D20,D21,D22,D23,D24),'Need&amp;Task Time Combos'!$A$1:$E$216,2,FALSE))</f>
        <v>0.5</v>
      </c>
      <c r="E26" s="140">
        <f>IF(CONCATENATE(E20,E21,E22,E23,E24)="","",VLOOKUP(CONCATENATE(E20,E21,E22,E23,E24),'Need&amp;Task Time Combos'!$A$1:$E$216,2,FALSE))</f>
        <v>0.5</v>
      </c>
      <c r="F26" s="140">
        <f>IF(CONCATENATE(F20,F21,F22,F23,F24)="","",VLOOKUP(CONCATENATE(F20,F21,F22,F23,F24),'Need&amp;Task Time Combos'!$A$1:$E$216,2,FALSE))</f>
        <v>0.5</v>
      </c>
      <c r="G26" s="140">
        <f>IF(CONCATENATE(G20,G21,G22,G23,G24)="","",VLOOKUP(CONCATENATE(G20,G21,G22,G23,G24),'Need&amp;Task Time Combos'!$A$1:$E$216,2,FALSE))</f>
        <v>0.25</v>
      </c>
      <c r="H26" s="141">
        <f>SUM(A26:G26)</f>
        <v>3.25</v>
      </c>
      <c r="K26" s="198"/>
      <c r="L26" s="198"/>
      <c r="M26" s="198"/>
      <c r="N26" s="198"/>
      <c r="O26" s="198"/>
      <c r="P26" s="198"/>
      <c r="Q26" s="198"/>
      <c r="R26" s="198"/>
      <c r="S26" s="198"/>
      <c r="T26" s="198"/>
      <c r="U26" s="198"/>
      <c r="V26" s="199"/>
      <c r="W26" s="199"/>
      <c r="X26" s="199"/>
      <c r="Y26" s="199"/>
    </row>
    <row r="27" spans="1:25" ht="15.75" thickBot="1" x14ac:dyDescent="0.3">
      <c r="K27" s="198"/>
      <c r="L27" s="198"/>
      <c r="M27" s="198"/>
      <c r="N27" s="198" t="s">
        <v>286</v>
      </c>
      <c r="O27" s="198" t="s">
        <v>287</v>
      </c>
      <c r="P27" s="198" t="s">
        <v>288</v>
      </c>
      <c r="Q27" s="198" t="s">
        <v>289</v>
      </c>
      <c r="R27" s="198"/>
      <c r="S27" s="198"/>
      <c r="T27" s="198"/>
      <c r="U27" s="198"/>
      <c r="V27" s="199"/>
      <c r="W27" s="199"/>
      <c r="X27" s="199"/>
      <c r="Y27" s="199"/>
    </row>
    <row r="28" spans="1:25" x14ac:dyDescent="0.25">
      <c r="A28" s="142" t="s">
        <v>60</v>
      </c>
      <c r="B28" s="134"/>
      <c r="C28" s="134"/>
      <c r="D28" s="134"/>
      <c r="E28" s="134"/>
      <c r="F28" s="134"/>
      <c r="G28" s="134"/>
      <c r="H28" s="135"/>
      <c r="K28" s="198" t="s">
        <v>290</v>
      </c>
      <c r="L28" s="198"/>
      <c r="M28" s="198" t="s">
        <v>291</v>
      </c>
      <c r="N28" s="200">
        <v>7</v>
      </c>
      <c r="O28" s="200"/>
      <c r="P28" s="200"/>
      <c r="Q28" s="200">
        <v>7</v>
      </c>
      <c r="R28" s="198"/>
      <c r="S28" s="198"/>
      <c r="T28" s="198"/>
      <c r="U28" s="198"/>
      <c r="V28" s="199"/>
      <c r="W28" s="199"/>
      <c r="X28" s="199"/>
      <c r="Y28" s="199"/>
    </row>
    <row r="29" spans="1:25" x14ac:dyDescent="0.25">
      <c r="A29" s="136">
        <v>1</v>
      </c>
      <c r="B29" s="1">
        <v>2</v>
      </c>
      <c r="C29" s="1">
        <v>3</v>
      </c>
      <c r="D29" s="1">
        <v>4</v>
      </c>
      <c r="E29" s="1">
        <v>5</v>
      </c>
      <c r="F29" s="1">
        <v>6</v>
      </c>
      <c r="G29" s="1">
        <v>7</v>
      </c>
      <c r="H29" s="137"/>
      <c r="K29" s="198"/>
      <c r="L29" s="198"/>
      <c r="M29" s="198" t="s">
        <v>292</v>
      </c>
      <c r="N29" s="200">
        <v>7</v>
      </c>
      <c r="O29" s="200"/>
      <c r="P29" s="200"/>
      <c r="Q29" s="200">
        <v>7</v>
      </c>
      <c r="R29" s="198"/>
      <c r="S29" s="198"/>
      <c r="T29" s="198"/>
      <c r="U29" s="198"/>
      <c r="V29" s="199"/>
      <c r="W29" s="199"/>
      <c r="X29" s="199"/>
      <c r="Y29" s="199"/>
    </row>
    <row r="30" spans="1:25" x14ac:dyDescent="0.25">
      <c r="A30" s="148" t="str">
        <f>IF($D$11&gt;=A$29,$B$11,"")</f>
        <v/>
      </c>
      <c r="B30" s="148" t="str">
        <f t="shared" ref="B30:G30" si="6">IF($D$11&gt;=B$29,$B$11,"")</f>
        <v/>
      </c>
      <c r="C30" s="148" t="str">
        <f t="shared" si="6"/>
        <v/>
      </c>
      <c r="D30" s="148" t="str">
        <f t="shared" si="6"/>
        <v/>
      </c>
      <c r="E30" s="148" t="str">
        <f t="shared" si="6"/>
        <v/>
      </c>
      <c r="F30" s="148" t="str">
        <f t="shared" si="6"/>
        <v/>
      </c>
      <c r="G30" s="148" t="str">
        <f t="shared" si="6"/>
        <v/>
      </c>
      <c r="H30" s="137"/>
      <c r="K30" s="198"/>
      <c r="L30" s="198"/>
      <c r="M30" s="198" t="s">
        <v>293</v>
      </c>
      <c r="N30" s="200">
        <v>7</v>
      </c>
      <c r="O30" s="200"/>
      <c r="P30" s="200">
        <v>5</v>
      </c>
      <c r="Q30" s="200"/>
      <c r="R30" s="198"/>
      <c r="S30" s="198"/>
      <c r="T30" s="198"/>
      <c r="U30" s="198"/>
      <c r="V30" s="199"/>
      <c r="W30" s="199"/>
      <c r="X30" s="199"/>
      <c r="Y30" s="199"/>
    </row>
    <row r="31" spans="1:25" x14ac:dyDescent="0.25">
      <c r="A31" s="124" t="str">
        <f>IF($D$12&gt;=A$29,$B$12,"")</f>
        <v>ToiletB</v>
      </c>
      <c r="B31" s="124" t="str">
        <f t="shared" ref="B31:G31" si="7">IF($D$12&gt;=B$29,$B$12,"")</f>
        <v>ToiletB</v>
      </c>
      <c r="C31" s="124" t="str">
        <f t="shared" si="7"/>
        <v>ToiletB</v>
      </c>
      <c r="D31" s="124" t="str">
        <f t="shared" si="7"/>
        <v>ToiletB</v>
      </c>
      <c r="E31" s="124" t="str">
        <f t="shared" si="7"/>
        <v>ToiletB</v>
      </c>
      <c r="F31" s="124" t="str">
        <f t="shared" si="7"/>
        <v>ToiletB</v>
      </c>
      <c r="G31" s="124" t="str">
        <f t="shared" si="7"/>
        <v/>
      </c>
      <c r="H31" s="137"/>
      <c r="K31" s="198"/>
      <c r="L31" s="198"/>
      <c r="M31" s="198" t="s">
        <v>294</v>
      </c>
      <c r="N31" s="200">
        <v>7</v>
      </c>
      <c r="O31" s="200"/>
      <c r="P31" s="200"/>
      <c r="Q31" s="200">
        <v>7</v>
      </c>
      <c r="R31" s="198"/>
      <c r="S31" s="198"/>
      <c r="T31" s="198"/>
      <c r="U31" s="198"/>
      <c r="V31" s="199"/>
      <c r="W31" s="199"/>
      <c r="X31" s="199"/>
      <c r="Y31" s="199"/>
    </row>
    <row r="32" spans="1:25" x14ac:dyDescent="0.25">
      <c r="A32" s="124" t="str">
        <f>IF($D$13&gt;=A$29,$B$13,"")</f>
        <v/>
      </c>
      <c r="B32" s="124" t="str">
        <f t="shared" ref="B32:G32" si="8">IF($D$13&gt;=B$29,$B$13,"")</f>
        <v/>
      </c>
      <c r="C32" s="124" t="str">
        <f t="shared" si="8"/>
        <v/>
      </c>
      <c r="D32" s="124" t="str">
        <f t="shared" si="8"/>
        <v/>
      </c>
      <c r="E32" s="124" t="str">
        <f t="shared" si="8"/>
        <v/>
      </c>
      <c r="F32" s="124" t="str">
        <f t="shared" si="8"/>
        <v/>
      </c>
      <c r="G32" s="124" t="str">
        <f t="shared" si="8"/>
        <v/>
      </c>
      <c r="H32" s="137"/>
      <c r="K32" s="198"/>
      <c r="L32" s="198"/>
      <c r="M32" s="198" t="s">
        <v>295</v>
      </c>
      <c r="N32" s="200">
        <v>7</v>
      </c>
      <c r="O32" s="200">
        <v>2</v>
      </c>
      <c r="P32" s="200">
        <v>5</v>
      </c>
      <c r="Q32" s="200">
        <v>7</v>
      </c>
      <c r="R32" s="198"/>
      <c r="S32" s="198"/>
      <c r="T32" s="198"/>
      <c r="U32" s="198"/>
      <c r="V32" s="199"/>
      <c r="W32" s="199"/>
      <c r="X32" s="199"/>
      <c r="Y32" s="199"/>
    </row>
    <row r="33" spans="1:25" x14ac:dyDescent="0.25">
      <c r="A33" s="124" t="str">
        <f>IF($D$14&gt;=A$29,$B$14,"")</f>
        <v>EatB</v>
      </c>
      <c r="B33" s="124" t="str">
        <f t="shared" ref="B33:G33" si="9">IF($D$14&gt;=B$29,$B$14,"")</f>
        <v>EatB</v>
      </c>
      <c r="C33" s="124" t="str">
        <f t="shared" si="9"/>
        <v>EatB</v>
      </c>
      <c r="D33" s="124" t="str">
        <f t="shared" si="9"/>
        <v>EatB</v>
      </c>
      <c r="E33" s="124" t="str">
        <f t="shared" si="9"/>
        <v>EatB</v>
      </c>
      <c r="F33" s="124" t="str">
        <f t="shared" si="9"/>
        <v/>
      </c>
      <c r="G33" s="124" t="str">
        <f t="shared" si="9"/>
        <v/>
      </c>
      <c r="H33" s="137"/>
      <c r="K33" s="198"/>
      <c r="L33" s="198"/>
      <c r="M33" s="198"/>
      <c r="N33" s="198"/>
      <c r="O33" s="198"/>
      <c r="P33" s="198"/>
      <c r="Q33" s="198"/>
      <c r="R33" s="198"/>
      <c r="S33" s="198"/>
      <c r="T33" s="198"/>
      <c r="U33" s="198"/>
      <c r="V33" s="199"/>
      <c r="W33" s="199"/>
      <c r="X33" s="199"/>
      <c r="Y33" s="199"/>
    </row>
    <row r="34" spans="1:25" x14ac:dyDescent="0.25">
      <c r="A34" s="124" t="str">
        <f>IF($D$15&gt;=A$29,$B$15,"")</f>
        <v/>
      </c>
      <c r="B34" s="124" t="str">
        <f t="shared" ref="B34:G34" si="10">IF($D$15&gt;=B$29,$B$15,"")</f>
        <v/>
      </c>
      <c r="C34" s="124" t="str">
        <f t="shared" si="10"/>
        <v/>
      </c>
      <c r="D34" s="124" t="str">
        <f t="shared" si="10"/>
        <v/>
      </c>
      <c r="E34" s="124" t="str">
        <f t="shared" si="10"/>
        <v/>
      </c>
      <c r="F34" s="124" t="str">
        <f t="shared" si="10"/>
        <v/>
      </c>
      <c r="G34" s="124" t="str">
        <f t="shared" si="10"/>
        <v/>
      </c>
      <c r="H34" s="137"/>
      <c r="K34" s="198"/>
      <c r="L34" s="198"/>
      <c r="M34" s="198"/>
      <c r="N34" s="198"/>
      <c r="O34" s="198"/>
      <c r="P34" s="198"/>
      <c r="Q34" s="198"/>
      <c r="R34" s="198"/>
      <c r="S34" s="198"/>
      <c r="T34" s="198"/>
      <c r="U34" s="198"/>
      <c r="V34" s="199"/>
      <c r="W34" s="199"/>
      <c r="X34" s="199"/>
      <c r="Y34" s="199"/>
    </row>
    <row r="35" spans="1:25" x14ac:dyDescent="0.25">
      <c r="A35" s="138" t="str">
        <f t="shared" ref="A35" si="11">IF(F27&gt;=1,B27,"")</f>
        <v/>
      </c>
      <c r="B35" s="124"/>
      <c r="C35" s="124"/>
      <c r="D35" s="124"/>
      <c r="E35" s="124"/>
      <c r="F35" s="124"/>
      <c r="G35" s="124"/>
      <c r="H35" s="137" t="s">
        <v>520</v>
      </c>
      <c r="K35" s="198"/>
      <c r="L35" s="198" t="s">
        <v>296</v>
      </c>
      <c r="M35" s="201" t="s">
        <v>297</v>
      </c>
      <c r="N35" s="200" t="s">
        <v>298</v>
      </c>
      <c r="O35" s="200" t="s">
        <v>299</v>
      </c>
      <c r="P35" s="200" t="s">
        <v>300</v>
      </c>
      <c r="Q35" s="200" t="s">
        <v>298</v>
      </c>
      <c r="R35" s="198"/>
      <c r="S35" s="198"/>
      <c r="T35" s="198"/>
      <c r="U35" s="198"/>
      <c r="V35" s="199"/>
      <c r="W35" s="199"/>
      <c r="X35" s="199"/>
      <c r="Y35" s="199"/>
    </row>
    <row r="36" spans="1:25" ht="15.75" thickBot="1" x14ac:dyDescent="0.3">
      <c r="A36" s="139">
        <f>IF(CONCATENATE(A30,A31,A32,A33,A34)="","",VLOOKUP(CONCATENATE(A30,A31,A32,A33,A34),'Need&amp;Task Time Combos'!$A$1:$E$216,3,FALSE))</f>
        <v>0.25</v>
      </c>
      <c r="B36" s="140">
        <f>IF(CONCATENATE(B30,B31,B32,B33,B34)="","",VLOOKUP(CONCATENATE(B30,B31,B32,B33,B34),'Need&amp;Task Time Combos'!$A$1:$E$216,3,FALSE))</f>
        <v>0.25</v>
      </c>
      <c r="C36" s="140">
        <f>IF(CONCATENATE(C30,C31,C32,C33,C34)="","",VLOOKUP(CONCATENATE(C30,C31,C32,C33,C34),'Need&amp;Task Time Combos'!$A$1:$E$216,3,FALSE))</f>
        <v>0.25</v>
      </c>
      <c r="D36" s="140">
        <f>IF(CONCATENATE(D30,D31,D32,D33,D34)="","",VLOOKUP(CONCATENATE(D30,D31,D32,D33,D34),'Need&amp;Task Time Combos'!$A$1:$E$216,3,FALSE))</f>
        <v>0.25</v>
      </c>
      <c r="E36" s="140">
        <f>IF(CONCATENATE(E30,E31,E32,E33,E34)="","",VLOOKUP(CONCATENATE(E30,E31,E32,E33,E34),'Need&amp;Task Time Combos'!$A$1:$E$216,3,FALSE))</f>
        <v>0.25</v>
      </c>
      <c r="F36" s="140">
        <f>IF(CONCATENATE(F30,F31,F32,F33,F34)="","",VLOOKUP(CONCATENATE(F30,F31,F32,F33,F34),'Need&amp;Task Time Combos'!$A$1:$E$216,3,FALSE))</f>
        <v>0.25</v>
      </c>
      <c r="G36" s="140" t="str">
        <f>IF(CONCATENATE(G30,G31,G32,G33,G34)="","",VLOOKUP(CONCATENATE(G30,G31,G32,G33,G34),'Need&amp;Task Time Combos'!$A$1:$E$216,2,FALSE))</f>
        <v/>
      </c>
      <c r="H36" s="141">
        <f>SUM(A36:G36)</f>
        <v>1.5</v>
      </c>
      <c r="K36" s="28"/>
      <c r="L36" s="28"/>
      <c r="M36" s="28"/>
      <c r="N36" s="28"/>
      <c r="O36" s="28"/>
      <c r="P36" s="28"/>
      <c r="Q36" s="28"/>
      <c r="R36" s="28"/>
      <c r="S36" s="28"/>
      <c r="T36" s="28"/>
      <c r="U36" s="28"/>
    </row>
    <row r="37" spans="1:25" ht="15.75" thickBot="1" x14ac:dyDescent="0.3">
      <c r="K37" s="29" t="s">
        <v>301</v>
      </c>
      <c r="L37" s="28"/>
      <c r="M37" s="28"/>
      <c r="N37" s="28"/>
      <c r="O37" s="28"/>
      <c r="P37" s="28"/>
      <c r="Q37" s="28"/>
      <c r="R37" s="28"/>
      <c r="S37" s="28"/>
      <c r="T37" s="28"/>
      <c r="U37" s="28"/>
    </row>
    <row r="38" spans="1:25" x14ac:dyDescent="0.25">
      <c r="A38" s="142" t="s">
        <v>289</v>
      </c>
      <c r="B38" s="134"/>
      <c r="C38" s="134"/>
      <c r="D38" s="134"/>
      <c r="E38" s="134"/>
      <c r="F38" s="134"/>
      <c r="G38" s="134"/>
      <c r="H38" s="135"/>
      <c r="K38" s="28"/>
      <c r="L38" s="28"/>
      <c r="M38" s="28"/>
      <c r="N38" s="28"/>
      <c r="O38" s="28"/>
      <c r="P38" s="28"/>
      <c r="Q38" s="28"/>
      <c r="R38" s="28"/>
      <c r="S38" s="28"/>
      <c r="T38" s="28"/>
      <c r="U38" s="28"/>
    </row>
    <row r="39" spans="1:25" x14ac:dyDescent="0.25">
      <c r="A39" s="136">
        <v>1</v>
      </c>
      <c r="B39" s="1">
        <v>2</v>
      </c>
      <c r="C39" s="1">
        <v>3</v>
      </c>
      <c r="D39" s="1">
        <v>4</v>
      </c>
      <c r="E39" s="1">
        <v>5</v>
      </c>
      <c r="F39" s="1">
        <v>6</v>
      </c>
      <c r="G39" s="1">
        <v>7</v>
      </c>
      <c r="H39" s="137"/>
      <c r="K39" s="28"/>
      <c r="L39" s="28"/>
      <c r="M39" s="28"/>
      <c r="N39" s="28" t="s">
        <v>286</v>
      </c>
      <c r="O39" s="28" t="s">
        <v>287</v>
      </c>
      <c r="P39" s="28" t="s">
        <v>288</v>
      </c>
      <c r="Q39" s="28" t="s">
        <v>289</v>
      </c>
      <c r="R39" s="28"/>
      <c r="S39" s="28"/>
      <c r="T39" s="28"/>
      <c r="U39" s="28"/>
    </row>
    <row r="40" spans="1:25" x14ac:dyDescent="0.25">
      <c r="A40" s="148" t="str">
        <f>IF($E$11&gt;=A$39,$B$11,"")</f>
        <v/>
      </c>
      <c r="B40" s="148" t="str">
        <f t="shared" ref="B40:G40" si="12">IF($E$11&gt;=B$39,$B$11,"")</f>
        <v/>
      </c>
      <c r="C40" s="148" t="str">
        <f t="shared" si="12"/>
        <v/>
      </c>
      <c r="D40" s="148" t="str">
        <f t="shared" si="12"/>
        <v/>
      </c>
      <c r="E40" s="148" t="str">
        <f t="shared" si="12"/>
        <v/>
      </c>
      <c r="F40" s="148" t="str">
        <f t="shared" si="12"/>
        <v/>
      </c>
      <c r="G40" s="148" t="str">
        <f t="shared" si="12"/>
        <v/>
      </c>
      <c r="H40" s="137"/>
      <c r="K40" s="28" t="s">
        <v>290</v>
      </c>
      <c r="L40" s="28"/>
      <c r="M40" s="28" t="s">
        <v>291</v>
      </c>
      <c r="N40" s="30">
        <v>7</v>
      </c>
      <c r="O40" s="33"/>
      <c r="P40" s="33"/>
      <c r="Q40" s="30">
        <v>7</v>
      </c>
      <c r="R40" s="28"/>
      <c r="S40" s="28"/>
      <c r="T40" s="28"/>
      <c r="U40" s="28"/>
    </row>
    <row r="41" spans="1:25" x14ac:dyDescent="0.25">
      <c r="A41" s="124" t="str">
        <f>IF($E$12&gt;=A$39,$B$12,"")</f>
        <v/>
      </c>
      <c r="B41" s="124" t="str">
        <f t="shared" ref="B41:G41" si="13">IF($E$12&gt;=B$39,$B$12,"")</f>
        <v/>
      </c>
      <c r="C41" s="124" t="str">
        <f t="shared" si="13"/>
        <v/>
      </c>
      <c r="D41" s="124" t="str">
        <f t="shared" si="13"/>
        <v/>
      </c>
      <c r="E41" s="124" t="str">
        <f t="shared" si="13"/>
        <v/>
      </c>
      <c r="F41" s="124" t="str">
        <f t="shared" si="13"/>
        <v/>
      </c>
      <c r="G41" s="124" t="str">
        <f t="shared" si="13"/>
        <v/>
      </c>
      <c r="H41" s="137"/>
      <c r="K41" s="28"/>
      <c r="L41" s="28"/>
      <c r="M41" s="28" t="s">
        <v>292</v>
      </c>
      <c r="N41" s="30">
        <v>7</v>
      </c>
      <c r="O41" s="33"/>
      <c r="P41" s="33"/>
      <c r="Q41" s="30">
        <v>7</v>
      </c>
      <c r="R41" s="28"/>
      <c r="S41" s="28"/>
      <c r="T41" s="28"/>
      <c r="U41" s="28"/>
    </row>
    <row r="42" spans="1:25" x14ac:dyDescent="0.25">
      <c r="A42" s="124" t="str">
        <f>IF($E$13&gt;=A$39,$B$13,"")</f>
        <v/>
      </c>
      <c r="B42" s="124" t="str">
        <f t="shared" ref="B42:G42" si="14">IF($E$13&gt;=B$39,$B$13,"")</f>
        <v/>
      </c>
      <c r="C42" s="124" t="str">
        <f t="shared" si="14"/>
        <v/>
      </c>
      <c r="D42" s="124" t="str">
        <f t="shared" si="14"/>
        <v/>
      </c>
      <c r="E42" s="124" t="str">
        <f t="shared" si="14"/>
        <v/>
      </c>
      <c r="F42" s="124" t="str">
        <f t="shared" si="14"/>
        <v/>
      </c>
      <c r="G42" s="124" t="str">
        <f t="shared" si="14"/>
        <v/>
      </c>
      <c r="H42" s="137"/>
      <c r="K42" s="28"/>
      <c r="L42" s="28"/>
      <c r="M42" s="28" t="s">
        <v>293</v>
      </c>
      <c r="N42" s="30">
        <v>1</v>
      </c>
      <c r="O42" s="33"/>
      <c r="P42" s="30">
        <v>4</v>
      </c>
      <c r="Q42" s="33"/>
      <c r="R42" s="28"/>
      <c r="S42" s="28"/>
      <c r="T42" s="28"/>
      <c r="U42" s="28"/>
    </row>
    <row r="43" spans="1:25" x14ac:dyDescent="0.25">
      <c r="A43" s="124" t="str">
        <f>IF($E$14&gt;=A$39,$B$14,"")</f>
        <v>EatB</v>
      </c>
      <c r="B43" s="124" t="str">
        <f t="shared" ref="B43:G43" si="15">IF($E$14&gt;=B$39,$B$14,"")</f>
        <v>EatB</v>
      </c>
      <c r="C43" s="124" t="str">
        <f t="shared" si="15"/>
        <v>EatB</v>
      </c>
      <c r="D43" s="124" t="str">
        <f t="shared" si="15"/>
        <v>EatB</v>
      </c>
      <c r="E43" s="124" t="str">
        <f t="shared" si="15"/>
        <v/>
      </c>
      <c r="F43" s="124" t="str">
        <f t="shared" si="15"/>
        <v/>
      </c>
      <c r="G43" s="124" t="str">
        <f t="shared" si="15"/>
        <v/>
      </c>
      <c r="H43" s="137"/>
      <c r="K43" s="28"/>
      <c r="L43" s="28"/>
      <c r="M43" s="28" t="s">
        <v>294</v>
      </c>
      <c r="N43" s="30">
        <v>7</v>
      </c>
      <c r="O43" s="33"/>
      <c r="P43" s="33"/>
      <c r="Q43" s="30">
        <v>7</v>
      </c>
      <c r="R43" s="28"/>
      <c r="S43" s="28"/>
      <c r="T43" s="28"/>
      <c r="U43" s="28"/>
    </row>
    <row r="44" spans="1:25" x14ac:dyDescent="0.25">
      <c r="A44" s="124" t="str">
        <f>IF($E$15&gt;=A$39,$B$15,"")</f>
        <v/>
      </c>
      <c r="B44" s="124" t="str">
        <f t="shared" ref="B44:G44" si="16">IF($E$15&gt;=B$39,$B$15,"")</f>
        <v/>
      </c>
      <c r="C44" s="124" t="str">
        <f t="shared" si="16"/>
        <v/>
      </c>
      <c r="D44" s="124" t="str">
        <f t="shared" si="16"/>
        <v/>
      </c>
      <c r="E44" s="124" t="str">
        <f t="shared" si="16"/>
        <v/>
      </c>
      <c r="F44" s="124" t="str">
        <f t="shared" si="16"/>
        <v/>
      </c>
      <c r="G44" s="124" t="str">
        <f t="shared" si="16"/>
        <v/>
      </c>
      <c r="H44" s="137"/>
      <c r="K44" s="28"/>
      <c r="L44" s="28"/>
      <c r="M44" s="28" t="s">
        <v>295</v>
      </c>
      <c r="N44" s="30">
        <v>7</v>
      </c>
      <c r="O44" s="30">
        <v>2</v>
      </c>
      <c r="P44" s="30">
        <v>5</v>
      </c>
      <c r="Q44" s="30">
        <v>7</v>
      </c>
      <c r="R44" s="28"/>
      <c r="S44" s="28"/>
      <c r="T44" s="28"/>
      <c r="U44" s="28"/>
    </row>
    <row r="45" spans="1:25" x14ac:dyDescent="0.25">
      <c r="A45" s="138" t="str">
        <f t="shared" ref="A45" si="17">IF(F37&gt;=1,B37,"")</f>
        <v/>
      </c>
      <c r="B45" s="124"/>
      <c r="C45" s="124"/>
      <c r="D45" s="124"/>
      <c r="E45" s="124"/>
      <c r="F45" s="124"/>
      <c r="G45" s="124"/>
      <c r="H45" s="137" t="s">
        <v>512</v>
      </c>
      <c r="K45" s="28"/>
      <c r="L45" s="28"/>
      <c r="M45" s="28"/>
      <c r="N45" s="30"/>
      <c r="O45" s="30"/>
      <c r="P45" s="30"/>
      <c r="Q45" s="30"/>
      <c r="R45" s="28"/>
      <c r="S45" s="28"/>
      <c r="T45" s="28"/>
      <c r="U45" s="28"/>
    </row>
    <row r="46" spans="1:25" ht="15.75" thickBot="1" x14ac:dyDescent="0.3">
      <c r="A46" s="139">
        <f>IF(CONCATENATE(A40,A41,A42,A43,A44)="","",VLOOKUP(CONCATENATE(A40,A41,A42,A43,A44),'Need&amp;Task Time Combos'!$A$1:$E$216,4,FALSE))</f>
        <v>0.25</v>
      </c>
      <c r="B46" s="140">
        <f>IF(CONCATENATE(B40,B41,B42,B43,B44)="","",VLOOKUP(CONCATENATE(B40,B41,B42,B43,B44),'Need&amp;Task Time Combos'!$A$1:$E$216,4,FALSE))</f>
        <v>0.25</v>
      </c>
      <c r="C46" s="140">
        <f>IF(CONCATENATE(C40,C41,C42,C43,C44)="","",VLOOKUP(CONCATENATE(C40,C41,C42,C43,C44),'Need&amp;Task Time Combos'!$A$1:$E$216,4,FALSE))</f>
        <v>0.25</v>
      </c>
      <c r="D46" s="140">
        <f>IF(CONCATENATE(D40,D41,D42,D43,D44)="","",VLOOKUP(CONCATENATE(D40,D41,D42,D43,D44),'Need&amp;Task Time Combos'!$A$1:$E$216,4,FALSE))</f>
        <v>0.25</v>
      </c>
      <c r="E46" s="140" t="str">
        <f>IF(CONCATENATE(E40,E41,E42,E43,E44)="","",VLOOKUP(CONCATENATE(E40,E41,E42,E43,E44),'Need&amp;Task Time Combos'!$A$1:$E$216,4,FALSE))</f>
        <v/>
      </c>
      <c r="F46" s="140" t="str">
        <f>IF(CONCATENATE(F40,F41,F42,F43,F44)="","",VLOOKUP(CONCATENATE(F40,F41,F42,F43,F44),'Need&amp;Task Time Combos'!$A$1:$E$216,4,FALSE))</f>
        <v/>
      </c>
      <c r="G46" s="140" t="str">
        <f>IF(CONCATENATE(G40,G41,G42,G43,G44)="","",VLOOKUP(CONCATENATE(G40,G41,G42,G43,G44),'Need&amp;Task Time Combos'!$A$1:$E$216,4,FALSE))</f>
        <v/>
      </c>
      <c r="H46" s="141">
        <f>SUM(A46:G46)</f>
        <v>1</v>
      </c>
      <c r="K46" s="28"/>
      <c r="L46" s="28" t="s">
        <v>302</v>
      </c>
      <c r="M46" s="28"/>
      <c r="N46" s="28"/>
      <c r="O46" s="28"/>
      <c r="P46" s="28"/>
      <c r="Q46" s="28"/>
      <c r="R46" s="28"/>
      <c r="S46" s="28"/>
      <c r="T46" s="28"/>
      <c r="U46" s="28"/>
    </row>
    <row r="47" spans="1:25" ht="15.75" thickBot="1" x14ac:dyDescent="0.3">
      <c r="K47" s="28"/>
      <c r="L47" s="28" t="s">
        <v>303</v>
      </c>
      <c r="M47" s="35" t="s">
        <v>297</v>
      </c>
      <c r="N47" s="30" t="s">
        <v>304</v>
      </c>
      <c r="O47" s="30"/>
      <c r="P47" s="30"/>
      <c r="Q47" s="30"/>
      <c r="R47" s="28"/>
      <c r="S47" s="28"/>
      <c r="T47" s="28"/>
      <c r="U47" s="28"/>
    </row>
    <row r="48" spans="1:25" x14ac:dyDescent="0.25">
      <c r="A48" s="142" t="s">
        <v>509</v>
      </c>
      <c r="B48" s="134"/>
      <c r="C48" s="134"/>
      <c r="D48" s="134"/>
      <c r="E48" s="134"/>
      <c r="F48" s="134"/>
      <c r="G48" s="134"/>
      <c r="H48" s="135"/>
      <c r="K48" s="28"/>
      <c r="L48" s="28" t="s">
        <v>305</v>
      </c>
      <c r="M48" s="28" t="s">
        <v>306</v>
      </c>
      <c r="N48" s="30" t="s">
        <v>307</v>
      </c>
      <c r="O48" s="30"/>
      <c r="P48" s="30"/>
      <c r="Q48" s="30"/>
      <c r="R48" s="28"/>
      <c r="S48" s="28"/>
      <c r="T48" s="28"/>
      <c r="U48" s="28"/>
    </row>
    <row r="49" spans="1:21" x14ac:dyDescent="0.25">
      <c r="A49" s="136">
        <v>1</v>
      </c>
      <c r="B49" s="1">
        <v>2</v>
      </c>
      <c r="C49" s="1">
        <v>3</v>
      </c>
      <c r="D49" s="1">
        <v>4</v>
      </c>
      <c r="E49" s="1">
        <v>5</v>
      </c>
      <c r="F49" s="1">
        <v>6</v>
      </c>
      <c r="G49" s="1">
        <v>7</v>
      </c>
      <c r="H49" s="137"/>
      <c r="K49" s="28"/>
      <c r="L49" s="28" t="s">
        <v>308</v>
      </c>
      <c r="M49" s="28" t="s">
        <v>295</v>
      </c>
      <c r="N49" s="30"/>
      <c r="O49" s="30" t="s">
        <v>309</v>
      </c>
      <c r="P49" s="30"/>
      <c r="Q49" s="30"/>
      <c r="R49" s="28"/>
      <c r="S49" s="28"/>
      <c r="T49" s="28"/>
      <c r="U49" s="28"/>
    </row>
    <row r="50" spans="1:21" x14ac:dyDescent="0.25">
      <c r="A50" s="148" t="str">
        <f>IF($F$11&gt;=A$49,$B$11,"")</f>
        <v/>
      </c>
      <c r="B50" s="148" t="str">
        <f t="shared" ref="B50:G50" si="18">IF($F$11&gt;=B$49,$B$11,"")</f>
        <v/>
      </c>
      <c r="C50" s="148" t="str">
        <f t="shared" si="18"/>
        <v/>
      </c>
      <c r="D50" s="148" t="str">
        <f t="shared" si="18"/>
        <v/>
      </c>
      <c r="E50" s="148" t="str">
        <f t="shared" si="18"/>
        <v/>
      </c>
      <c r="F50" s="148" t="str">
        <f t="shared" si="18"/>
        <v/>
      </c>
      <c r="G50" s="148" t="str">
        <f t="shared" si="18"/>
        <v/>
      </c>
      <c r="H50" s="137"/>
      <c r="K50" s="28"/>
      <c r="L50" s="28" t="s">
        <v>310</v>
      </c>
      <c r="M50" s="28" t="s">
        <v>311</v>
      </c>
      <c r="N50" s="30"/>
      <c r="O50" s="30"/>
      <c r="P50" s="30" t="s">
        <v>312</v>
      </c>
      <c r="Q50" s="30"/>
      <c r="R50" s="28"/>
      <c r="S50" s="28"/>
      <c r="T50" s="28"/>
      <c r="U50" s="28"/>
    </row>
    <row r="51" spans="1:21" x14ac:dyDescent="0.25">
      <c r="A51" s="124" t="str">
        <f>IF($F$12&gt;=A$49,$B$12,"")</f>
        <v>ToiletB</v>
      </c>
      <c r="B51" s="124" t="str">
        <f t="shared" ref="B51:G51" si="19">IF($F$12&gt;=B$49,$B$12,"")</f>
        <v>ToiletB</v>
      </c>
      <c r="C51" s="124" t="str">
        <f t="shared" si="19"/>
        <v>ToiletB</v>
      </c>
      <c r="D51" s="124" t="str">
        <f t="shared" si="19"/>
        <v>ToiletB</v>
      </c>
      <c r="E51" s="124" t="str">
        <f t="shared" si="19"/>
        <v>ToiletB</v>
      </c>
      <c r="F51" s="124" t="str">
        <f t="shared" si="19"/>
        <v>ToiletB</v>
      </c>
      <c r="G51" s="124" t="str">
        <f t="shared" si="19"/>
        <v/>
      </c>
      <c r="H51" s="137"/>
      <c r="K51" s="28"/>
      <c r="L51" s="28" t="s">
        <v>313</v>
      </c>
      <c r="M51" s="28" t="s">
        <v>295</v>
      </c>
      <c r="N51" s="30"/>
      <c r="O51" s="30"/>
      <c r="P51" s="30" t="s">
        <v>304</v>
      </c>
      <c r="Q51" s="30"/>
      <c r="R51" s="28"/>
      <c r="S51" s="28"/>
      <c r="T51" s="28"/>
      <c r="U51" s="28"/>
    </row>
    <row r="52" spans="1:21" x14ac:dyDescent="0.25">
      <c r="A52" s="124" t="str">
        <f>IF($F$13&gt;=A$49,$B$13,"")</f>
        <v>WashC</v>
      </c>
      <c r="B52" s="124" t="str">
        <f t="shared" ref="B52:G52" si="20">IF($F$13&gt;=B$49,$B$13,"")</f>
        <v>WashC</v>
      </c>
      <c r="C52" s="124" t="str">
        <f t="shared" si="20"/>
        <v>WashC</v>
      </c>
      <c r="D52" s="124" t="str">
        <f t="shared" si="20"/>
        <v>WashC</v>
      </c>
      <c r="E52" s="124" t="str">
        <f t="shared" si="20"/>
        <v>WashC</v>
      </c>
      <c r="F52" s="124" t="str">
        <f t="shared" si="20"/>
        <v>WashC</v>
      </c>
      <c r="G52" s="124" t="str">
        <f t="shared" si="20"/>
        <v/>
      </c>
      <c r="H52" s="137"/>
      <c r="K52" s="28"/>
      <c r="L52" s="28" t="s">
        <v>314</v>
      </c>
      <c r="M52" s="28" t="s">
        <v>306</v>
      </c>
      <c r="N52" s="30"/>
      <c r="O52" s="30"/>
      <c r="P52" s="30"/>
      <c r="Q52" s="30" t="s">
        <v>298</v>
      </c>
      <c r="R52" s="28"/>
      <c r="S52" s="28"/>
      <c r="T52" s="28"/>
      <c r="U52" s="28"/>
    </row>
    <row r="53" spans="1:21" x14ac:dyDescent="0.25">
      <c r="A53" s="124" t="str">
        <f>IF($F$14&gt;=A$49,$B$14,"")</f>
        <v/>
      </c>
      <c r="B53" s="124" t="str">
        <f t="shared" ref="B53:G53" si="21">IF($F$14&gt;=B$49,$B$14,"")</f>
        <v/>
      </c>
      <c r="C53" s="124" t="str">
        <f t="shared" si="21"/>
        <v/>
      </c>
      <c r="D53" s="124" t="str">
        <f t="shared" si="21"/>
        <v/>
      </c>
      <c r="E53" s="124" t="str">
        <f t="shared" si="21"/>
        <v/>
      </c>
      <c r="F53" s="124" t="str">
        <f t="shared" si="21"/>
        <v/>
      </c>
      <c r="G53" s="124" t="str">
        <f t="shared" si="21"/>
        <v/>
      </c>
      <c r="H53" s="137"/>
      <c r="K53" s="28"/>
      <c r="L53" s="28"/>
      <c r="M53" s="28"/>
      <c r="N53" s="28"/>
      <c r="O53" s="28"/>
      <c r="P53" s="28"/>
      <c r="Q53" s="28"/>
      <c r="R53" s="28"/>
      <c r="S53" s="28"/>
      <c r="T53" s="28"/>
      <c r="U53" s="28"/>
    </row>
    <row r="54" spans="1:21" x14ac:dyDescent="0.25">
      <c r="A54" s="124" t="str">
        <f>IF($F$15&gt;=A$49,$B$15,"")</f>
        <v>DressB</v>
      </c>
      <c r="B54" s="124" t="str">
        <f t="shared" ref="B54:G54" si="22">IF($F$15&gt;=B$49,$B$15,"")</f>
        <v>DressB</v>
      </c>
      <c r="C54" s="124" t="str">
        <f t="shared" si="22"/>
        <v/>
      </c>
      <c r="D54" s="124" t="str">
        <f t="shared" si="22"/>
        <v/>
      </c>
      <c r="E54" s="124" t="str">
        <f t="shared" si="22"/>
        <v/>
      </c>
      <c r="F54" s="124" t="str">
        <f t="shared" si="22"/>
        <v/>
      </c>
      <c r="G54" s="124" t="str">
        <f t="shared" si="22"/>
        <v/>
      </c>
      <c r="H54" s="137"/>
      <c r="K54" s="28"/>
      <c r="L54" s="28" t="s">
        <v>315</v>
      </c>
      <c r="M54" s="28"/>
      <c r="N54" s="28"/>
      <c r="O54" s="28"/>
      <c r="P54" s="28"/>
      <c r="Q54" s="28"/>
      <c r="R54" s="28"/>
      <c r="S54" s="28"/>
      <c r="T54" s="28"/>
      <c r="U54" s="28"/>
    </row>
    <row r="55" spans="1:21" x14ac:dyDescent="0.25">
      <c r="A55" s="138" t="str">
        <f t="shared" ref="A55" si="23">IF(F47&gt;=1,B47,"")</f>
        <v/>
      </c>
      <c r="B55" s="124"/>
      <c r="C55" s="124"/>
      <c r="D55" s="124"/>
      <c r="E55" s="124"/>
      <c r="F55" s="124"/>
      <c r="G55" s="124"/>
      <c r="H55" s="137" t="s">
        <v>521</v>
      </c>
      <c r="K55" s="28"/>
      <c r="L55" s="28"/>
      <c r="M55" s="28"/>
      <c r="N55" s="28"/>
      <c r="O55" s="28"/>
      <c r="P55" s="28"/>
      <c r="Q55" s="28"/>
      <c r="R55" s="28"/>
      <c r="S55" s="28"/>
      <c r="T55" s="28"/>
      <c r="U55" s="28"/>
    </row>
    <row r="56" spans="1:21" ht="15.75" thickBot="1" x14ac:dyDescent="0.3">
      <c r="A56" s="139">
        <f>IF(CONCATENATE(A50,A51,A52,A53,A54)="","",VLOOKUP(CONCATENATE(A50,A51,A52,A53,A54),'Need&amp;Task Time Combos'!$A$1:$E$216,5,FALSE))</f>
        <v>0.5</v>
      </c>
      <c r="B56" s="140">
        <f>IF(CONCATENATE(B50,B51,B52,B53,B54)="","",VLOOKUP(CONCATENATE(B50,B51,B52,B53,B54),'Need&amp;Task Time Combos'!$A$1:$E$216,5,FALSE))</f>
        <v>0.5</v>
      </c>
      <c r="C56" s="140">
        <f>IF(CONCATENATE(C50,C51,C52,C53,C54)="","",VLOOKUP(CONCATENATE(C50,C51,C52,C53,C54),'Need&amp;Task Time Combos'!$A$1:$E$216,5,FALSE))</f>
        <v>0.25</v>
      </c>
      <c r="D56" s="140">
        <f>IF(CONCATENATE(D50,D51,D52,D53,D54)="","",VLOOKUP(CONCATENATE(D50,D51,D52,D53,D54),'Need&amp;Task Time Combos'!$A$1:$E$216,5,FALSE))</f>
        <v>0.25</v>
      </c>
      <c r="E56" s="140">
        <f>IF(CONCATENATE(E50,E51,E52,E53,E54)="","",VLOOKUP(CONCATENATE(E50,E51,E52,E53,E54),'Need&amp;Task Time Combos'!$A$1:$E$216,5,FALSE))</f>
        <v>0.25</v>
      </c>
      <c r="F56" s="140">
        <f>IF(CONCATENATE(F50,F51,F52,F53,F54)="","",VLOOKUP(CONCATENATE(F50,F51,F52,F53,F54),'Need&amp;Task Time Combos'!$A$1:$E$216,5,FALSE))</f>
        <v>0.25</v>
      </c>
      <c r="G56" s="140" t="str">
        <f>IF(CONCATENATE(G50,G51,G52,G53,G54)="","",VLOOKUP(CONCATENATE(G50,G51,G52,G53,G54),'Need&amp;Task Time Combos'!$A$1:$E$216,5,FALSE))</f>
        <v/>
      </c>
      <c r="H56" s="141">
        <f>SUM(A56:G56)</f>
        <v>2</v>
      </c>
      <c r="K56" s="28"/>
      <c r="L56" s="34" t="s">
        <v>316</v>
      </c>
      <c r="M56" s="36" t="s">
        <v>297</v>
      </c>
      <c r="N56" s="37" t="s">
        <v>304</v>
      </c>
      <c r="O56" s="37"/>
      <c r="P56" s="37"/>
      <c r="Q56" s="37"/>
      <c r="R56" s="28"/>
      <c r="S56" s="28"/>
      <c r="T56" s="28"/>
      <c r="U56" s="28"/>
    </row>
    <row r="57" spans="1:21" x14ac:dyDescent="0.25">
      <c r="K57" s="28"/>
      <c r="L57" s="34"/>
      <c r="M57" s="38" t="s">
        <v>306</v>
      </c>
      <c r="N57" s="37" t="s">
        <v>307</v>
      </c>
      <c r="O57" s="37"/>
      <c r="P57" s="37"/>
      <c r="Q57" s="37" t="s">
        <v>298</v>
      </c>
      <c r="R57" s="28"/>
      <c r="S57" s="28"/>
      <c r="T57" s="28"/>
      <c r="U57" s="28"/>
    </row>
    <row r="58" spans="1:21" x14ac:dyDescent="0.25">
      <c r="K58" s="28"/>
      <c r="L58" s="34"/>
      <c r="M58" s="38" t="s">
        <v>295</v>
      </c>
      <c r="N58" s="37"/>
      <c r="O58" s="37" t="s">
        <v>309</v>
      </c>
      <c r="P58" s="37" t="s">
        <v>304</v>
      </c>
      <c r="Q58" s="37"/>
      <c r="R58" s="28"/>
      <c r="S58" s="28"/>
      <c r="T58" s="28"/>
      <c r="U58" s="28"/>
    </row>
    <row r="59" spans="1:21" ht="15.75" thickBot="1" x14ac:dyDescent="0.3">
      <c r="A59" s="89" t="s">
        <v>508</v>
      </c>
      <c r="B59" s="89"/>
      <c r="C59" s="89"/>
      <c r="D59" s="89"/>
      <c r="E59" s="89"/>
      <c r="F59" s="89"/>
      <c r="G59" s="89"/>
      <c r="H59" s="89"/>
      <c r="K59" s="28"/>
      <c r="L59" s="34"/>
      <c r="M59" s="38" t="s">
        <v>311</v>
      </c>
      <c r="N59" s="37"/>
      <c r="O59" s="37"/>
      <c r="P59" s="37" t="s">
        <v>312</v>
      </c>
      <c r="Q59" s="37"/>
      <c r="R59" s="28"/>
      <c r="S59" s="28"/>
      <c r="T59" s="28"/>
      <c r="U59" s="28"/>
    </row>
    <row r="60" spans="1:21" ht="15.75" thickBot="1" x14ac:dyDescent="0.3">
      <c r="C60" s="114" t="s">
        <v>59</v>
      </c>
      <c r="D60" s="115" t="s">
        <v>60</v>
      </c>
      <c r="E60" s="115" t="s">
        <v>62</v>
      </c>
      <c r="F60" s="116" t="s">
        <v>509</v>
      </c>
      <c r="K60" s="28"/>
      <c r="L60" s="28"/>
      <c r="M60" s="28"/>
      <c r="N60" s="28"/>
      <c r="O60" s="28"/>
      <c r="P60" s="28"/>
      <c r="Q60" s="28"/>
      <c r="R60" s="28"/>
      <c r="S60" s="28"/>
      <c r="T60" s="28"/>
      <c r="U60" s="28"/>
    </row>
    <row r="61" spans="1:21" x14ac:dyDescent="0.25">
      <c r="A61" s="118" t="s">
        <v>23</v>
      </c>
      <c r="B61" s="121" t="str">
        <f>'Daily Needs'!E38</f>
        <v>Bed</v>
      </c>
      <c r="C61" s="106">
        <f>IF(B61="Bed",('Daily Needs'!G40),"")</f>
        <v>0</v>
      </c>
      <c r="D61" s="117"/>
      <c r="E61" s="117"/>
      <c r="F61" s="107">
        <f>IF(B61="Bed",('Daily Needs'!J40),"")</f>
        <v>7</v>
      </c>
      <c r="K61" s="28"/>
      <c r="L61" s="28"/>
      <c r="M61" s="28"/>
      <c r="N61" s="28"/>
      <c r="O61" s="28"/>
      <c r="P61" s="28"/>
      <c r="Q61" s="28"/>
      <c r="R61" s="28"/>
      <c r="S61" s="28"/>
      <c r="T61" s="28"/>
      <c r="U61" s="28"/>
    </row>
    <row r="62" spans="1:21" x14ac:dyDescent="0.25">
      <c r="A62" s="119" t="s">
        <v>506</v>
      </c>
      <c r="B62" s="122" t="str">
        <f>'Daily Needs'!E2</f>
        <v>ToiletB</v>
      </c>
      <c r="C62" s="108">
        <f>IF(OR(B62="ToiletA",B62="ToiletB"),'Daily Needs'!G4,"")</f>
        <v>1</v>
      </c>
      <c r="D62" s="104">
        <f>IF(B62="ToiletB",'Daily Needs'!H4,"")</f>
        <v>1</v>
      </c>
      <c r="E62" s="105"/>
      <c r="F62" s="109">
        <f>IF(B62="ToiletB",'Daily Needs'!J4,"")</f>
        <v>1</v>
      </c>
      <c r="K62" s="29" t="s">
        <v>317</v>
      </c>
      <c r="L62" s="28"/>
      <c r="M62" s="28"/>
      <c r="N62" s="28"/>
      <c r="O62" s="28"/>
      <c r="P62" s="28"/>
      <c r="Q62" s="28"/>
      <c r="R62" s="28"/>
      <c r="S62" s="28"/>
      <c r="T62" s="28"/>
      <c r="U62" s="28"/>
    </row>
    <row r="63" spans="1:21" x14ac:dyDescent="0.25">
      <c r="A63" s="119" t="s">
        <v>29</v>
      </c>
      <c r="B63" s="122" t="str">
        <f>'Daily Needs'!E11</f>
        <v>WashC</v>
      </c>
      <c r="C63" s="108">
        <f>IF(OR(B63="WashA",B195="WashB",B63="WashC"),'Daily Needs'!G13,"")</f>
        <v>1</v>
      </c>
      <c r="D63" s="105"/>
      <c r="E63" s="105"/>
      <c r="F63" s="109">
        <f>IF(B63="WashC",'Daily Needs'!J13,"")</f>
        <v>1</v>
      </c>
    </row>
    <row r="64" spans="1:21" ht="15.75" thickBot="1" x14ac:dyDescent="0.3">
      <c r="A64" s="119" t="s">
        <v>507</v>
      </c>
      <c r="B64" s="122" t="str">
        <f>'Daily Needs'!E32</f>
        <v>EatB</v>
      </c>
      <c r="C64" s="108">
        <f>IF(OR(B64="EatA",B64="EatB"),'Daily Needs'!G34,"")</f>
        <v>7</v>
      </c>
      <c r="D64" s="104">
        <f>IF(B64="EatB",'Daily Needs'!H34,"")</f>
        <v>2</v>
      </c>
      <c r="E64" s="104">
        <f>IF(B64="EatB",'Daily Needs'!I34,"")</f>
        <v>3</v>
      </c>
      <c r="F64" s="110"/>
    </row>
    <row r="65" spans="1:8" ht="15.75" thickBot="1" x14ac:dyDescent="0.3">
      <c r="A65" s="120" t="s">
        <v>28</v>
      </c>
      <c r="B65" s="123" t="str">
        <f>'Daily Needs'!E25</f>
        <v>DressB</v>
      </c>
      <c r="C65" s="126">
        <f>IF(OR(B65="DressA",B65="DressB"),'Daily Needs'!G27,"")</f>
        <v>1</v>
      </c>
      <c r="D65" s="127"/>
      <c r="E65" s="127"/>
      <c r="F65" s="128">
        <f>IF(B65="DressB",'Daily Needs'!J27,"")</f>
        <v>5</v>
      </c>
      <c r="G65" s="132" t="s">
        <v>515</v>
      </c>
    </row>
    <row r="66" spans="1:8" ht="15.75" thickBot="1" x14ac:dyDescent="0.3">
      <c r="A66" s="125" t="s">
        <v>514</v>
      </c>
      <c r="C66" s="129">
        <f>H76</f>
        <v>2.5</v>
      </c>
      <c r="D66" s="130">
        <f>H86</f>
        <v>0.5</v>
      </c>
      <c r="E66" s="130">
        <f>H96</f>
        <v>0.75</v>
      </c>
      <c r="F66" s="131">
        <f>H106</f>
        <v>3</v>
      </c>
      <c r="G66" s="133">
        <f>SUM(C66:F66)</f>
        <v>6.75</v>
      </c>
    </row>
    <row r="67" spans="1:8" ht="15.75" thickBot="1" x14ac:dyDescent="0.3"/>
    <row r="68" spans="1:8" x14ac:dyDescent="0.25">
      <c r="A68" s="142" t="s">
        <v>286</v>
      </c>
      <c r="B68" s="134"/>
      <c r="C68" s="134"/>
      <c r="D68" s="134"/>
      <c r="E68" s="134"/>
      <c r="F68" s="134"/>
      <c r="G68" s="134"/>
      <c r="H68" s="135"/>
    </row>
    <row r="69" spans="1:8" x14ac:dyDescent="0.25">
      <c r="A69" s="136">
        <v>1</v>
      </c>
      <c r="B69" s="1">
        <v>2</v>
      </c>
      <c r="C69" s="1">
        <v>3</v>
      </c>
      <c r="D69" s="1">
        <v>4</v>
      </c>
      <c r="E69" s="1">
        <v>5</v>
      </c>
      <c r="F69" s="1">
        <v>6</v>
      </c>
      <c r="G69" s="1">
        <v>7</v>
      </c>
      <c r="H69" s="137"/>
    </row>
    <row r="70" spans="1:8" x14ac:dyDescent="0.25">
      <c r="A70" s="138" t="str">
        <f>IF($C$61&gt;=A$69,$B$61,"")</f>
        <v/>
      </c>
      <c r="B70" s="124" t="str">
        <f t="shared" ref="B70:G70" si="24">IF($C$61&gt;=B$69,$B$61,"")</f>
        <v/>
      </c>
      <c r="C70" s="124" t="str">
        <f t="shared" si="24"/>
        <v/>
      </c>
      <c r="D70" s="124" t="str">
        <f t="shared" si="24"/>
        <v/>
      </c>
      <c r="E70" s="124" t="str">
        <f t="shared" si="24"/>
        <v/>
      </c>
      <c r="F70" s="124" t="str">
        <f t="shared" si="24"/>
        <v/>
      </c>
      <c r="G70" s="124" t="str">
        <f t="shared" si="24"/>
        <v/>
      </c>
      <c r="H70" s="137"/>
    </row>
    <row r="71" spans="1:8" x14ac:dyDescent="0.25">
      <c r="A71" s="138" t="str">
        <f>IF($C$62&gt;=A$69,$B$62,"")</f>
        <v>ToiletB</v>
      </c>
      <c r="B71" s="124" t="str">
        <f t="shared" ref="B71:G71" si="25">IF($C$62&gt;=B$69,$B$62,"")</f>
        <v/>
      </c>
      <c r="C71" s="124" t="str">
        <f t="shared" si="25"/>
        <v/>
      </c>
      <c r="D71" s="124" t="str">
        <f t="shared" si="25"/>
        <v/>
      </c>
      <c r="E71" s="124" t="str">
        <f t="shared" si="25"/>
        <v/>
      </c>
      <c r="F71" s="124" t="str">
        <f t="shared" si="25"/>
        <v/>
      </c>
      <c r="G71" s="124" t="str">
        <f t="shared" si="25"/>
        <v/>
      </c>
      <c r="H71" s="137"/>
    </row>
    <row r="72" spans="1:8" x14ac:dyDescent="0.25">
      <c r="A72" s="138" t="str">
        <f>IF($C$63&gt;=A$69,$B$63,"")</f>
        <v>WashC</v>
      </c>
      <c r="B72" s="124" t="str">
        <f t="shared" ref="B72:G72" si="26">IF($C$63&gt;=B$69,$B$63,"")</f>
        <v/>
      </c>
      <c r="C72" s="124" t="str">
        <f t="shared" si="26"/>
        <v/>
      </c>
      <c r="D72" s="124" t="str">
        <f t="shared" si="26"/>
        <v/>
      </c>
      <c r="E72" s="124" t="str">
        <f t="shared" si="26"/>
        <v/>
      </c>
      <c r="F72" s="124" t="str">
        <f t="shared" si="26"/>
        <v/>
      </c>
      <c r="G72" s="124" t="str">
        <f t="shared" si="26"/>
        <v/>
      </c>
      <c r="H72" s="137"/>
    </row>
    <row r="73" spans="1:8" x14ac:dyDescent="0.25">
      <c r="A73" s="138" t="str">
        <f>IF($C$64&gt;=A$69,$B$64,"")</f>
        <v>EatB</v>
      </c>
      <c r="B73" s="124" t="str">
        <f t="shared" ref="B73:G73" si="27">IF($C$64&gt;=B$69,$B$64,"")</f>
        <v>EatB</v>
      </c>
      <c r="C73" s="124" t="str">
        <f t="shared" si="27"/>
        <v>EatB</v>
      </c>
      <c r="D73" s="124" t="str">
        <f t="shared" si="27"/>
        <v>EatB</v>
      </c>
      <c r="E73" s="124" t="str">
        <f t="shared" si="27"/>
        <v>EatB</v>
      </c>
      <c r="F73" s="124" t="str">
        <f t="shared" si="27"/>
        <v>EatB</v>
      </c>
      <c r="G73" s="124" t="str">
        <f t="shared" si="27"/>
        <v>EatB</v>
      </c>
      <c r="H73" s="137"/>
    </row>
    <row r="74" spans="1:8" x14ac:dyDescent="0.25">
      <c r="A74" s="138" t="str">
        <f>IF($C$65&gt;=A$69,$B$65,"")</f>
        <v>DressB</v>
      </c>
      <c r="B74" s="124" t="str">
        <f t="shared" ref="B74:G74" si="28">IF($C$65&gt;=B$69,$B$65,"")</f>
        <v/>
      </c>
      <c r="C74" s="124" t="str">
        <f t="shared" si="28"/>
        <v/>
      </c>
      <c r="D74" s="124" t="str">
        <f t="shared" si="28"/>
        <v/>
      </c>
      <c r="E74" s="124" t="str">
        <f t="shared" si="28"/>
        <v/>
      </c>
      <c r="F74" s="124" t="str">
        <f t="shared" si="28"/>
        <v/>
      </c>
      <c r="G74" s="124" t="str">
        <f t="shared" si="28"/>
        <v/>
      </c>
      <c r="H74" s="137"/>
    </row>
    <row r="75" spans="1:8" x14ac:dyDescent="0.25">
      <c r="A75" s="138" t="str">
        <f t="shared" ref="A75" si="29">IF(F67&gt;=1,B67,"")</f>
        <v/>
      </c>
      <c r="B75" s="124"/>
      <c r="C75" s="124"/>
      <c r="D75" s="124"/>
      <c r="E75" s="124"/>
      <c r="F75" s="124"/>
      <c r="G75" s="124"/>
      <c r="H75" s="137" t="s">
        <v>510</v>
      </c>
    </row>
    <row r="76" spans="1:8" ht="15.75" thickBot="1" x14ac:dyDescent="0.3">
      <c r="A76" s="139">
        <f>IF(CONCATENATE(A70,A71,A72,A73,A74)="","",VLOOKUP(CONCATENATE(A70,A71,A72,A73,A74),'Need&amp;Task Time Combos'!$A$1:$E$216,2,FALSE))</f>
        <v>1</v>
      </c>
      <c r="B76" s="140">
        <f>IF(CONCATENATE(B70,B71,B72,B73,B74)="","",VLOOKUP(CONCATENATE(B70,B71,B72,B73,B74),'Need&amp;Task Time Combos'!$A$1:$E$216,2,FALSE))</f>
        <v>0.25</v>
      </c>
      <c r="C76" s="140">
        <f>IF(CONCATENATE(C70,C71,C72,C73,C74)="","",VLOOKUP(CONCATENATE(C70,C71,C72,C73,C74),'Need&amp;Task Time Combos'!$A$1:$E$216,2,FALSE))</f>
        <v>0.25</v>
      </c>
      <c r="D76" s="140">
        <f>IF(CONCATENATE(D70,D71,D72,D73,D74)="","",VLOOKUP(CONCATENATE(D70,D71,D72,D73,D74),'Need&amp;Task Time Combos'!$A$1:$E$216,2,FALSE))</f>
        <v>0.25</v>
      </c>
      <c r="E76" s="140">
        <f>IF(CONCATENATE(E70,E71,E72,E73,E74)="","",VLOOKUP(CONCATENATE(E70,E71,E72,E73,E74),'Need&amp;Task Time Combos'!$A$1:$E$216,2,FALSE))</f>
        <v>0.25</v>
      </c>
      <c r="F76" s="140">
        <f>IF(CONCATENATE(F70,F71,F72,F73,F74)="","",VLOOKUP(CONCATENATE(F70,F71,F72,F73,F74),'Need&amp;Task Time Combos'!$A$1:$E$216,2,FALSE))</f>
        <v>0.25</v>
      </c>
      <c r="G76" s="140">
        <f>IF(CONCATENATE(G70,G71,G72,G73,G74)="","",VLOOKUP(CONCATENATE(G70,G71,G72,G73,G74),'Need&amp;Task Time Combos'!$A$1:$E$216,2,FALSE))</f>
        <v>0.25</v>
      </c>
      <c r="H76" s="141">
        <f>SUM(A76:G76)</f>
        <v>2.5</v>
      </c>
    </row>
    <row r="77" spans="1:8" ht="15.75" thickBot="1" x14ac:dyDescent="0.3"/>
    <row r="78" spans="1:8" x14ac:dyDescent="0.25">
      <c r="A78" s="142" t="s">
        <v>60</v>
      </c>
      <c r="B78" s="134"/>
      <c r="C78" s="134"/>
      <c r="D78" s="134"/>
      <c r="E78" s="134"/>
      <c r="F78" s="134"/>
      <c r="G78" s="134"/>
      <c r="H78" s="135"/>
    </row>
    <row r="79" spans="1:8" x14ac:dyDescent="0.25">
      <c r="A79" s="136">
        <v>1</v>
      </c>
      <c r="B79" s="1">
        <v>2</v>
      </c>
      <c r="C79" s="1">
        <v>3</v>
      </c>
      <c r="D79" s="1">
        <v>4</v>
      </c>
      <c r="E79" s="1">
        <v>5</v>
      </c>
      <c r="F79" s="1">
        <v>6</v>
      </c>
      <c r="G79" s="1">
        <v>7</v>
      </c>
      <c r="H79" s="137"/>
    </row>
    <row r="80" spans="1:8" x14ac:dyDescent="0.25">
      <c r="A80" s="138" t="str">
        <f>IF($D$61&gt;=A$79,$B$61,"")</f>
        <v/>
      </c>
      <c r="B80" s="124" t="str">
        <f t="shared" ref="B80:G80" si="30">IF($D$61&gt;=B$79,$B$61,"")</f>
        <v/>
      </c>
      <c r="C80" s="124" t="str">
        <f t="shared" si="30"/>
        <v/>
      </c>
      <c r="D80" s="124" t="str">
        <f t="shared" si="30"/>
        <v/>
      </c>
      <c r="E80" s="124" t="str">
        <f t="shared" si="30"/>
        <v/>
      </c>
      <c r="F80" s="124" t="str">
        <f t="shared" si="30"/>
        <v/>
      </c>
      <c r="G80" s="124" t="str">
        <f t="shared" si="30"/>
        <v/>
      </c>
      <c r="H80" s="137"/>
    </row>
    <row r="81" spans="1:8" x14ac:dyDescent="0.25">
      <c r="A81" s="138" t="str">
        <f>IF($D$62&gt;=A$79,$B$62,"")</f>
        <v>ToiletB</v>
      </c>
      <c r="B81" s="124" t="str">
        <f t="shared" ref="B81:G81" si="31">IF($D$62&gt;=B$79,$B$62,"")</f>
        <v/>
      </c>
      <c r="C81" s="124" t="str">
        <f t="shared" si="31"/>
        <v/>
      </c>
      <c r="D81" s="124" t="str">
        <f t="shared" si="31"/>
        <v/>
      </c>
      <c r="E81" s="124" t="str">
        <f t="shared" si="31"/>
        <v/>
      </c>
      <c r="F81" s="124" t="str">
        <f t="shared" si="31"/>
        <v/>
      </c>
      <c r="G81" s="124" t="str">
        <f t="shared" si="31"/>
        <v/>
      </c>
      <c r="H81" s="137"/>
    </row>
    <row r="82" spans="1:8" x14ac:dyDescent="0.25">
      <c r="A82" s="138" t="str">
        <f>IF($D$63&gt;=A$79,$B$63,"")</f>
        <v/>
      </c>
      <c r="B82" s="124" t="str">
        <f t="shared" ref="B82:G82" si="32">IF($D$63&gt;=B$79,$B$63,"")</f>
        <v/>
      </c>
      <c r="C82" s="124" t="str">
        <f t="shared" si="32"/>
        <v/>
      </c>
      <c r="D82" s="124" t="str">
        <f t="shared" si="32"/>
        <v/>
      </c>
      <c r="E82" s="124" t="str">
        <f t="shared" si="32"/>
        <v/>
      </c>
      <c r="F82" s="124" t="str">
        <f t="shared" si="32"/>
        <v/>
      </c>
      <c r="G82" s="124" t="str">
        <f t="shared" si="32"/>
        <v/>
      </c>
      <c r="H82" s="137"/>
    </row>
    <row r="83" spans="1:8" x14ac:dyDescent="0.25">
      <c r="A83" s="138" t="str">
        <f>IF($D$64&gt;=A$79,$B$64,"")</f>
        <v>EatB</v>
      </c>
      <c r="B83" s="124" t="str">
        <f t="shared" ref="B83:G83" si="33">IF($D$64&gt;=B$79,$B$64,"")</f>
        <v>EatB</v>
      </c>
      <c r="C83" s="124" t="str">
        <f t="shared" si="33"/>
        <v/>
      </c>
      <c r="D83" s="124" t="str">
        <f t="shared" si="33"/>
        <v/>
      </c>
      <c r="E83" s="124" t="str">
        <f t="shared" si="33"/>
        <v/>
      </c>
      <c r="F83" s="124" t="str">
        <f t="shared" si="33"/>
        <v/>
      </c>
      <c r="G83" s="124" t="str">
        <f t="shared" si="33"/>
        <v/>
      </c>
      <c r="H83" s="137"/>
    </row>
    <row r="84" spans="1:8" x14ac:dyDescent="0.25">
      <c r="A84" s="138" t="str">
        <f>IF($D$65&gt;=A$79,$B$65,"")</f>
        <v/>
      </c>
      <c r="B84" s="124" t="str">
        <f t="shared" ref="B84:G84" si="34">IF($D$65&gt;=B$79,$B$65,"")</f>
        <v/>
      </c>
      <c r="C84" s="124" t="str">
        <f t="shared" si="34"/>
        <v/>
      </c>
      <c r="D84" s="124" t="str">
        <f t="shared" si="34"/>
        <v/>
      </c>
      <c r="E84" s="124" t="str">
        <f t="shared" si="34"/>
        <v/>
      </c>
      <c r="F84" s="124" t="str">
        <f t="shared" si="34"/>
        <v/>
      </c>
      <c r="G84" s="124" t="str">
        <f t="shared" si="34"/>
        <v/>
      </c>
      <c r="H84" s="137"/>
    </row>
    <row r="85" spans="1:8" x14ac:dyDescent="0.25">
      <c r="A85" s="138" t="str">
        <f t="shared" ref="A85" si="35">IF(F77&gt;=1,B77,"")</f>
        <v/>
      </c>
      <c r="B85" s="124"/>
      <c r="C85" s="124"/>
      <c r="D85" s="124"/>
      <c r="E85" s="124"/>
      <c r="F85" s="124"/>
      <c r="G85" s="124"/>
      <c r="H85" s="137" t="s">
        <v>511</v>
      </c>
    </row>
    <row r="86" spans="1:8" ht="15.75" thickBot="1" x14ac:dyDescent="0.3">
      <c r="A86" s="139">
        <f>IF(CONCATENATE(A80,A81,A82,A83,A84)="","",VLOOKUP(CONCATENATE(A80,A81,A82,A83,A84),'Need&amp;Task Time Combos'!$A$1:$E$216,3,FALSE))</f>
        <v>0.25</v>
      </c>
      <c r="B86" s="140">
        <f>IF(CONCATENATE(B80,B81,B82,B83,B84)="","",VLOOKUP(CONCATENATE(B80,B81,B82,B83,B84),'Need&amp;Task Time Combos'!$A$1:$E$216,3,FALSE))</f>
        <v>0.25</v>
      </c>
      <c r="C86" s="140" t="str">
        <f>IF(CONCATENATE(C80,C81,C82,C83,C84)="","",VLOOKUP(CONCATENATE(C80,C81,C82,C83,C84),'Need&amp;Task Time Combos'!$A$1:$E$216,3,FALSE))</f>
        <v/>
      </c>
      <c r="D86" s="140" t="str">
        <f>IF(CONCATENATE(D80,D81,D82,D83,D84)="","",VLOOKUP(CONCATENATE(D80,D81,D82,D83,D84),'Need&amp;Task Time Combos'!$A$1:$E$216,3,FALSE))</f>
        <v/>
      </c>
      <c r="E86" s="140" t="str">
        <f>IF(CONCATENATE(E80,E81,E82,E83,E84)="","",VLOOKUP(CONCATENATE(E80,E81,E82,E83,E84),'Need&amp;Task Time Combos'!$A$1:$E$216,3,FALSE))</f>
        <v/>
      </c>
      <c r="F86" s="140" t="str">
        <f>IF(CONCATENATE(F80,F81,F82,F83,F84)="","",VLOOKUP(CONCATENATE(F80,F81,F82,F83,F84),'Need&amp;Task Time Combos'!$A$1:$E$216,3,FALSE))</f>
        <v/>
      </c>
      <c r="G86" s="140" t="str">
        <f>IF(CONCATENATE(G80,G81,G82,G83,G84)="","",VLOOKUP(CONCATENATE(G80,G81,G82,G83,G84),'Need&amp;Task Time Combos'!$A$1:$E$216,3,FALSE))</f>
        <v/>
      </c>
      <c r="H86" s="141">
        <f>SUM(A86:G86)</f>
        <v>0.5</v>
      </c>
    </row>
    <row r="87" spans="1:8" ht="15.75" thickBot="1" x14ac:dyDescent="0.3"/>
    <row r="88" spans="1:8" x14ac:dyDescent="0.25">
      <c r="A88" s="142" t="s">
        <v>62</v>
      </c>
      <c r="B88" s="134"/>
      <c r="C88" s="134"/>
      <c r="D88" s="134"/>
      <c r="E88" s="134"/>
      <c r="F88" s="134"/>
      <c r="G88" s="134"/>
      <c r="H88" s="135"/>
    </row>
    <row r="89" spans="1:8" x14ac:dyDescent="0.25">
      <c r="A89" s="136">
        <v>1</v>
      </c>
      <c r="B89" s="1">
        <v>2</v>
      </c>
      <c r="C89" s="1">
        <v>3</v>
      </c>
      <c r="D89" s="1">
        <v>4</v>
      </c>
      <c r="E89" s="1">
        <v>5</v>
      </c>
      <c r="F89" s="1">
        <v>6</v>
      </c>
      <c r="G89" s="1">
        <v>7</v>
      </c>
      <c r="H89" s="137"/>
    </row>
    <row r="90" spans="1:8" x14ac:dyDescent="0.25">
      <c r="A90" s="138" t="str">
        <f>IF($E$61&gt;=A$89,$B$61,"")</f>
        <v/>
      </c>
      <c r="B90" s="124" t="str">
        <f t="shared" ref="B90:G90" si="36">IF($E$61&gt;=B$89,$B$61,"")</f>
        <v/>
      </c>
      <c r="C90" s="124" t="str">
        <f t="shared" si="36"/>
        <v/>
      </c>
      <c r="D90" s="124" t="str">
        <f t="shared" si="36"/>
        <v/>
      </c>
      <c r="E90" s="124" t="str">
        <f t="shared" si="36"/>
        <v/>
      </c>
      <c r="F90" s="124" t="str">
        <f t="shared" si="36"/>
        <v/>
      </c>
      <c r="G90" s="124" t="str">
        <f t="shared" si="36"/>
        <v/>
      </c>
      <c r="H90" s="137"/>
    </row>
    <row r="91" spans="1:8" x14ac:dyDescent="0.25">
      <c r="A91" s="138" t="str">
        <f>IF($E$62&gt;=A$89,$B$62,"")</f>
        <v/>
      </c>
      <c r="B91" s="124" t="str">
        <f t="shared" ref="B91:G91" si="37">IF($E$62&gt;=B$89,$B$62,"")</f>
        <v/>
      </c>
      <c r="C91" s="124" t="str">
        <f t="shared" si="37"/>
        <v/>
      </c>
      <c r="D91" s="124" t="str">
        <f t="shared" si="37"/>
        <v/>
      </c>
      <c r="E91" s="124" t="str">
        <f t="shared" si="37"/>
        <v/>
      </c>
      <c r="F91" s="124" t="str">
        <f t="shared" si="37"/>
        <v/>
      </c>
      <c r="G91" s="124" t="str">
        <f t="shared" si="37"/>
        <v/>
      </c>
      <c r="H91" s="137"/>
    </row>
    <row r="92" spans="1:8" x14ac:dyDescent="0.25">
      <c r="A92" s="138" t="str">
        <f>IF($E$63&gt;=A$89,$B$63,"")</f>
        <v/>
      </c>
      <c r="B92" s="124" t="str">
        <f t="shared" ref="B92:G92" si="38">IF($E$63&gt;=B$89,$B$63,"")</f>
        <v/>
      </c>
      <c r="C92" s="124" t="str">
        <f t="shared" si="38"/>
        <v/>
      </c>
      <c r="D92" s="124" t="str">
        <f t="shared" si="38"/>
        <v/>
      </c>
      <c r="E92" s="124" t="str">
        <f t="shared" si="38"/>
        <v/>
      </c>
      <c r="F92" s="124" t="str">
        <f t="shared" si="38"/>
        <v/>
      </c>
      <c r="G92" s="124" t="str">
        <f t="shared" si="38"/>
        <v/>
      </c>
      <c r="H92" s="137"/>
    </row>
    <row r="93" spans="1:8" x14ac:dyDescent="0.25">
      <c r="A93" s="138" t="str">
        <f>IF($E$64&gt;=A$89,$B$64,"")</f>
        <v>EatB</v>
      </c>
      <c r="B93" s="124" t="str">
        <f t="shared" ref="B93:G93" si="39">IF($E$64&gt;=B$89,$B$64,"")</f>
        <v>EatB</v>
      </c>
      <c r="C93" s="124" t="str">
        <f t="shared" si="39"/>
        <v>EatB</v>
      </c>
      <c r="D93" s="124" t="str">
        <f t="shared" si="39"/>
        <v/>
      </c>
      <c r="E93" s="124" t="str">
        <f t="shared" si="39"/>
        <v/>
      </c>
      <c r="F93" s="124" t="str">
        <f t="shared" si="39"/>
        <v/>
      </c>
      <c r="G93" s="124" t="str">
        <f t="shared" si="39"/>
        <v/>
      </c>
      <c r="H93" s="137"/>
    </row>
    <row r="94" spans="1:8" x14ac:dyDescent="0.25">
      <c r="A94" s="138" t="str">
        <f>IF($E$65&gt;=A$89,$B$65,"")</f>
        <v/>
      </c>
      <c r="B94" s="124" t="str">
        <f t="shared" ref="B94:G94" si="40">IF($E$65&gt;=B$89,$B$65,"")</f>
        <v/>
      </c>
      <c r="C94" s="124" t="str">
        <f t="shared" si="40"/>
        <v/>
      </c>
      <c r="D94" s="124" t="str">
        <f t="shared" si="40"/>
        <v/>
      </c>
      <c r="E94" s="124" t="str">
        <f t="shared" si="40"/>
        <v/>
      </c>
      <c r="F94" s="124" t="str">
        <f t="shared" si="40"/>
        <v/>
      </c>
      <c r="G94" s="124" t="str">
        <f t="shared" si="40"/>
        <v/>
      </c>
      <c r="H94" s="137"/>
    </row>
    <row r="95" spans="1:8" x14ac:dyDescent="0.25">
      <c r="A95" s="138"/>
      <c r="B95" s="124"/>
      <c r="C95" s="124"/>
      <c r="D95" s="124"/>
      <c r="E95" s="124"/>
      <c r="F95" s="124"/>
      <c r="G95" s="124"/>
      <c r="H95" s="137" t="s">
        <v>512</v>
      </c>
    </row>
    <row r="96" spans="1:8" ht="15.75" thickBot="1" x14ac:dyDescent="0.3">
      <c r="A96" s="139">
        <f>IF(CONCATENATE(A90,A91,A92,A93,A94)="","",VLOOKUP(CONCATENATE(A90,A91,A92,A93,A94),'Need&amp;Task Time Combos'!$A$1:$E$216,4,FALSE))</f>
        <v>0.25</v>
      </c>
      <c r="B96" s="140">
        <f>IF(CONCATENATE(B90,B91,B92,B93,B94)="","",VLOOKUP(CONCATENATE(B90,B91,B92,B93,B94),'Need&amp;Task Time Combos'!$A$1:$E$216,4,FALSE))</f>
        <v>0.25</v>
      </c>
      <c r="C96" s="140">
        <f>IF(CONCATENATE(C90,C91,C92,C93,C94)="","",VLOOKUP(CONCATENATE(C90,C91,C92,C93,C94),'Need&amp;Task Time Combos'!$A$1:$E$216,4,FALSE))</f>
        <v>0.25</v>
      </c>
      <c r="D96" s="140" t="str">
        <f>IF(CONCATENATE(D90,D91,D92,D93,D94)="","",VLOOKUP(CONCATENATE(D90,D91,D92,D93,D94),'Need&amp;Task Time Combos'!$A$1:$E$216,4,FALSE))</f>
        <v/>
      </c>
      <c r="E96" s="140" t="str">
        <f>IF(CONCATENATE(E90,E91,E92,E93,E94)="","",VLOOKUP(CONCATENATE(E90,E91,E92,E93,E94),'Need&amp;Task Time Combos'!$A$1:$E$216,4,FALSE))</f>
        <v/>
      </c>
      <c r="F96" s="140" t="str">
        <f>IF(CONCATENATE(F90,F91,F92,F93,F94)="","",VLOOKUP(CONCATENATE(F90,F91,F92,F93,F94),'Need&amp;Task Time Combos'!$A$1:$E$216,4,FALSE))</f>
        <v/>
      </c>
      <c r="G96" s="140" t="str">
        <f>IF(CONCATENATE(G90,G91,G92,G93,G94)="","",VLOOKUP(CONCATENATE(G90,G91,G92,G93,G94),'Need&amp;Task Time Combos'!$A$1:$E$216,4,FALSE))</f>
        <v/>
      </c>
      <c r="H96" s="141">
        <f>SUM(A96:G96)</f>
        <v>0.75</v>
      </c>
    </row>
    <row r="97" spans="1:22" ht="15.75" thickBot="1" x14ac:dyDescent="0.3"/>
    <row r="98" spans="1:22" x14ac:dyDescent="0.25">
      <c r="A98" s="142" t="s">
        <v>509</v>
      </c>
      <c r="B98" s="134"/>
      <c r="C98" s="134"/>
      <c r="D98" s="134"/>
      <c r="E98" s="134"/>
      <c r="F98" s="134"/>
      <c r="G98" s="134"/>
      <c r="H98" s="135"/>
    </row>
    <row r="99" spans="1:22" x14ac:dyDescent="0.25">
      <c r="A99" s="136">
        <v>1</v>
      </c>
      <c r="B99" s="1">
        <v>2</v>
      </c>
      <c r="C99" s="1">
        <v>3</v>
      </c>
      <c r="D99" s="1">
        <v>4</v>
      </c>
      <c r="E99" s="1">
        <v>5</v>
      </c>
      <c r="F99" s="1">
        <v>6</v>
      </c>
      <c r="G99" s="1">
        <v>7</v>
      </c>
      <c r="H99" s="137"/>
    </row>
    <row r="100" spans="1:22" x14ac:dyDescent="0.25">
      <c r="A100" s="138" t="str">
        <f>IF($F$61&gt;=A$99,$B$61,"")</f>
        <v>Bed</v>
      </c>
      <c r="B100" s="124" t="str">
        <f t="shared" ref="B100:G100" si="41">IF($F$61&gt;=B$99,$B$61,"")</f>
        <v>Bed</v>
      </c>
      <c r="C100" s="124" t="str">
        <f t="shared" si="41"/>
        <v>Bed</v>
      </c>
      <c r="D100" s="124" t="str">
        <f t="shared" si="41"/>
        <v>Bed</v>
      </c>
      <c r="E100" s="124" t="str">
        <f t="shared" si="41"/>
        <v>Bed</v>
      </c>
      <c r="F100" s="124" t="str">
        <f t="shared" si="41"/>
        <v>Bed</v>
      </c>
      <c r="G100" s="124" t="str">
        <f t="shared" si="41"/>
        <v>Bed</v>
      </c>
      <c r="H100" s="137"/>
    </row>
    <row r="101" spans="1:22" x14ac:dyDescent="0.25">
      <c r="A101" s="138" t="str">
        <f>IF($F$62&gt;=A$99,$B$62,"")</f>
        <v>ToiletB</v>
      </c>
      <c r="B101" s="124" t="str">
        <f t="shared" ref="B101:G101" si="42">IF($F$62&gt;=B$99,$B$62,"")</f>
        <v/>
      </c>
      <c r="C101" s="124" t="str">
        <f t="shared" si="42"/>
        <v/>
      </c>
      <c r="D101" s="124" t="str">
        <f t="shared" si="42"/>
        <v/>
      </c>
      <c r="E101" s="124" t="str">
        <f t="shared" si="42"/>
        <v/>
      </c>
      <c r="F101" s="124" t="str">
        <f t="shared" si="42"/>
        <v/>
      </c>
      <c r="G101" s="124" t="str">
        <f t="shared" si="42"/>
        <v/>
      </c>
      <c r="H101" s="137"/>
    </row>
    <row r="102" spans="1:22" x14ac:dyDescent="0.25">
      <c r="A102" s="138" t="str">
        <f>IF($F$63&gt;=A$99,$B$63,"")</f>
        <v>WashC</v>
      </c>
      <c r="B102" s="124" t="str">
        <f t="shared" ref="B102:G102" si="43">IF($F$63&gt;=B$99,$B$63,"")</f>
        <v/>
      </c>
      <c r="C102" s="124" t="str">
        <f t="shared" si="43"/>
        <v/>
      </c>
      <c r="D102" s="124" t="str">
        <f t="shared" si="43"/>
        <v/>
      </c>
      <c r="E102" s="124" t="str">
        <f t="shared" si="43"/>
        <v/>
      </c>
      <c r="F102" s="124" t="str">
        <f t="shared" si="43"/>
        <v/>
      </c>
      <c r="G102" s="124" t="str">
        <f t="shared" si="43"/>
        <v/>
      </c>
      <c r="H102" s="137"/>
    </row>
    <row r="103" spans="1:22" x14ac:dyDescent="0.25">
      <c r="A103" s="138" t="str">
        <f>IF($F$64&gt;=A$99,$B$64,"")</f>
        <v/>
      </c>
      <c r="B103" s="124" t="str">
        <f t="shared" ref="B103:G103" si="44">IF($F$64&gt;=B$99,$B$64,"")</f>
        <v/>
      </c>
      <c r="C103" s="124" t="str">
        <f t="shared" si="44"/>
        <v/>
      </c>
      <c r="D103" s="124" t="str">
        <f t="shared" si="44"/>
        <v/>
      </c>
      <c r="E103" s="124" t="str">
        <f t="shared" si="44"/>
        <v/>
      </c>
      <c r="F103" s="124" t="str">
        <f t="shared" si="44"/>
        <v/>
      </c>
      <c r="G103" s="124" t="str">
        <f t="shared" si="44"/>
        <v/>
      </c>
      <c r="H103" s="137"/>
    </row>
    <row r="104" spans="1:22" x14ac:dyDescent="0.25">
      <c r="A104" s="138" t="str">
        <f>IF($F$65&gt;=A$99,$B$65,"")</f>
        <v>DressB</v>
      </c>
      <c r="B104" s="124" t="str">
        <f t="shared" ref="B104:G104" si="45">IF($F$65&gt;=B$99,$B$65,"")</f>
        <v>DressB</v>
      </c>
      <c r="C104" s="124" t="str">
        <f t="shared" si="45"/>
        <v>DressB</v>
      </c>
      <c r="D104" s="124" t="str">
        <f t="shared" si="45"/>
        <v>DressB</v>
      </c>
      <c r="E104" s="124" t="str">
        <f t="shared" si="45"/>
        <v>DressB</v>
      </c>
      <c r="F104" s="124" t="str">
        <f t="shared" si="45"/>
        <v/>
      </c>
      <c r="G104" s="124" t="str">
        <f t="shared" si="45"/>
        <v/>
      </c>
      <c r="H104" s="137"/>
    </row>
    <row r="105" spans="1:22" x14ac:dyDescent="0.25">
      <c r="A105" s="138"/>
      <c r="B105" s="124"/>
      <c r="C105" s="124"/>
      <c r="D105" s="124"/>
      <c r="E105" s="124"/>
      <c r="F105" s="124"/>
      <c r="G105" s="124"/>
      <c r="H105" s="137" t="s">
        <v>513</v>
      </c>
    </row>
    <row r="106" spans="1:22" ht="15.75" thickBot="1" x14ac:dyDescent="0.3">
      <c r="A106" s="139">
        <f>IF(CONCATENATE(A100,A101,A102,A103,A104)="","",VLOOKUP(CONCATENATE(A100,A101,A102,A103,A104),'Need&amp;Task Time Combos'!$A$1:$E$216,5,FALSE))</f>
        <v>0.5</v>
      </c>
      <c r="B106" s="140">
        <f>IF(CONCATENATE(B100,B101,B102,B103,B104)="","",VLOOKUP(CONCATENATE(B100,B101,B102,B103,B104),'Need&amp;Task Time Combos'!$A$1:$E$216,5,FALSE))</f>
        <v>0.5</v>
      </c>
      <c r="C106" s="140">
        <f>IF(CONCATENATE(C100,C101,C102,C103,C104)="","",VLOOKUP(CONCATENATE(C100,C101,C102,C103,C104),'Need&amp;Task Time Combos'!$A$1:$E$216,5,FALSE))</f>
        <v>0.5</v>
      </c>
      <c r="D106" s="140">
        <f>IF(CONCATENATE(D100,D101,D102,D103,D104)="","",VLOOKUP(CONCATENATE(D100,D101,D102,D103,D104),'Need&amp;Task Time Combos'!$A$1:$E$216,5,FALSE))</f>
        <v>0.5</v>
      </c>
      <c r="E106" s="140">
        <f>IF(CONCATENATE(E100,E101,E102,E103,E104)="","",VLOOKUP(CONCATENATE(E100,E101,E102,E103,E104),'Need&amp;Task Time Combos'!$A$1:$E$216,5,FALSE))</f>
        <v>0.5</v>
      </c>
      <c r="F106" s="140">
        <f>IF(CONCATENATE(F100,F101,F102,F103,F104)="","",VLOOKUP(CONCATENATE(F100,F101,F102,F103,F104),'Need&amp;Task Time Combos'!$A$1:$E$216,5,FALSE))</f>
        <v>0.25</v>
      </c>
      <c r="G106" s="140">
        <f>IF(CONCATENATE(G100,G101,G102,G103,G104)="","",VLOOKUP(CONCATENATE(G100,G101,G102,G103,G104),'Need&amp;Task Time Combos'!$A$1:$E$216,5,FALSE))</f>
        <v>0.25</v>
      </c>
      <c r="H106" s="141">
        <f>SUM(A106:G106)</f>
        <v>3</v>
      </c>
    </row>
    <row r="108" spans="1:22" s="2" customFormat="1" ht="15.75" customHeight="1" x14ac:dyDescent="0.3">
      <c r="A108" s="157" t="s">
        <v>452</v>
      </c>
      <c r="B108" s="158"/>
      <c r="C108" s="159"/>
      <c r="D108" s="159"/>
      <c r="E108" s="159"/>
      <c r="F108" s="159"/>
      <c r="G108" s="159"/>
      <c r="H108" s="159"/>
      <c r="I108"/>
      <c r="J108"/>
      <c r="K108" s="157" t="s">
        <v>558</v>
      </c>
      <c r="L108" s="157"/>
      <c r="M108" s="159"/>
      <c r="N108" s="159"/>
      <c r="O108" s="159"/>
      <c r="P108" s="159"/>
      <c r="Q108" s="159"/>
      <c r="R108" s="159"/>
      <c r="S108" s="159"/>
      <c r="T108" s="159"/>
      <c r="U108" s="159"/>
      <c r="V108" s="159"/>
    </row>
    <row r="109" spans="1:22" s="2" customFormat="1" x14ac:dyDescent="0.25">
      <c r="B109" s="66"/>
      <c r="C109" s="66"/>
      <c r="D109" s="66"/>
      <c r="E109" s="66"/>
      <c r="F109" s="66"/>
      <c r="G109" s="66"/>
      <c r="H109" s="66"/>
      <c r="I109"/>
      <c r="J109"/>
      <c r="K109" s="66"/>
      <c r="L109" s="66"/>
      <c r="M109" s="66"/>
      <c r="N109" s="66"/>
      <c r="O109" s="66"/>
      <c r="P109" s="66"/>
      <c r="Q109" s="66"/>
      <c r="R109" s="66"/>
      <c r="S109" s="66"/>
      <c r="T109" s="66"/>
      <c r="U109" s="66"/>
      <c r="V109" s="66"/>
    </row>
    <row r="110" spans="1:22" s="2" customFormat="1" ht="15.75" x14ac:dyDescent="0.25">
      <c r="A110" s="68" t="s">
        <v>527</v>
      </c>
      <c r="B110" s="6" t="str">
        <f>IF('Daily Needs'!E47="","Yes","")</f>
        <v/>
      </c>
      <c r="D110" s="5"/>
      <c r="E110" s="5"/>
      <c r="F110" s="5"/>
      <c r="G110" s="5"/>
      <c r="H110" s="5"/>
      <c r="I110"/>
      <c r="J110"/>
      <c r="K110" s="68">
        <v>1</v>
      </c>
      <c r="L110" s="68" t="s">
        <v>436</v>
      </c>
      <c r="M110" s="5"/>
      <c r="N110" s="5"/>
      <c r="O110" s="5"/>
      <c r="P110" s="5"/>
      <c r="Q110" s="5"/>
      <c r="R110" s="5"/>
      <c r="S110" s="5"/>
      <c r="T110" s="5"/>
      <c r="U110" s="5"/>
      <c r="V110" s="5"/>
    </row>
    <row r="111" spans="1:22" s="2" customFormat="1" x14ac:dyDescent="0.25">
      <c r="A111" s="6" t="s">
        <v>528</v>
      </c>
      <c r="B111" s="6" t="str">
        <f>IF(B110="","",IF(G66&lt;7,0,IF(AND(G66&gt;=7,G66&lt;14),1,IF(AND(G66&gt;=14,G66&lt;21),2,IF(G66&gt;21,3,"")))))</f>
        <v/>
      </c>
      <c r="I111"/>
      <c r="J111"/>
      <c r="L111" s="2" t="s">
        <v>437</v>
      </c>
    </row>
    <row r="112" spans="1:22" s="2" customFormat="1" ht="15.75" thickBot="1" x14ac:dyDescent="0.3">
      <c r="A112" s="19"/>
      <c r="B112" s="19"/>
      <c r="C112" s="19"/>
      <c r="D112" s="19"/>
      <c r="E112" s="19"/>
      <c r="F112" s="19"/>
      <c r="G112" s="19"/>
      <c r="H112" s="19"/>
      <c r="I112"/>
      <c r="J112"/>
    </row>
    <row r="113" spans="1:22" s="2" customFormat="1" ht="15.75" thickBot="1" x14ac:dyDescent="0.3">
      <c r="I113"/>
      <c r="J113"/>
      <c r="L113" s="44" t="s">
        <v>422</v>
      </c>
      <c r="M113" s="45" t="s">
        <v>423</v>
      </c>
    </row>
    <row r="114" spans="1:22" s="2" customFormat="1" ht="15.75" x14ac:dyDescent="0.25">
      <c r="A114" s="48" t="s">
        <v>529</v>
      </c>
      <c r="B114" s="49"/>
      <c r="E114" s="6" t="str">
        <f>IF('Daily Needs'!E47="At Risk","Yes","")</f>
        <v/>
      </c>
      <c r="I114"/>
      <c r="J114"/>
      <c r="L114" s="46" t="s">
        <v>438</v>
      </c>
      <c r="M114" s="50">
        <v>1</v>
      </c>
    </row>
    <row r="115" spans="1:22" s="2" customFormat="1" x14ac:dyDescent="0.25">
      <c r="A115" s="7" t="s">
        <v>528</v>
      </c>
      <c r="B115" s="156" t="str">
        <f>IF(E114="","",IF(G66&lt;7,0,IF(AND(G66&gt;=7,G66&lt;14),1,IF(AND(G66&gt;=14,G66&lt;21),2,IF(G66&gt;21,3,"")))))</f>
        <v/>
      </c>
      <c r="I115"/>
      <c r="J115"/>
      <c r="L115" s="46" t="s">
        <v>439</v>
      </c>
      <c r="M115" s="50">
        <v>2</v>
      </c>
    </row>
    <row r="116" spans="1:22" s="2" customFormat="1" ht="15.75" thickBot="1" x14ac:dyDescent="0.3">
      <c r="A116" s="7" t="s">
        <v>531</v>
      </c>
      <c r="B116" s="156" t="str">
        <f>IF(E114="","",IF(G66&lt;7,0,IF(AND(G66&gt;=7,G66&lt;14),2,IF(AND(G66&gt;=14,G66&lt;21),4,IF(G66&gt;21,6,"")))))</f>
        <v/>
      </c>
      <c r="I116"/>
      <c r="J116"/>
      <c r="L116" s="47" t="s">
        <v>440</v>
      </c>
      <c r="M116" s="51">
        <v>3</v>
      </c>
    </row>
    <row r="117" spans="1:22" s="2" customFormat="1" x14ac:dyDescent="0.25">
      <c r="A117" s="19"/>
      <c r="B117" s="67"/>
      <c r="C117" s="67"/>
      <c r="D117" s="19"/>
      <c r="E117" s="19"/>
      <c r="F117" s="19"/>
      <c r="G117" s="19"/>
      <c r="H117" s="19"/>
      <c r="I117"/>
      <c r="J117"/>
    </row>
    <row r="118" spans="1:22" s="2" customFormat="1" ht="15.75" x14ac:dyDescent="0.25">
      <c r="I118"/>
      <c r="J118"/>
      <c r="K118" s="48">
        <v>2</v>
      </c>
      <c r="L118" s="48" t="s">
        <v>434</v>
      </c>
      <c r="M118" s="49"/>
    </row>
    <row r="119" spans="1:22" s="2" customFormat="1" ht="25.5" customHeight="1" thickBot="1" x14ac:dyDescent="0.3">
      <c r="A119" s="48" t="s">
        <v>532</v>
      </c>
      <c r="C119" s="49"/>
      <c r="D119" s="49"/>
      <c r="F119" s="6" t="str">
        <f>IF('Daily Needs'!E47="Unable to live alone","Yes","")</f>
        <v>Yes</v>
      </c>
      <c r="I119"/>
      <c r="J119"/>
      <c r="L119" s="207" t="s">
        <v>499</v>
      </c>
      <c r="M119" s="207"/>
      <c r="N119" s="207"/>
      <c r="O119" s="207"/>
      <c r="P119" s="207"/>
      <c r="Q119" s="207"/>
      <c r="R119" s="207"/>
      <c r="S119" s="207"/>
      <c r="T119" s="207"/>
      <c r="U119" s="207"/>
      <c r="V119" s="207"/>
    </row>
    <row r="120" spans="1:22" s="2" customFormat="1" ht="15.75" thickBot="1" x14ac:dyDescent="0.3">
      <c r="A120" s="7" t="s">
        <v>528</v>
      </c>
      <c r="B120" s="6">
        <f>IF(F119="Yes",3,0)</f>
        <v>3</v>
      </c>
      <c r="C120" s="155"/>
      <c r="D120" s="155"/>
      <c r="E120" s="155"/>
      <c r="F120" s="155"/>
      <c r="G120" s="155"/>
      <c r="H120" s="155"/>
      <c r="I120"/>
      <c r="J120"/>
      <c r="L120" s="52" t="s">
        <v>424</v>
      </c>
      <c r="M120" s="53" t="s">
        <v>425</v>
      </c>
    </row>
    <row r="121" spans="1:22" s="2" customFormat="1" ht="15.75" thickBot="1" x14ac:dyDescent="0.3">
      <c r="A121" s="7" t="s">
        <v>531</v>
      </c>
      <c r="B121" s="6">
        <f>IF(F119="Yes",6)</f>
        <v>6</v>
      </c>
      <c r="C121" s="153"/>
      <c r="D121" s="153"/>
      <c r="E121" s="153"/>
      <c r="F121" s="153"/>
      <c r="G121" s="153"/>
      <c r="H121" s="153"/>
      <c r="I121"/>
      <c r="J121"/>
      <c r="L121" s="54" t="s">
        <v>426</v>
      </c>
      <c r="M121" s="55" t="s">
        <v>427</v>
      </c>
    </row>
    <row r="122" spans="1:22" s="2" customFormat="1" ht="16.5" thickBot="1" x14ac:dyDescent="0.3">
      <c r="A122" s="48"/>
      <c r="C122" s="153"/>
      <c r="D122" s="153"/>
      <c r="E122" s="153"/>
      <c r="F122" s="153"/>
      <c r="G122" s="153"/>
      <c r="H122" s="153"/>
      <c r="I122"/>
      <c r="J122"/>
      <c r="K122" s="5"/>
      <c r="L122" s="54" t="s">
        <v>428</v>
      </c>
      <c r="M122" s="55" t="s">
        <v>429</v>
      </c>
      <c r="N122" s="5"/>
      <c r="O122" s="5"/>
      <c r="P122" s="5"/>
      <c r="Q122" s="5"/>
      <c r="R122" s="5"/>
      <c r="S122" s="5"/>
      <c r="T122" s="5"/>
      <c r="U122" s="5"/>
      <c r="V122" s="5"/>
    </row>
    <row r="123" spans="1:22" s="2" customFormat="1" ht="15.75" x14ac:dyDescent="0.25">
      <c r="A123" s="157" t="s">
        <v>454</v>
      </c>
      <c r="B123" s="160"/>
      <c r="C123" s="159"/>
      <c r="D123" s="159"/>
      <c r="E123" s="159"/>
      <c r="F123" s="161"/>
      <c r="G123" s="161"/>
      <c r="H123" s="161"/>
      <c r="I123"/>
      <c r="J123"/>
    </row>
    <row r="124" spans="1:22" s="2" customFormat="1" ht="15.75" x14ac:dyDescent="0.25">
      <c r="A124" s="2" t="s">
        <v>455</v>
      </c>
      <c r="I124"/>
      <c r="J124"/>
      <c r="K124" s="48">
        <v>3</v>
      </c>
      <c r="L124" s="48" t="s">
        <v>435</v>
      </c>
      <c r="M124" s="49"/>
      <c r="N124" s="49"/>
    </row>
    <row r="125" spans="1:22" s="2" customFormat="1" ht="24.75" customHeight="1" x14ac:dyDescent="0.25">
      <c r="A125" s="57" t="s">
        <v>456</v>
      </c>
      <c r="I125"/>
      <c r="J125"/>
      <c r="K125" s="5"/>
      <c r="L125" s="208" t="s">
        <v>500</v>
      </c>
      <c r="M125" s="208"/>
      <c r="N125" s="208"/>
      <c r="O125" s="208"/>
      <c r="P125" s="208"/>
      <c r="Q125" s="208"/>
      <c r="R125" s="208"/>
      <c r="S125" s="208"/>
      <c r="T125" s="208"/>
      <c r="U125" s="208"/>
      <c r="V125" s="208"/>
    </row>
    <row r="126" spans="1:22" s="2" customFormat="1" ht="15.75" x14ac:dyDescent="0.25">
      <c r="I126"/>
      <c r="J126"/>
      <c r="K126" s="5"/>
      <c r="L126" s="48" t="s">
        <v>430</v>
      </c>
      <c r="M126" s="154"/>
      <c r="N126" s="154"/>
      <c r="O126" s="154"/>
      <c r="P126" s="154"/>
      <c r="Q126" s="154"/>
      <c r="R126" s="154"/>
      <c r="S126" s="154"/>
      <c r="T126" s="154"/>
      <c r="U126" s="154"/>
      <c r="V126" s="154"/>
    </row>
    <row r="127" spans="1:22" s="2" customFormat="1" x14ac:dyDescent="0.25">
      <c r="A127" s="19"/>
      <c r="B127" s="58"/>
      <c r="C127" s="61" t="s">
        <v>446</v>
      </c>
      <c r="D127" s="61" t="s">
        <v>453</v>
      </c>
      <c r="I127"/>
      <c r="J127"/>
      <c r="K127" s="5"/>
      <c r="M127" s="154"/>
      <c r="N127" s="154"/>
      <c r="O127" s="154"/>
      <c r="P127" s="154"/>
      <c r="Q127" s="154"/>
      <c r="R127" s="154"/>
      <c r="S127" s="154"/>
      <c r="T127" s="154"/>
      <c r="U127" s="154"/>
      <c r="V127" s="154"/>
    </row>
    <row r="128" spans="1:22" s="2" customFormat="1" x14ac:dyDescent="0.25">
      <c r="A128" s="59" t="s">
        <v>445</v>
      </c>
      <c r="B128" s="6" t="s">
        <v>441</v>
      </c>
      <c r="C128" s="6">
        <v>43</v>
      </c>
      <c r="D128" s="6" t="s">
        <v>442</v>
      </c>
      <c r="I128"/>
      <c r="J128"/>
      <c r="K128"/>
      <c r="L128"/>
      <c r="M128"/>
      <c r="N128"/>
      <c r="O128"/>
      <c r="P128"/>
      <c r="Q128"/>
      <c r="R128"/>
      <c r="S128"/>
      <c r="T128"/>
      <c r="U128"/>
      <c r="V128"/>
    </row>
    <row r="129" spans="1:22" s="2" customFormat="1" x14ac:dyDescent="0.25">
      <c r="A129" s="60"/>
      <c r="B129" s="6" t="s">
        <v>443</v>
      </c>
      <c r="C129" s="6">
        <v>32.200000000000003</v>
      </c>
      <c r="D129" s="6" t="s">
        <v>444</v>
      </c>
      <c r="I129"/>
      <c r="J129"/>
      <c r="K129"/>
      <c r="L129"/>
      <c r="M129"/>
      <c r="N129"/>
      <c r="O129"/>
      <c r="P129"/>
      <c r="Q129"/>
      <c r="R129"/>
      <c r="S129"/>
      <c r="T129"/>
      <c r="U129"/>
      <c r="V129"/>
    </row>
    <row r="130" spans="1:22" s="2" customFormat="1" x14ac:dyDescent="0.25">
      <c r="I130"/>
      <c r="J130"/>
      <c r="K130"/>
      <c r="L130"/>
    </row>
    <row r="131" spans="1:22" s="2" customFormat="1" x14ac:dyDescent="0.25">
      <c r="A131" s="19"/>
      <c r="B131" s="58"/>
      <c r="C131" s="65" t="s">
        <v>449</v>
      </c>
      <c r="D131" s="65" t="s">
        <v>453</v>
      </c>
      <c r="I131"/>
      <c r="J131"/>
      <c r="K131"/>
      <c r="L131"/>
    </row>
    <row r="132" spans="1:22" s="2" customFormat="1" x14ac:dyDescent="0.25">
      <c r="A132" s="62" t="s">
        <v>450</v>
      </c>
      <c r="B132" s="6" t="s">
        <v>447</v>
      </c>
      <c r="C132" s="6">
        <v>658</v>
      </c>
      <c r="D132" s="6" t="s">
        <v>442</v>
      </c>
      <c r="I132"/>
      <c r="J132"/>
      <c r="K132"/>
      <c r="L132"/>
    </row>
    <row r="133" spans="1:22" s="2" customFormat="1" x14ac:dyDescent="0.25">
      <c r="A133" s="63"/>
      <c r="B133" s="6" t="s">
        <v>443</v>
      </c>
      <c r="C133" s="6">
        <v>340</v>
      </c>
      <c r="D133" s="6" t="s">
        <v>444</v>
      </c>
      <c r="I133"/>
      <c r="J133"/>
      <c r="K133"/>
      <c r="L133"/>
      <c r="M133"/>
      <c r="N133"/>
      <c r="O133"/>
      <c r="P133"/>
      <c r="Q133"/>
      <c r="R133"/>
      <c r="S133"/>
      <c r="T133"/>
      <c r="U133"/>
      <c r="V133"/>
    </row>
    <row r="134" spans="1:22" s="2" customFormat="1" x14ac:dyDescent="0.25">
      <c r="A134" s="64"/>
      <c r="B134" s="6" t="s">
        <v>448</v>
      </c>
      <c r="C134" s="6">
        <v>400</v>
      </c>
      <c r="D134" s="6" t="s">
        <v>451</v>
      </c>
      <c r="I134"/>
      <c r="J134"/>
      <c r="K134"/>
      <c r="L134"/>
      <c r="M134"/>
      <c r="N134"/>
      <c r="O134"/>
      <c r="P134"/>
      <c r="Q134"/>
      <c r="R134"/>
      <c r="S134"/>
      <c r="T134"/>
      <c r="U134"/>
      <c r="V134"/>
    </row>
  </sheetData>
  <mergeCells count="2">
    <mergeCell ref="L119:V119"/>
    <mergeCell ref="L125:V12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16"/>
  <sheetViews>
    <sheetView workbookViewId="0">
      <pane ySplit="1" topLeftCell="A2" activePane="bottomLeft" state="frozen"/>
      <selection pane="bottomLeft" activeCell="A144" sqref="A144"/>
    </sheetView>
  </sheetViews>
  <sheetFormatPr defaultRowHeight="15" x14ac:dyDescent="0.25"/>
  <cols>
    <col min="1" max="1" width="37" bestFit="1" customWidth="1"/>
    <col min="2" max="2" width="10.5703125" bestFit="1" customWidth="1"/>
    <col min="3" max="3" width="12.7109375" bestFit="1" customWidth="1"/>
    <col min="4" max="4" width="11.140625" bestFit="1" customWidth="1"/>
    <col min="5" max="5" width="10.7109375" bestFit="1" customWidth="1"/>
  </cols>
  <sheetData>
    <row r="1" spans="1:5" x14ac:dyDescent="0.25">
      <c r="A1" s="1" t="s">
        <v>40</v>
      </c>
      <c r="B1" s="1" t="s">
        <v>36</v>
      </c>
      <c r="C1" s="1" t="s">
        <v>37</v>
      </c>
      <c r="D1" s="1" t="s">
        <v>38</v>
      </c>
      <c r="E1" s="1" t="s">
        <v>39</v>
      </c>
    </row>
    <row r="2" spans="1:5" x14ac:dyDescent="0.25">
      <c r="A2" t="s">
        <v>23</v>
      </c>
      <c r="B2">
        <v>0.25</v>
      </c>
      <c r="E2">
        <v>0.25</v>
      </c>
    </row>
    <row r="3" spans="1:5" x14ac:dyDescent="0.25">
      <c r="A3" t="s">
        <v>41</v>
      </c>
      <c r="B3">
        <v>0.25</v>
      </c>
    </row>
    <row r="4" spans="1:5" x14ac:dyDescent="0.25">
      <c r="A4" t="s">
        <v>42</v>
      </c>
      <c r="B4">
        <v>0.25</v>
      </c>
      <c r="E4">
        <v>0.25</v>
      </c>
    </row>
    <row r="5" spans="1:5" x14ac:dyDescent="0.25">
      <c r="A5" t="s">
        <v>56</v>
      </c>
      <c r="B5">
        <v>0.25</v>
      </c>
      <c r="D5">
        <v>0</v>
      </c>
    </row>
    <row r="6" spans="1:5" x14ac:dyDescent="0.25">
      <c r="A6" t="s">
        <v>181</v>
      </c>
      <c r="B6">
        <v>0.25</v>
      </c>
      <c r="C6">
        <v>0.25</v>
      </c>
      <c r="D6">
        <v>0.25</v>
      </c>
    </row>
    <row r="7" spans="1:5" x14ac:dyDescent="0.25">
      <c r="A7" t="s">
        <v>43</v>
      </c>
      <c r="B7">
        <v>0.25</v>
      </c>
    </row>
    <row r="8" spans="1:5" x14ac:dyDescent="0.25">
      <c r="A8" t="s">
        <v>44</v>
      </c>
      <c r="B8">
        <v>0.25</v>
      </c>
      <c r="C8">
        <v>0.25</v>
      </c>
      <c r="D8">
        <v>0</v>
      </c>
      <c r="E8">
        <v>0.25</v>
      </c>
    </row>
    <row r="9" spans="1:5" x14ac:dyDescent="0.25">
      <c r="A9" t="s">
        <v>45</v>
      </c>
      <c r="B9">
        <v>0.25</v>
      </c>
    </row>
    <row r="10" spans="1:5" x14ac:dyDescent="0.25">
      <c r="A10" t="s">
        <v>46</v>
      </c>
      <c r="B10">
        <v>0.25</v>
      </c>
    </row>
    <row r="11" spans="1:5" x14ac:dyDescent="0.25">
      <c r="A11" t="s">
        <v>47</v>
      </c>
      <c r="B11">
        <v>0.25</v>
      </c>
      <c r="E11">
        <v>0.25</v>
      </c>
    </row>
    <row r="12" spans="1:5" x14ac:dyDescent="0.25">
      <c r="A12" t="s">
        <v>48</v>
      </c>
      <c r="B12">
        <v>0.25</v>
      </c>
      <c r="C12">
        <v>0</v>
      </c>
      <c r="D12">
        <v>0</v>
      </c>
      <c r="E12">
        <v>0.25</v>
      </c>
    </row>
    <row r="13" spans="1:5" x14ac:dyDescent="0.25">
      <c r="A13" t="s">
        <v>49</v>
      </c>
      <c r="B13">
        <v>0.25</v>
      </c>
      <c r="C13">
        <v>0.25</v>
      </c>
      <c r="D13">
        <v>0</v>
      </c>
      <c r="E13">
        <v>0.5</v>
      </c>
    </row>
    <row r="14" spans="1:5" x14ac:dyDescent="0.25">
      <c r="A14" t="s">
        <v>50</v>
      </c>
      <c r="B14">
        <v>0.25</v>
      </c>
      <c r="C14">
        <v>0</v>
      </c>
      <c r="D14">
        <v>0</v>
      </c>
      <c r="E14">
        <v>0.25</v>
      </c>
    </row>
    <row r="15" spans="1:5" x14ac:dyDescent="0.25">
      <c r="A15" t="s">
        <v>51</v>
      </c>
      <c r="B15">
        <v>0.25</v>
      </c>
      <c r="C15">
        <v>0</v>
      </c>
      <c r="D15">
        <v>0</v>
      </c>
      <c r="E15">
        <v>0.25</v>
      </c>
    </row>
    <row r="16" spans="1:5" x14ac:dyDescent="0.25">
      <c r="A16" t="s">
        <v>52</v>
      </c>
      <c r="B16">
        <v>0.25</v>
      </c>
      <c r="C16">
        <v>0</v>
      </c>
      <c r="D16">
        <v>0</v>
      </c>
      <c r="E16">
        <v>0.5</v>
      </c>
    </row>
    <row r="17" spans="1:5" x14ac:dyDescent="0.25">
      <c r="A17" t="s">
        <v>53</v>
      </c>
      <c r="B17">
        <v>0.25</v>
      </c>
      <c r="C17">
        <v>0</v>
      </c>
      <c r="D17">
        <v>0</v>
      </c>
      <c r="E17">
        <v>0.25</v>
      </c>
    </row>
    <row r="18" spans="1:5" x14ac:dyDescent="0.25">
      <c r="A18" t="s">
        <v>54</v>
      </c>
      <c r="B18">
        <v>0.25</v>
      </c>
      <c r="C18">
        <v>0</v>
      </c>
      <c r="D18">
        <v>0</v>
      </c>
      <c r="E18">
        <v>0.5</v>
      </c>
    </row>
    <row r="19" spans="1:5" x14ac:dyDescent="0.25">
      <c r="A19" t="s">
        <v>55</v>
      </c>
      <c r="B19">
        <v>0.25</v>
      </c>
      <c r="C19">
        <v>0</v>
      </c>
      <c r="D19">
        <v>0</v>
      </c>
      <c r="E19">
        <v>0.25</v>
      </c>
    </row>
    <row r="20" spans="1:5" x14ac:dyDescent="0.25">
      <c r="A20" t="s">
        <v>175</v>
      </c>
      <c r="B20">
        <v>0.25</v>
      </c>
      <c r="C20">
        <v>0.25</v>
      </c>
      <c r="D20">
        <v>0.25</v>
      </c>
      <c r="E20">
        <v>0.25</v>
      </c>
    </row>
    <row r="21" spans="1:5" x14ac:dyDescent="0.25">
      <c r="A21" t="s">
        <v>64</v>
      </c>
      <c r="B21">
        <v>0.25</v>
      </c>
    </row>
    <row r="22" spans="1:5" x14ac:dyDescent="0.25">
      <c r="A22" t="s">
        <v>65</v>
      </c>
      <c r="B22">
        <v>0.5</v>
      </c>
    </row>
    <row r="23" spans="1:5" x14ac:dyDescent="0.25">
      <c r="A23" t="s">
        <v>66</v>
      </c>
      <c r="B23">
        <v>0.25</v>
      </c>
      <c r="E23">
        <v>0.25</v>
      </c>
    </row>
    <row r="24" spans="1:5" x14ac:dyDescent="0.25">
      <c r="A24" t="s">
        <v>67</v>
      </c>
      <c r="B24">
        <v>0.25</v>
      </c>
      <c r="C24">
        <v>0.25</v>
      </c>
      <c r="D24">
        <v>0</v>
      </c>
      <c r="E24">
        <v>0.25</v>
      </c>
    </row>
    <row r="25" spans="1:5" x14ac:dyDescent="0.25">
      <c r="A25" t="s">
        <v>174</v>
      </c>
      <c r="B25">
        <v>0.25</v>
      </c>
      <c r="C25">
        <v>0.25</v>
      </c>
      <c r="D25">
        <v>0</v>
      </c>
      <c r="E25">
        <v>0.25</v>
      </c>
    </row>
    <row r="26" spans="1:5" x14ac:dyDescent="0.25">
      <c r="A26" t="s">
        <v>68</v>
      </c>
      <c r="B26">
        <v>0.5</v>
      </c>
      <c r="C26">
        <v>0.25</v>
      </c>
      <c r="D26">
        <v>0</v>
      </c>
      <c r="E26">
        <v>0.25</v>
      </c>
    </row>
    <row r="27" spans="1:5" x14ac:dyDescent="0.25">
      <c r="A27" t="s">
        <v>57</v>
      </c>
      <c r="B27">
        <v>0.25</v>
      </c>
      <c r="E27">
        <v>0.25</v>
      </c>
    </row>
    <row r="28" spans="1:5" x14ac:dyDescent="0.25">
      <c r="A28" t="s">
        <v>58</v>
      </c>
      <c r="B28">
        <v>0.5</v>
      </c>
      <c r="E28">
        <v>0.25</v>
      </c>
    </row>
    <row r="29" spans="1:5" x14ac:dyDescent="0.25">
      <c r="A29" t="s">
        <v>69</v>
      </c>
      <c r="B29">
        <v>0.5</v>
      </c>
      <c r="E29">
        <v>0.5</v>
      </c>
    </row>
    <row r="30" spans="1:5" x14ac:dyDescent="0.25">
      <c r="A30" t="s">
        <v>70</v>
      </c>
      <c r="B30">
        <v>0.25</v>
      </c>
      <c r="C30">
        <v>0.25</v>
      </c>
      <c r="D30">
        <v>0</v>
      </c>
      <c r="E30">
        <v>0.5</v>
      </c>
    </row>
    <row r="31" spans="1:5" x14ac:dyDescent="0.25">
      <c r="A31" t="s">
        <v>71</v>
      </c>
      <c r="B31">
        <v>0.5</v>
      </c>
      <c r="C31">
        <v>0.25</v>
      </c>
      <c r="D31">
        <v>0</v>
      </c>
      <c r="E31">
        <v>0.5</v>
      </c>
    </row>
    <row r="32" spans="1:5" x14ac:dyDescent="0.25">
      <c r="A32" t="s">
        <v>72</v>
      </c>
      <c r="B32">
        <v>0.5</v>
      </c>
      <c r="C32">
        <v>0.25</v>
      </c>
      <c r="D32">
        <v>0</v>
      </c>
      <c r="E32">
        <v>0.5</v>
      </c>
    </row>
    <row r="33" spans="1:5" x14ac:dyDescent="0.25">
      <c r="A33" t="s">
        <v>73</v>
      </c>
      <c r="B33">
        <v>0.25</v>
      </c>
    </row>
    <row r="34" spans="1:5" x14ac:dyDescent="0.25">
      <c r="A34" t="s">
        <v>74</v>
      </c>
      <c r="B34">
        <v>0.25</v>
      </c>
      <c r="E34">
        <v>0.25</v>
      </c>
    </row>
    <row r="35" spans="1:5" x14ac:dyDescent="0.25">
      <c r="A35" t="s">
        <v>75</v>
      </c>
      <c r="B35">
        <v>0.25</v>
      </c>
      <c r="C35">
        <v>0.25</v>
      </c>
      <c r="D35">
        <v>0</v>
      </c>
      <c r="E35">
        <v>0.25</v>
      </c>
    </row>
    <row r="36" spans="1:5" x14ac:dyDescent="0.25">
      <c r="A36" t="s">
        <v>76</v>
      </c>
      <c r="B36">
        <v>0.5</v>
      </c>
      <c r="C36">
        <v>0.25</v>
      </c>
      <c r="D36">
        <v>0</v>
      </c>
      <c r="E36">
        <v>0.25</v>
      </c>
    </row>
    <row r="37" spans="1:5" x14ac:dyDescent="0.25">
      <c r="A37" t="s">
        <v>78</v>
      </c>
      <c r="B37">
        <v>0.25</v>
      </c>
      <c r="D37">
        <v>0</v>
      </c>
    </row>
    <row r="38" spans="1:5" x14ac:dyDescent="0.25">
      <c r="A38" t="s">
        <v>77</v>
      </c>
      <c r="B38">
        <v>0.25</v>
      </c>
      <c r="C38">
        <v>0.25</v>
      </c>
      <c r="D38">
        <v>0</v>
      </c>
      <c r="E38">
        <v>0.25</v>
      </c>
    </row>
    <row r="39" spans="1:5" x14ac:dyDescent="0.25">
      <c r="A39" t="s">
        <v>79</v>
      </c>
      <c r="B39">
        <v>0.25</v>
      </c>
      <c r="C39">
        <v>0.25</v>
      </c>
      <c r="D39">
        <v>0.25</v>
      </c>
    </row>
    <row r="40" spans="1:5" x14ac:dyDescent="0.25">
      <c r="A40" t="s">
        <v>80</v>
      </c>
      <c r="B40">
        <v>0.25</v>
      </c>
      <c r="C40">
        <v>0.25</v>
      </c>
      <c r="D40">
        <v>0.25</v>
      </c>
      <c r="E40">
        <v>0.25</v>
      </c>
    </row>
    <row r="41" spans="1:5" x14ac:dyDescent="0.25">
      <c r="A41" t="s">
        <v>81</v>
      </c>
      <c r="B41">
        <v>0.25</v>
      </c>
      <c r="E41">
        <v>0.25</v>
      </c>
    </row>
    <row r="42" spans="1:5" x14ac:dyDescent="0.25">
      <c r="A42" t="s">
        <v>213</v>
      </c>
      <c r="B42">
        <v>0.25</v>
      </c>
      <c r="E42">
        <v>0.5</v>
      </c>
    </row>
    <row r="43" spans="1:5" x14ac:dyDescent="0.25">
      <c r="A43" t="s">
        <v>82</v>
      </c>
      <c r="B43">
        <v>0.25</v>
      </c>
      <c r="C43">
        <v>0.25</v>
      </c>
      <c r="D43">
        <v>0</v>
      </c>
      <c r="E43">
        <v>0.5</v>
      </c>
    </row>
    <row r="44" spans="1:5" x14ac:dyDescent="0.25">
      <c r="A44" t="s">
        <v>83</v>
      </c>
      <c r="B44">
        <v>0.25</v>
      </c>
      <c r="C44">
        <v>0.25</v>
      </c>
      <c r="D44">
        <v>0</v>
      </c>
      <c r="E44">
        <v>0.5</v>
      </c>
    </row>
    <row r="45" spans="1:5" x14ac:dyDescent="0.25">
      <c r="A45" t="s">
        <v>85</v>
      </c>
      <c r="B45">
        <v>0.25</v>
      </c>
      <c r="D45">
        <v>0</v>
      </c>
      <c r="E45">
        <v>0.25</v>
      </c>
    </row>
    <row r="46" spans="1:5" x14ac:dyDescent="0.25">
      <c r="A46" t="s">
        <v>86</v>
      </c>
      <c r="B46">
        <v>0.25</v>
      </c>
      <c r="C46">
        <v>0.25</v>
      </c>
      <c r="D46">
        <v>0</v>
      </c>
      <c r="E46">
        <v>0.5</v>
      </c>
    </row>
    <row r="47" spans="1:5" x14ac:dyDescent="0.25">
      <c r="A47" t="s">
        <v>84</v>
      </c>
      <c r="B47">
        <v>0.25</v>
      </c>
      <c r="C47">
        <v>0.25</v>
      </c>
      <c r="D47">
        <v>0.25</v>
      </c>
      <c r="E47">
        <v>0.25</v>
      </c>
    </row>
    <row r="48" spans="1:5" x14ac:dyDescent="0.25">
      <c r="A48" t="s">
        <v>87</v>
      </c>
      <c r="B48">
        <v>0.5</v>
      </c>
      <c r="C48">
        <v>0.25</v>
      </c>
      <c r="D48">
        <v>0.25</v>
      </c>
      <c r="E48">
        <v>0.5</v>
      </c>
    </row>
    <row r="49" spans="1:5" x14ac:dyDescent="0.25">
      <c r="A49" t="s">
        <v>88</v>
      </c>
      <c r="B49">
        <v>0.25</v>
      </c>
    </row>
    <row r="50" spans="1:5" x14ac:dyDescent="0.25">
      <c r="A50" t="s">
        <v>113</v>
      </c>
      <c r="B50">
        <v>0.5</v>
      </c>
    </row>
    <row r="51" spans="1:5" x14ac:dyDescent="0.25">
      <c r="A51" t="s">
        <v>114</v>
      </c>
      <c r="B51">
        <v>0.5</v>
      </c>
      <c r="E51">
        <v>0.25</v>
      </c>
    </row>
    <row r="52" spans="1:5" x14ac:dyDescent="0.25">
      <c r="A52" t="s">
        <v>115</v>
      </c>
      <c r="B52">
        <v>0.5</v>
      </c>
      <c r="E52">
        <v>0.25</v>
      </c>
    </row>
    <row r="53" spans="1:5" x14ac:dyDescent="0.25">
      <c r="A53" t="s">
        <v>116</v>
      </c>
      <c r="B53">
        <v>0.5</v>
      </c>
      <c r="E53">
        <v>0.25</v>
      </c>
    </row>
    <row r="54" spans="1:5" x14ac:dyDescent="0.25">
      <c r="A54" t="s">
        <v>117</v>
      </c>
      <c r="B54">
        <v>0.5</v>
      </c>
      <c r="E54">
        <v>0.5</v>
      </c>
    </row>
    <row r="55" spans="1:5" x14ac:dyDescent="0.25">
      <c r="A55" t="s">
        <v>186</v>
      </c>
      <c r="B55">
        <v>0.25</v>
      </c>
      <c r="E55">
        <v>0.25</v>
      </c>
    </row>
    <row r="56" spans="1:5" x14ac:dyDescent="0.25">
      <c r="A56" t="s">
        <v>187</v>
      </c>
      <c r="B56">
        <v>0.5</v>
      </c>
      <c r="E56">
        <v>0.25</v>
      </c>
    </row>
    <row r="57" spans="1:5" x14ac:dyDescent="0.25">
      <c r="A57" t="s">
        <v>188</v>
      </c>
      <c r="B57">
        <v>0.5</v>
      </c>
      <c r="E57">
        <v>0.5</v>
      </c>
    </row>
    <row r="58" spans="1:5" x14ac:dyDescent="0.25">
      <c r="A58" t="s">
        <v>189</v>
      </c>
      <c r="B58">
        <v>0.5</v>
      </c>
      <c r="E58">
        <v>0.25</v>
      </c>
    </row>
    <row r="59" spans="1:5" x14ac:dyDescent="0.25">
      <c r="A59" t="s">
        <v>190</v>
      </c>
      <c r="B59">
        <v>0.5</v>
      </c>
      <c r="E59">
        <v>0.5</v>
      </c>
    </row>
    <row r="60" spans="1:5" x14ac:dyDescent="0.25">
      <c r="A60" t="s">
        <v>191</v>
      </c>
      <c r="B60">
        <v>0.5</v>
      </c>
      <c r="E60">
        <v>0.5</v>
      </c>
    </row>
    <row r="61" spans="1:5" x14ac:dyDescent="0.25">
      <c r="A61" t="s">
        <v>118</v>
      </c>
      <c r="B61">
        <v>0.5</v>
      </c>
      <c r="D61">
        <v>0</v>
      </c>
    </row>
    <row r="62" spans="1:5" x14ac:dyDescent="0.25">
      <c r="A62" t="s">
        <v>119</v>
      </c>
      <c r="B62">
        <v>0.5</v>
      </c>
      <c r="D62">
        <v>0</v>
      </c>
    </row>
    <row r="63" spans="1:5" x14ac:dyDescent="0.25">
      <c r="A63" t="s">
        <v>120</v>
      </c>
      <c r="B63">
        <v>0.5</v>
      </c>
      <c r="D63">
        <v>0</v>
      </c>
      <c r="E63">
        <v>0.25</v>
      </c>
    </row>
    <row r="64" spans="1:5" x14ac:dyDescent="0.25">
      <c r="A64" t="s">
        <v>121</v>
      </c>
      <c r="B64">
        <v>0.25</v>
      </c>
      <c r="C64">
        <v>0.25</v>
      </c>
      <c r="D64">
        <v>0.25</v>
      </c>
    </row>
    <row r="65" spans="1:5" x14ac:dyDescent="0.25">
      <c r="A65" t="s">
        <v>122</v>
      </c>
      <c r="B65">
        <v>0.5</v>
      </c>
      <c r="C65">
        <v>0.25</v>
      </c>
      <c r="D65">
        <v>0.25</v>
      </c>
    </row>
    <row r="66" spans="1:5" x14ac:dyDescent="0.25">
      <c r="A66" t="s">
        <v>123</v>
      </c>
      <c r="B66">
        <v>0.5</v>
      </c>
      <c r="C66">
        <v>0.25</v>
      </c>
      <c r="D66">
        <v>0.25</v>
      </c>
      <c r="E66">
        <v>0.25</v>
      </c>
    </row>
    <row r="67" spans="1:5" x14ac:dyDescent="0.25">
      <c r="A67" t="s">
        <v>192</v>
      </c>
      <c r="B67">
        <v>0.5</v>
      </c>
      <c r="D67">
        <v>0</v>
      </c>
      <c r="E67">
        <v>0.25</v>
      </c>
    </row>
    <row r="68" spans="1:5" x14ac:dyDescent="0.25">
      <c r="A68" t="s">
        <v>193</v>
      </c>
      <c r="B68">
        <v>0.5</v>
      </c>
      <c r="D68">
        <v>0</v>
      </c>
      <c r="E68">
        <v>0.25</v>
      </c>
    </row>
    <row r="69" spans="1:5" x14ac:dyDescent="0.25">
      <c r="A69" t="s">
        <v>194</v>
      </c>
      <c r="B69">
        <v>0.5</v>
      </c>
      <c r="D69">
        <v>0</v>
      </c>
      <c r="E69">
        <v>0.5</v>
      </c>
    </row>
    <row r="70" spans="1:5" x14ac:dyDescent="0.25">
      <c r="A70" t="s">
        <v>195</v>
      </c>
      <c r="B70">
        <v>0.5</v>
      </c>
      <c r="C70">
        <v>0.25</v>
      </c>
      <c r="D70">
        <v>0.25</v>
      </c>
      <c r="E70">
        <v>0.25</v>
      </c>
    </row>
    <row r="71" spans="1:5" x14ac:dyDescent="0.25">
      <c r="A71" t="s">
        <v>196</v>
      </c>
      <c r="B71">
        <v>0.5</v>
      </c>
      <c r="C71">
        <v>0.25</v>
      </c>
      <c r="D71">
        <v>0.25</v>
      </c>
      <c r="E71">
        <v>0.5</v>
      </c>
    </row>
    <row r="72" spans="1:5" x14ac:dyDescent="0.25">
      <c r="A72" t="s">
        <v>197</v>
      </c>
      <c r="B72">
        <v>0.5</v>
      </c>
      <c r="C72">
        <v>0.25</v>
      </c>
      <c r="D72">
        <v>0.25</v>
      </c>
      <c r="E72">
        <v>0.5</v>
      </c>
    </row>
    <row r="73" spans="1:5" x14ac:dyDescent="0.25">
      <c r="A73" t="s">
        <v>124</v>
      </c>
      <c r="B73">
        <v>0.5</v>
      </c>
      <c r="D73">
        <v>0</v>
      </c>
    </row>
    <row r="74" spans="1:5" x14ac:dyDescent="0.25">
      <c r="A74" t="s">
        <v>125</v>
      </c>
      <c r="B74">
        <v>0.5</v>
      </c>
      <c r="D74">
        <v>0</v>
      </c>
    </row>
    <row r="75" spans="1:5" x14ac:dyDescent="0.25">
      <c r="A75" t="s">
        <v>126</v>
      </c>
      <c r="B75">
        <v>0.5</v>
      </c>
      <c r="D75">
        <v>0</v>
      </c>
      <c r="E75">
        <v>0.25</v>
      </c>
    </row>
    <row r="76" spans="1:5" x14ac:dyDescent="0.25">
      <c r="A76" t="s">
        <v>127</v>
      </c>
      <c r="B76">
        <v>0.5</v>
      </c>
      <c r="D76">
        <v>0</v>
      </c>
      <c r="E76">
        <v>0.25</v>
      </c>
    </row>
    <row r="77" spans="1:5" x14ac:dyDescent="0.25">
      <c r="A77" t="s">
        <v>128</v>
      </c>
      <c r="B77">
        <v>0.5</v>
      </c>
      <c r="D77">
        <v>0</v>
      </c>
      <c r="E77">
        <v>0.25</v>
      </c>
    </row>
    <row r="78" spans="1:5" x14ac:dyDescent="0.25">
      <c r="A78" t="s">
        <v>129</v>
      </c>
      <c r="B78">
        <v>0.5</v>
      </c>
      <c r="D78">
        <v>0</v>
      </c>
      <c r="E78">
        <v>0.5</v>
      </c>
    </row>
    <row r="79" spans="1:5" x14ac:dyDescent="0.25">
      <c r="A79" t="s">
        <v>130</v>
      </c>
      <c r="B79">
        <v>0.5</v>
      </c>
      <c r="C79">
        <v>0.25</v>
      </c>
      <c r="D79">
        <v>0.25</v>
      </c>
    </row>
    <row r="80" spans="1:5" x14ac:dyDescent="0.25">
      <c r="A80" t="s">
        <v>131</v>
      </c>
      <c r="B80">
        <v>0.5</v>
      </c>
      <c r="C80">
        <v>0.25</v>
      </c>
      <c r="D80">
        <v>0.25</v>
      </c>
    </row>
    <row r="81" spans="1:5" x14ac:dyDescent="0.25">
      <c r="A81" t="s">
        <v>132</v>
      </c>
      <c r="B81">
        <v>0.5</v>
      </c>
      <c r="C81">
        <v>0.25</v>
      </c>
      <c r="D81">
        <v>0.25</v>
      </c>
      <c r="E81">
        <v>0.25</v>
      </c>
    </row>
    <row r="82" spans="1:5" x14ac:dyDescent="0.25">
      <c r="A82" t="s">
        <v>133</v>
      </c>
      <c r="B82">
        <v>0.5</v>
      </c>
      <c r="C82">
        <v>0.25</v>
      </c>
      <c r="D82">
        <v>0.25</v>
      </c>
      <c r="E82">
        <v>0.25</v>
      </c>
    </row>
    <row r="83" spans="1:5" x14ac:dyDescent="0.25">
      <c r="A83" t="s">
        <v>134</v>
      </c>
      <c r="B83">
        <v>0.5</v>
      </c>
      <c r="C83">
        <v>0.25</v>
      </c>
      <c r="D83">
        <v>0.25</v>
      </c>
      <c r="E83">
        <v>0.25</v>
      </c>
    </row>
    <row r="84" spans="1:5" x14ac:dyDescent="0.25">
      <c r="A84" t="s">
        <v>135</v>
      </c>
      <c r="B84">
        <v>0.5</v>
      </c>
      <c r="C84">
        <v>0.25</v>
      </c>
      <c r="D84">
        <v>0.25</v>
      </c>
      <c r="E84">
        <v>0.5</v>
      </c>
    </row>
    <row r="85" spans="1:5" x14ac:dyDescent="0.25">
      <c r="A85" t="s">
        <v>136</v>
      </c>
      <c r="B85">
        <v>0.5</v>
      </c>
      <c r="D85">
        <v>0</v>
      </c>
      <c r="E85">
        <v>0.25</v>
      </c>
    </row>
    <row r="86" spans="1:5" x14ac:dyDescent="0.25">
      <c r="A86" t="s">
        <v>214</v>
      </c>
      <c r="B86">
        <v>0.75</v>
      </c>
      <c r="D86">
        <v>0</v>
      </c>
      <c r="E86">
        <v>0.25</v>
      </c>
    </row>
    <row r="87" spans="1:5" x14ac:dyDescent="0.25">
      <c r="A87" t="s">
        <v>216</v>
      </c>
      <c r="B87">
        <v>0.75</v>
      </c>
      <c r="D87">
        <v>0</v>
      </c>
      <c r="E87">
        <v>0.5</v>
      </c>
    </row>
    <row r="88" spans="1:5" x14ac:dyDescent="0.25">
      <c r="A88" t="s">
        <v>215</v>
      </c>
      <c r="B88">
        <v>0.5</v>
      </c>
      <c r="D88">
        <v>0</v>
      </c>
      <c r="E88">
        <v>0.5</v>
      </c>
    </row>
    <row r="89" spans="1:5" x14ac:dyDescent="0.25">
      <c r="A89" t="s">
        <v>217</v>
      </c>
      <c r="B89">
        <v>0.75</v>
      </c>
      <c r="D89">
        <v>0</v>
      </c>
      <c r="E89">
        <v>0.5</v>
      </c>
    </row>
    <row r="90" spans="1:5" x14ac:dyDescent="0.25">
      <c r="A90" t="s">
        <v>218</v>
      </c>
      <c r="B90">
        <v>0.75</v>
      </c>
      <c r="D90">
        <v>0</v>
      </c>
      <c r="E90">
        <v>0.5</v>
      </c>
    </row>
    <row r="91" spans="1:5" x14ac:dyDescent="0.25">
      <c r="A91" t="s">
        <v>219</v>
      </c>
      <c r="B91">
        <v>0.5</v>
      </c>
      <c r="C91">
        <v>0.25</v>
      </c>
      <c r="D91">
        <v>0.25</v>
      </c>
      <c r="E91">
        <v>0.25</v>
      </c>
    </row>
    <row r="92" spans="1:5" x14ac:dyDescent="0.25">
      <c r="A92" t="s">
        <v>220</v>
      </c>
      <c r="B92">
        <v>0.75</v>
      </c>
      <c r="C92">
        <v>0.25</v>
      </c>
      <c r="D92">
        <v>0.25</v>
      </c>
      <c r="E92">
        <v>0.25</v>
      </c>
    </row>
    <row r="93" spans="1:5" x14ac:dyDescent="0.25">
      <c r="A93" t="s">
        <v>221</v>
      </c>
      <c r="B93">
        <v>0.75</v>
      </c>
      <c r="C93">
        <v>0.25</v>
      </c>
      <c r="D93">
        <v>0.25</v>
      </c>
      <c r="E93">
        <v>0.5</v>
      </c>
    </row>
    <row r="94" spans="1:5" x14ac:dyDescent="0.25">
      <c r="A94" t="s">
        <v>222</v>
      </c>
      <c r="B94">
        <v>0.5</v>
      </c>
      <c r="C94">
        <v>0.25</v>
      </c>
      <c r="D94">
        <v>0.25</v>
      </c>
      <c r="E94">
        <v>0.5</v>
      </c>
    </row>
    <row r="95" spans="1:5" x14ac:dyDescent="0.25">
      <c r="A95" t="s">
        <v>223</v>
      </c>
      <c r="B95">
        <v>0.75</v>
      </c>
      <c r="C95">
        <v>0.25</v>
      </c>
      <c r="D95">
        <v>0.25</v>
      </c>
      <c r="E95">
        <v>0.5</v>
      </c>
    </row>
    <row r="96" spans="1:5" x14ac:dyDescent="0.25">
      <c r="A96" t="s">
        <v>224</v>
      </c>
      <c r="B96">
        <v>0.75</v>
      </c>
      <c r="C96">
        <v>0.25</v>
      </c>
      <c r="D96">
        <v>0.25</v>
      </c>
      <c r="E96">
        <v>0.5</v>
      </c>
    </row>
    <row r="97" spans="1:5" x14ac:dyDescent="0.25">
      <c r="A97" t="s">
        <v>177</v>
      </c>
      <c r="B97">
        <v>0.5</v>
      </c>
      <c r="D97">
        <v>0</v>
      </c>
    </row>
    <row r="98" spans="1:5" x14ac:dyDescent="0.25">
      <c r="A98" t="s">
        <v>178</v>
      </c>
      <c r="B98">
        <v>0.5</v>
      </c>
      <c r="C98">
        <v>0.25</v>
      </c>
      <c r="D98">
        <v>0</v>
      </c>
      <c r="E98">
        <v>0.25</v>
      </c>
    </row>
    <row r="99" spans="1:5" x14ac:dyDescent="0.25">
      <c r="A99" t="s">
        <v>179</v>
      </c>
      <c r="B99">
        <v>0.5</v>
      </c>
      <c r="D99">
        <v>0</v>
      </c>
      <c r="E99">
        <v>0.25</v>
      </c>
    </row>
    <row r="100" spans="1:5" x14ac:dyDescent="0.25">
      <c r="A100" t="s">
        <v>180</v>
      </c>
      <c r="B100">
        <v>0.5</v>
      </c>
      <c r="C100">
        <v>0.25</v>
      </c>
      <c r="D100">
        <v>0</v>
      </c>
      <c r="E100">
        <v>0.25</v>
      </c>
    </row>
    <row r="101" spans="1:5" x14ac:dyDescent="0.25">
      <c r="A101" t="s">
        <v>176</v>
      </c>
      <c r="B101">
        <v>0.5</v>
      </c>
      <c r="C101">
        <v>0.25</v>
      </c>
      <c r="D101">
        <v>0.25</v>
      </c>
    </row>
    <row r="102" spans="1:5" x14ac:dyDescent="0.25">
      <c r="A102" t="s">
        <v>198</v>
      </c>
      <c r="B102">
        <v>0.5</v>
      </c>
      <c r="C102">
        <v>0.25</v>
      </c>
      <c r="D102">
        <v>0.25</v>
      </c>
      <c r="E102">
        <v>0.25</v>
      </c>
    </row>
    <row r="103" spans="1:5" x14ac:dyDescent="0.25">
      <c r="A103" t="s">
        <v>199</v>
      </c>
      <c r="B103">
        <v>0.5</v>
      </c>
      <c r="C103">
        <v>0.25</v>
      </c>
      <c r="D103">
        <v>0.25</v>
      </c>
      <c r="E103">
        <v>0.25</v>
      </c>
    </row>
    <row r="104" spans="1:5" x14ac:dyDescent="0.25">
      <c r="A104" t="s">
        <v>200</v>
      </c>
      <c r="B104">
        <v>0.5</v>
      </c>
      <c r="C104">
        <v>0.25</v>
      </c>
      <c r="D104">
        <v>0.25</v>
      </c>
      <c r="E104">
        <v>0.25</v>
      </c>
    </row>
    <row r="105" spans="1:5" x14ac:dyDescent="0.25">
      <c r="A105" t="s">
        <v>225</v>
      </c>
      <c r="B105">
        <v>0.5</v>
      </c>
      <c r="D105">
        <v>0</v>
      </c>
      <c r="E105">
        <v>0.25</v>
      </c>
    </row>
    <row r="106" spans="1:5" x14ac:dyDescent="0.25">
      <c r="A106" t="s">
        <v>226</v>
      </c>
      <c r="B106">
        <v>0.5</v>
      </c>
      <c r="C106">
        <v>0.25</v>
      </c>
      <c r="D106">
        <v>0</v>
      </c>
      <c r="E106">
        <v>0.5</v>
      </c>
    </row>
    <row r="107" spans="1:5" x14ac:dyDescent="0.25">
      <c r="A107" t="s">
        <v>227</v>
      </c>
      <c r="B107">
        <v>0.5</v>
      </c>
      <c r="D107">
        <v>0</v>
      </c>
      <c r="E107">
        <v>0.5</v>
      </c>
    </row>
    <row r="108" spans="1:5" x14ac:dyDescent="0.25">
      <c r="A108" t="s">
        <v>228</v>
      </c>
      <c r="B108">
        <v>0.5</v>
      </c>
      <c r="C108">
        <v>0.25</v>
      </c>
      <c r="D108">
        <v>0</v>
      </c>
      <c r="E108">
        <v>0.5</v>
      </c>
    </row>
    <row r="109" spans="1:5" x14ac:dyDescent="0.25">
      <c r="A109" t="s">
        <v>229</v>
      </c>
      <c r="B109">
        <v>0.5</v>
      </c>
      <c r="C109">
        <v>0.25</v>
      </c>
      <c r="D109">
        <v>0.25</v>
      </c>
      <c r="E109">
        <v>0.25</v>
      </c>
    </row>
    <row r="110" spans="1:5" x14ac:dyDescent="0.25">
      <c r="A110" t="s">
        <v>230</v>
      </c>
      <c r="B110">
        <v>0.5</v>
      </c>
      <c r="C110">
        <v>0.25</v>
      </c>
      <c r="D110">
        <v>0.25</v>
      </c>
      <c r="E110">
        <v>0.5</v>
      </c>
    </row>
    <row r="111" spans="1:5" x14ac:dyDescent="0.25">
      <c r="A111" t="s">
        <v>231</v>
      </c>
      <c r="B111">
        <v>0.5</v>
      </c>
      <c r="C111">
        <v>0.25</v>
      </c>
      <c r="D111">
        <v>0.25</v>
      </c>
      <c r="E111">
        <v>0.5</v>
      </c>
    </row>
    <row r="112" spans="1:5" x14ac:dyDescent="0.25">
      <c r="A112" t="s">
        <v>232</v>
      </c>
      <c r="B112">
        <v>0.5</v>
      </c>
      <c r="C112">
        <v>0.25</v>
      </c>
      <c r="D112">
        <v>0.25</v>
      </c>
      <c r="E112">
        <v>0.5</v>
      </c>
    </row>
    <row r="113" spans="1:5" x14ac:dyDescent="0.25">
      <c r="A113" t="s">
        <v>182</v>
      </c>
      <c r="B113">
        <v>0.25</v>
      </c>
      <c r="D113">
        <v>0</v>
      </c>
    </row>
    <row r="114" spans="1:5" x14ac:dyDescent="0.25">
      <c r="A114" t="s">
        <v>184</v>
      </c>
      <c r="B114">
        <v>0.25</v>
      </c>
      <c r="D114">
        <v>0</v>
      </c>
      <c r="E114">
        <v>0.25</v>
      </c>
    </row>
    <row r="115" spans="1:5" x14ac:dyDescent="0.25">
      <c r="A115" t="s">
        <v>183</v>
      </c>
      <c r="B115">
        <v>0.25</v>
      </c>
      <c r="C115">
        <v>0.25</v>
      </c>
      <c r="D115">
        <v>0.25</v>
      </c>
    </row>
    <row r="116" spans="1:5" x14ac:dyDescent="0.25">
      <c r="A116" t="s">
        <v>185</v>
      </c>
      <c r="B116">
        <v>0.25</v>
      </c>
      <c r="C116">
        <v>0.25</v>
      </c>
      <c r="D116">
        <v>0.25</v>
      </c>
      <c r="E116">
        <v>0.25</v>
      </c>
    </row>
    <row r="117" spans="1:5" x14ac:dyDescent="0.25">
      <c r="A117" t="s">
        <v>233</v>
      </c>
      <c r="B117">
        <v>0.25</v>
      </c>
      <c r="D117">
        <v>0</v>
      </c>
      <c r="E117">
        <v>0.25</v>
      </c>
    </row>
    <row r="118" spans="1:5" x14ac:dyDescent="0.25">
      <c r="A118" t="s">
        <v>234</v>
      </c>
      <c r="B118">
        <v>0.25</v>
      </c>
      <c r="D118">
        <v>0</v>
      </c>
      <c r="E118">
        <v>0.5</v>
      </c>
    </row>
    <row r="119" spans="1:5" x14ac:dyDescent="0.25">
      <c r="A119" t="s">
        <v>235</v>
      </c>
      <c r="B119">
        <v>0.25</v>
      </c>
      <c r="C119">
        <v>0.25</v>
      </c>
      <c r="D119">
        <v>0.25</v>
      </c>
      <c r="E119">
        <v>0.5</v>
      </c>
    </row>
    <row r="120" spans="1:5" x14ac:dyDescent="0.25">
      <c r="A120" t="s">
        <v>236</v>
      </c>
      <c r="B120">
        <v>0.25</v>
      </c>
      <c r="C120">
        <v>0.25</v>
      </c>
      <c r="D120">
        <v>0.25</v>
      </c>
      <c r="E120">
        <v>0.5</v>
      </c>
    </row>
    <row r="121" spans="1:5" x14ac:dyDescent="0.25">
      <c r="A121" t="s">
        <v>201</v>
      </c>
      <c r="B121">
        <v>0.5</v>
      </c>
    </row>
    <row r="122" spans="1:5" x14ac:dyDescent="0.25">
      <c r="A122" t="s">
        <v>202</v>
      </c>
      <c r="B122">
        <v>0.5</v>
      </c>
      <c r="C122">
        <v>0.25</v>
      </c>
      <c r="D122">
        <v>0</v>
      </c>
      <c r="E122">
        <v>0.25</v>
      </c>
    </row>
    <row r="123" spans="1:5" x14ac:dyDescent="0.25">
      <c r="A123" t="s">
        <v>203</v>
      </c>
      <c r="B123">
        <v>0.5</v>
      </c>
    </row>
    <row r="124" spans="1:5" x14ac:dyDescent="0.25">
      <c r="A124" t="s">
        <v>204</v>
      </c>
      <c r="B124">
        <v>0.5</v>
      </c>
      <c r="C124">
        <v>0.25</v>
      </c>
      <c r="D124">
        <v>0</v>
      </c>
      <c r="E124">
        <v>0.25</v>
      </c>
    </row>
    <row r="125" spans="1:5" x14ac:dyDescent="0.25">
      <c r="A125" t="s">
        <v>205</v>
      </c>
      <c r="B125">
        <v>0.5</v>
      </c>
      <c r="E125">
        <v>0.25</v>
      </c>
    </row>
    <row r="126" spans="1:5" x14ac:dyDescent="0.25">
      <c r="A126" t="s">
        <v>206</v>
      </c>
      <c r="B126">
        <v>0.5</v>
      </c>
      <c r="C126">
        <v>0.25</v>
      </c>
      <c r="D126">
        <v>0</v>
      </c>
      <c r="E126">
        <v>0.25</v>
      </c>
    </row>
    <row r="127" spans="1:5" x14ac:dyDescent="0.25">
      <c r="A127" t="s">
        <v>207</v>
      </c>
      <c r="B127">
        <v>0.5</v>
      </c>
      <c r="E127">
        <v>0.25</v>
      </c>
    </row>
    <row r="128" spans="1:5" x14ac:dyDescent="0.25">
      <c r="A128" t="s">
        <v>208</v>
      </c>
      <c r="B128">
        <v>0.5</v>
      </c>
      <c r="C128">
        <v>0.25</v>
      </c>
      <c r="D128">
        <v>0</v>
      </c>
      <c r="E128">
        <v>0.25</v>
      </c>
    </row>
    <row r="129" spans="1:5" x14ac:dyDescent="0.25">
      <c r="A129" t="s">
        <v>209</v>
      </c>
      <c r="B129">
        <v>0.5</v>
      </c>
      <c r="E129">
        <v>0.25</v>
      </c>
    </row>
    <row r="130" spans="1:5" x14ac:dyDescent="0.25">
      <c r="A130" t="s">
        <v>210</v>
      </c>
      <c r="B130">
        <v>0.5</v>
      </c>
      <c r="C130">
        <v>0.25</v>
      </c>
      <c r="D130">
        <v>0</v>
      </c>
      <c r="E130">
        <v>0.25</v>
      </c>
    </row>
    <row r="131" spans="1:5" x14ac:dyDescent="0.25">
      <c r="A131" t="s">
        <v>211</v>
      </c>
      <c r="B131">
        <v>0.5</v>
      </c>
      <c r="E131">
        <v>0.5</v>
      </c>
    </row>
    <row r="132" spans="1:5" x14ac:dyDescent="0.25">
      <c r="A132" t="s">
        <v>212</v>
      </c>
      <c r="B132">
        <v>0.75</v>
      </c>
      <c r="C132">
        <v>0.25</v>
      </c>
      <c r="D132">
        <v>0</v>
      </c>
      <c r="E132">
        <v>0.5</v>
      </c>
    </row>
    <row r="133" spans="1:5" x14ac:dyDescent="0.25">
      <c r="A133" t="s">
        <v>237</v>
      </c>
      <c r="B133">
        <v>0.5</v>
      </c>
      <c r="E133">
        <v>0.25</v>
      </c>
    </row>
    <row r="134" spans="1:5" x14ac:dyDescent="0.25">
      <c r="A134" t="s">
        <v>238</v>
      </c>
      <c r="B134">
        <v>0.5</v>
      </c>
      <c r="C134">
        <v>0.25</v>
      </c>
      <c r="D134">
        <v>0</v>
      </c>
      <c r="E134">
        <v>0.5</v>
      </c>
    </row>
    <row r="135" spans="1:5" x14ac:dyDescent="0.25">
      <c r="A135" t="s">
        <v>239</v>
      </c>
      <c r="B135">
        <v>0.5</v>
      </c>
      <c r="E135">
        <v>0.25</v>
      </c>
    </row>
    <row r="136" spans="1:5" x14ac:dyDescent="0.25">
      <c r="A136" t="s">
        <v>240</v>
      </c>
      <c r="B136">
        <v>0.5</v>
      </c>
      <c r="C136">
        <v>0.25</v>
      </c>
      <c r="D136">
        <v>0</v>
      </c>
      <c r="E136">
        <v>0.5</v>
      </c>
    </row>
    <row r="137" spans="1:5" x14ac:dyDescent="0.25">
      <c r="A137" t="s">
        <v>241</v>
      </c>
      <c r="B137">
        <v>0.5</v>
      </c>
      <c r="E137">
        <v>0.5</v>
      </c>
    </row>
    <row r="138" spans="1:5" x14ac:dyDescent="0.25">
      <c r="A138" t="s">
        <v>242</v>
      </c>
      <c r="B138">
        <v>0.5</v>
      </c>
      <c r="C138">
        <v>0.25</v>
      </c>
      <c r="D138">
        <v>0</v>
      </c>
      <c r="E138">
        <v>0.5</v>
      </c>
    </row>
    <row r="139" spans="1:5" x14ac:dyDescent="0.25">
      <c r="A139" t="s">
        <v>243</v>
      </c>
      <c r="B139">
        <v>0.5</v>
      </c>
      <c r="E139">
        <v>0.5</v>
      </c>
    </row>
    <row r="140" spans="1:5" x14ac:dyDescent="0.25">
      <c r="A140" t="s">
        <v>244</v>
      </c>
      <c r="B140">
        <v>0.5</v>
      </c>
      <c r="C140">
        <v>0.25</v>
      </c>
      <c r="D140">
        <v>0</v>
      </c>
      <c r="E140">
        <v>0.5</v>
      </c>
    </row>
    <row r="141" spans="1:5" x14ac:dyDescent="0.25">
      <c r="A141" t="s">
        <v>245</v>
      </c>
      <c r="B141">
        <v>0.5</v>
      </c>
      <c r="E141">
        <v>0.5</v>
      </c>
    </row>
    <row r="142" spans="1:5" x14ac:dyDescent="0.25">
      <c r="A142" t="s">
        <v>246</v>
      </c>
      <c r="B142">
        <v>0.5</v>
      </c>
      <c r="C142">
        <v>0.25</v>
      </c>
      <c r="D142">
        <v>0</v>
      </c>
      <c r="E142">
        <v>0.5</v>
      </c>
    </row>
    <row r="143" spans="1:5" x14ac:dyDescent="0.25">
      <c r="A143" t="s">
        <v>247</v>
      </c>
      <c r="B143">
        <v>0.5</v>
      </c>
      <c r="E143">
        <v>0.5</v>
      </c>
    </row>
    <row r="144" spans="1:5" x14ac:dyDescent="0.25">
      <c r="A144" t="s">
        <v>248</v>
      </c>
      <c r="B144">
        <v>0.5</v>
      </c>
      <c r="C144">
        <v>0.25</v>
      </c>
      <c r="D144">
        <v>0</v>
      </c>
      <c r="E144">
        <v>0.5</v>
      </c>
    </row>
    <row r="145" spans="1:5" x14ac:dyDescent="0.25">
      <c r="A145" t="s">
        <v>137</v>
      </c>
      <c r="B145">
        <v>0.5</v>
      </c>
      <c r="D145">
        <v>0</v>
      </c>
    </row>
    <row r="146" spans="1:5" x14ac:dyDescent="0.25">
      <c r="A146" t="s">
        <v>138</v>
      </c>
      <c r="B146">
        <v>0.5</v>
      </c>
      <c r="C146">
        <v>0.25</v>
      </c>
      <c r="D146">
        <v>0</v>
      </c>
      <c r="E146">
        <v>0.25</v>
      </c>
    </row>
    <row r="147" spans="1:5" x14ac:dyDescent="0.25">
      <c r="A147" t="s">
        <v>139</v>
      </c>
      <c r="B147">
        <v>0.5</v>
      </c>
      <c r="D147">
        <v>0</v>
      </c>
    </row>
    <row r="148" spans="1:5" x14ac:dyDescent="0.25">
      <c r="A148" t="s">
        <v>140</v>
      </c>
      <c r="B148">
        <v>0.5</v>
      </c>
      <c r="C148">
        <v>0.25</v>
      </c>
      <c r="D148">
        <v>0</v>
      </c>
      <c r="E148">
        <v>0.25</v>
      </c>
    </row>
    <row r="149" spans="1:5" x14ac:dyDescent="0.25">
      <c r="A149" t="s">
        <v>141</v>
      </c>
      <c r="B149">
        <v>0.5</v>
      </c>
      <c r="D149">
        <v>0</v>
      </c>
      <c r="E149">
        <v>0.25</v>
      </c>
    </row>
    <row r="150" spans="1:5" x14ac:dyDescent="0.25">
      <c r="A150" t="s">
        <v>142</v>
      </c>
      <c r="B150">
        <v>0.5</v>
      </c>
      <c r="C150">
        <v>0.25</v>
      </c>
      <c r="D150">
        <v>0</v>
      </c>
      <c r="E150">
        <v>0.25</v>
      </c>
    </row>
    <row r="151" spans="1:5" x14ac:dyDescent="0.25">
      <c r="A151" t="s">
        <v>143</v>
      </c>
      <c r="B151">
        <v>0.5</v>
      </c>
      <c r="C151">
        <v>0.25</v>
      </c>
      <c r="D151">
        <v>0.25</v>
      </c>
    </row>
    <row r="152" spans="1:5" x14ac:dyDescent="0.25">
      <c r="A152" t="s">
        <v>144</v>
      </c>
      <c r="B152">
        <v>0.5</v>
      </c>
      <c r="C152">
        <v>0.25</v>
      </c>
      <c r="D152">
        <v>0.25</v>
      </c>
      <c r="E152">
        <v>0.25</v>
      </c>
    </row>
    <row r="153" spans="1:5" x14ac:dyDescent="0.25">
      <c r="A153" t="s">
        <v>145</v>
      </c>
      <c r="B153">
        <v>0.5</v>
      </c>
      <c r="C153">
        <v>0.25</v>
      </c>
      <c r="D153">
        <v>0.25</v>
      </c>
    </row>
    <row r="154" spans="1:5" x14ac:dyDescent="0.25">
      <c r="A154" t="s">
        <v>146</v>
      </c>
      <c r="B154">
        <v>0.5</v>
      </c>
      <c r="C154">
        <v>0.25</v>
      </c>
      <c r="D154">
        <v>0.25</v>
      </c>
      <c r="E154">
        <v>0.25</v>
      </c>
    </row>
    <row r="155" spans="1:5" x14ac:dyDescent="0.25">
      <c r="A155" t="s">
        <v>147</v>
      </c>
      <c r="B155">
        <v>0.5</v>
      </c>
      <c r="C155">
        <v>0.25</v>
      </c>
      <c r="D155">
        <v>0.25</v>
      </c>
      <c r="E155">
        <v>0.25</v>
      </c>
    </row>
    <row r="156" spans="1:5" x14ac:dyDescent="0.25">
      <c r="A156" t="s">
        <v>148</v>
      </c>
      <c r="B156">
        <v>0.5</v>
      </c>
      <c r="C156">
        <v>0.25</v>
      </c>
      <c r="D156">
        <v>0.25</v>
      </c>
      <c r="E156">
        <v>0.25</v>
      </c>
    </row>
    <row r="157" spans="1:5" x14ac:dyDescent="0.25">
      <c r="A157" t="s">
        <v>249</v>
      </c>
      <c r="B157">
        <v>0.5</v>
      </c>
      <c r="D157">
        <v>0</v>
      </c>
      <c r="E157">
        <v>0.25</v>
      </c>
    </row>
    <row r="158" spans="1:5" x14ac:dyDescent="0.25">
      <c r="A158" t="s">
        <v>250</v>
      </c>
      <c r="B158">
        <v>0.5</v>
      </c>
      <c r="C158">
        <v>0.25</v>
      </c>
      <c r="D158">
        <v>0</v>
      </c>
      <c r="E158">
        <v>0.5</v>
      </c>
    </row>
    <row r="159" spans="1:5" x14ac:dyDescent="0.25">
      <c r="A159" t="s">
        <v>251</v>
      </c>
      <c r="B159">
        <v>0.5</v>
      </c>
      <c r="D159">
        <v>0</v>
      </c>
      <c r="E159">
        <v>0.25</v>
      </c>
    </row>
    <row r="160" spans="1:5" x14ac:dyDescent="0.25">
      <c r="A160" t="s">
        <v>252</v>
      </c>
      <c r="B160">
        <v>0.5</v>
      </c>
      <c r="C160">
        <v>0.25</v>
      </c>
      <c r="D160">
        <v>0</v>
      </c>
      <c r="E160">
        <v>0.5</v>
      </c>
    </row>
    <row r="161" spans="1:5" x14ac:dyDescent="0.25">
      <c r="A161" t="s">
        <v>253</v>
      </c>
      <c r="B161">
        <v>0.5</v>
      </c>
      <c r="D161">
        <v>0</v>
      </c>
      <c r="E161">
        <v>0.5</v>
      </c>
    </row>
    <row r="162" spans="1:5" x14ac:dyDescent="0.25">
      <c r="A162" t="s">
        <v>254</v>
      </c>
      <c r="B162">
        <v>0.5</v>
      </c>
      <c r="C162">
        <v>0.25</v>
      </c>
      <c r="D162">
        <v>0</v>
      </c>
      <c r="E162">
        <v>0.5</v>
      </c>
    </row>
    <row r="163" spans="1:5" x14ac:dyDescent="0.25">
      <c r="A163" t="s">
        <v>255</v>
      </c>
      <c r="B163">
        <v>0.5</v>
      </c>
      <c r="C163">
        <v>0.25</v>
      </c>
      <c r="D163">
        <v>0.25</v>
      </c>
      <c r="E163">
        <v>0.25</v>
      </c>
    </row>
    <row r="164" spans="1:5" x14ac:dyDescent="0.25">
      <c r="A164" t="s">
        <v>256</v>
      </c>
      <c r="B164">
        <v>0.5</v>
      </c>
      <c r="C164">
        <v>0.25</v>
      </c>
      <c r="D164">
        <v>0.25</v>
      </c>
      <c r="E164">
        <v>0.5</v>
      </c>
    </row>
    <row r="165" spans="1:5" x14ac:dyDescent="0.25">
      <c r="A165" t="s">
        <v>257</v>
      </c>
      <c r="B165">
        <v>0.5</v>
      </c>
      <c r="C165">
        <v>0.25</v>
      </c>
      <c r="D165">
        <v>0.25</v>
      </c>
      <c r="E165">
        <v>0.5</v>
      </c>
    </row>
    <row r="166" spans="1:5" x14ac:dyDescent="0.25">
      <c r="A166" t="s">
        <v>258</v>
      </c>
      <c r="B166">
        <v>0.5</v>
      </c>
      <c r="C166">
        <v>0.25</v>
      </c>
      <c r="D166">
        <v>0.25</v>
      </c>
      <c r="E166">
        <v>0.5</v>
      </c>
    </row>
    <row r="167" spans="1:5" x14ac:dyDescent="0.25">
      <c r="A167" t="s">
        <v>259</v>
      </c>
      <c r="B167">
        <v>0.5</v>
      </c>
      <c r="C167">
        <v>0.25</v>
      </c>
      <c r="D167">
        <v>0.25</v>
      </c>
      <c r="E167">
        <v>0.5</v>
      </c>
    </row>
    <row r="168" spans="1:5" x14ac:dyDescent="0.25">
      <c r="A168" t="s">
        <v>260</v>
      </c>
      <c r="B168">
        <v>0.75</v>
      </c>
      <c r="C168">
        <v>0.25</v>
      </c>
      <c r="D168">
        <v>0.25</v>
      </c>
      <c r="E168">
        <v>0.5</v>
      </c>
    </row>
    <row r="169" spans="1:5" x14ac:dyDescent="0.25">
      <c r="A169" t="s">
        <v>149</v>
      </c>
      <c r="B169">
        <v>0.5</v>
      </c>
      <c r="D169">
        <v>0</v>
      </c>
    </row>
    <row r="170" spans="1:5" x14ac:dyDescent="0.25">
      <c r="A170" t="s">
        <v>150</v>
      </c>
      <c r="B170">
        <v>0.5</v>
      </c>
      <c r="C170">
        <v>0.25</v>
      </c>
      <c r="D170">
        <v>0</v>
      </c>
      <c r="E170">
        <v>0.25</v>
      </c>
    </row>
    <row r="171" spans="1:5" x14ac:dyDescent="0.25">
      <c r="A171" t="s">
        <v>151</v>
      </c>
      <c r="B171">
        <v>0.5</v>
      </c>
      <c r="D171">
        <v>0</v>
      </c>
    </row>
    <row r="172" spans="1:5" x14ac:dyDescent="0.25">
      <c r="A172" t="s">
        <v>152</v>
      </c>
      <c r="B172">
        <v>0.5</v>
      </c>
      <c r="C172">
        <v>0.25</v>
      </c>
      <c r="D172">
        <v>0</v>
      </c>
      <c r="E172">
        <v>0.25</v>
      </c>
    </row>
    <row r="173" spans="1:5" x14ac:dyDescent="0.25">
      <c r="A173" t="s">
        <v>153</v>
      </c>
      <c r="B173">
        <v>0.75</v>
      </c>
      <c r="D173">
        <v>0</v>
      </c>
      <c r="E173">
        <v>0.25</v>
      </c>
    </row>
    <row r="174" spans="1:5" x14ac:dyDescent="0.25">
      <c r="A174" t="s">
        <v>154</v>
      </c>
      <c r="B174">
        <v>0.75</v>
      </c>
      <c r="C174">
        <v>0.25</v>
      </c>
      <c r="D174">
        <v>0</v>
      </c>
      <c r="E174">
        <v>0.25</v>
      </c>
    </row>
    <row r="175" spans="1:5" x14ac:dyDescent="0.25">
      <c r="A175" t="s">
        <v>155</v>
      </c>
      <c r="B175">
        <v>0.5</v>
      </c>
      <c r="C175">
        <v>0.25</v>
      </c>
      <c r="D175">
        <v>0.25</v>
      </c>
    </row>
    <row r="176" spans="1:5" x14ac:dyDescent="0.25">
      <c r="A176" t="s">
        <v>156</v>
      </c>
      <c r="B176">
        <v>0.5</v>
      </c>
      <c r="C176">
        <v>0.25</v>
      </c>
      <c r="D176">
        <v>0.25</v>
      </c>
      <c r="E176">
        <v>0.25</v>
      </c>
    </row>
    <row r="177" spans="1:5" x14ac:dyDescent="0.25">
      <c r="A177" t="s">
        <v>157</v>
      </c>
      <c r="B177">
        <v>0.5</v>
      </c>
      <c r="C177">
        <v>0.25</v>
      </c>
      <c r="D177">
        <v>0.25</v>
      </c>
    </row>
    <row r="178" spans="1:5" x14ac:dyDescent="0.25">
      <c r="A178" t="s">
        <v>158</v>
      </c>
      <c r="B178">
        <v>0.75</v>
      </c>
      <c r="C178">
        <v>0.25</v>
      </c>
      <c r="D178">
        <v>0.25</v>
      </c>
      <c r="E178">
        <v>0.25</v>
      </c>
    </row>
    <row r="179" spans="1:5" x14ac:dyDescent="0.25">
      <c r="A179" t="s">
        <v>159</v>
      </c>
      <c r="B179">
        <v>0.75</v>
      </c>
      <c r="C179">
        <v>0.25</v>
      </c>
      <c r="D179">
        <v>0.25</v>
      </c>
      <c r="E179">
        <v>0.25</v>
      </c>
    </row>
    <row r="180" spans="1:5" x14ac:dyDescent="0.25">
      <c r="A180" t="s">
        <v>160</v>
      </c>
      <c r="B180">
        <v>1</v>
      </c>
      <c r="C180">
        <v>0.25</v>
      </c>
      <c r="D180">
        <v>0.25</v>
      </c>
      <c r="E180">
        <v>0.25</v>
      </c>
    </row>
    <row r="181" spans="1:5" x14ac:dyDescent="0.25">
      <c r="A181" t="s">
        <v>161</v>
      </c>
      <c r="B181">
        <v>0.5</v>
      </c>
      <c r="D181">
        <v>0</v>
      </c>
      <c r="E181">
        <v>0.25</v>
      </c>
    </row>
    <row r="182" spans="1:5" x14ac:dyDescent="0.25">
      <c r="A182" t="s">
        <v>162</v>
      </c>
      <c r="B182">
        <v>0.5</v>
      </c>
      <c r="C182">
        <v>0.25</v>
      </c>
      <c r="D182">
        <v>0</v>
      </c>
      <c r="E182">
        <v>0.25</v>
      </c>
    </row>
    <row r="183" spans="1:5" x14ac:dyDescent="0.25">
      <c r="A183" t="s">
        <v>163</v>
      </c>
      <c r="B183">
        <v>0.5</v>
      </c>
      <c r="D183">
        <v>0</v>
      </c>
      <c r="E183">
        <v>0.25</v>
      </c>
    </row>
    <row r="184" spans="1:5" x14ac:dyDescent="0.25">
      <c r="A184" t="s">
        <v>164</v>
      </c>
      <c r="B184">
        <v>0.75</v>
      </c>
      <c r="C184">
        <v>0.25</v>
      </c>
      <c r="D184">
        <v>0</v>
      </c>
      <c r="E184">
        <v>0.25</v>
      </c>
    </row>
    <row r="185" spans="1:5" x14ac:dyDescent="0.25">
      <c r="A185" t="s">
        <v>165</v>
      </c>
      <c r="B185">
        <v>0.75</v>
      </c>
      <c r="D185">
        <v>0</v>
      </c>
      <c r="E185">
        <v>0.5</v>
      </c>
    </row>
    <row r="186" spans="1:5" x14ac:dyDescent="0.25">
      <c r="A186" t="s">
        <v>166</v>
      </c>
      <c r="B186">
        <v>0.75</v>
      </c>
      <c r="C186">
        <v>0.25</v>
      </c>
      <c r="D186">
        <v>0</v>
      </c>
      <c r="E186">
        <v>0.5</v>
      </c>
    </row>
    <row r="187" spans="1:5" x14ac:dyDescent="0.25">
      <c r="A187" t="s">
        <v>167</v>
      </c>
      <c r="B187">
        <v>0.5</v>
      </c>
      <c r="C187">
        <v>0.25</v>
      </c>
      <c r="D187">
        <v>0.25</v>
      </c>
      <c r="E187">
        <v>0.25</v>
      </c>
    </row>
    <row r="188" spans="1:5" x14ac:dyDescent="0.25">
      <c r="A188" t="s">
        <v>168</v>
      </c>
      <c r="B188">
        <v>0.75</v>
      </c>
      <c r="C188">
        <v>0.25</v>
      </c>
      <c r="D188">
        <v>0.25</v>
      </c>
      <c r="E188">
        <v>0.25</v>
      </c>
    </row>
    <row r="189" spans="1:5" x14ac:dyDescent="0.25">
      <c r="A189" t="s">
        <v>169</v>
      </c>
      <c r="B189">
        <v>0.5</v>
      </c>
      <c r="C189">
        <v>0.25</v>
      </c>
      <c r="D189">
        <v>0.25</v>
      </c>
      <c r="E189">
        <v>0.25</v>
      </c>
    </row>
    <row r="190" spans="1:5" x14ac:dyDescent="0.25">
      <c r="A190" t="s">
        <v>170</v>
      </c>
      <c r="B190">
        <v>0.75</v>
      </c>
      <c r="C190">
        <v>0.25</v>
      </c>
      <c r="D190">
        <v>0.25</v>
      </c>
      <c r="E190">
        <v>0.5</v>
      </c>
    </row>
    <row r="191" spans="1:5" x14ac:dyDescent="0.25">
      <c r="A191" t="s">
        <v>171</v>
      </c>
      <c r="B191">
        <v>0.75</v>
      </c>
      <c r="C191">
        <v>0.25</v>
      </c>
      <c r="D191">
        <v>0.25</v>
      </c>
      <c r="E191">
        <v>0.5</v>
      </c>
    </row>
    <row r="192" spans="1:5" x14ac:dyDescent="0.25">
      <c r="A192" t="s">
        <v>111</v>
      </c>
      <c r="B192">
        <v>1</v>
      </c>
      <c r="C192">
        <v>0.25</v>
      </c>
      <c r="D192">
        <v>0.25</v>
      </c>
      <c r="E192">
        <v>0.5</v>
      </c>
    </row>
    <row r="193" spans="1:5" x14ac:dyDescent="0.25">
      <c r="A193" t="s">
        <v>173</v>
      </c>
      <c r="B193">
        <v>0.5</v>
      </c>
      <c r="D193">
        <v>0</v>
      </c>
      <c r="E193">
        <v>0.25</v>
      </c>
    </row>
    <row r="194" spans="1:5" x14ac:dyDescent="0.25">
      <c r="A194" t="s">
        <v>110</v>
      </c>
      <c r="B194">
        <v>0.5</v>
      </c>
      <c r="C194">
        <v>0.25</v>
      </c>
      <c r="D194">
        <v>0</v>
      </c>
      <c r="E194">
        <v>0.5</v>
      </c>
    </row>
    <row r="195" spans="1:5" x14ac:dyDescent="0.25">
      <c r="A195" t="s">
        <v>109</v>
      </c>
      <c r="B195">
        <v>0.5</v>
      </c>
      <c r="D195">
        <v>0</v>
      </c>
      <c r="E195">
        <v>0.5</v>
      </c>
    </row>
    <row r="196" spans="1:5" x14ac:dyDescent="0.25">
      <c r="A196" t="s">
        <v>108</v>
      </c>
      <c r="B196">
        <v>0.5</v>
      </c>
      <c r="C196">
        <v>0.25</v>
      </c>
      <c r="D196">
        <v>0</v>
      </c>
      <c r="E196">
        <v>0.5</v>
      </c>
    </row>
    <row r="197" spans="1:5" x14ac:dyDescent="0.25">
      <c r="A197" t="s">
        <v>107</v>
      </c>
      <c r="B197">
        <v>0.5</v>
      </c>
      <c r="D197">
        <v>0</v>
      </c>
      <c r="E197">
        <v>0.5</v>
      </c>
    </row>
    <row r="198" spans="1:5" x14ac:dyDescent="0.25">
      <c r="A198" t="s">
        <v>106</v>
      </c>
      <c r="B198">
        <v>0.5</v>
      </c>
      <c r="C198">
        <v>0.25</v>
      </c>
      <c r="D198">
        <v>0</v>
      </c>
      <c r="E198">
        <v>0.5</v>
      </c>
    </row>
    <row r="199" spans="1:5" x14ac:dyDescent="0.25">
      <c r="A199" t="s">
        <v>105</v>
      </c>
      <c r="B199">
        <v>0.5</v>
      </c>
      <c r="C199">
        <v>0.25</v>
      </c>
      <c r="D199">
        <v>0.25</v>
      </c>
      <c r="E199">
        <v>0.25</v>
      </c>
    </row>
    <row r="200" spans="1:5" x14ac:dyDescent="0.25">
      <c r="A200" t="s">
        <v>104</v>
      </c>
      <c r="B200">
        <v>0.5</v>
      </c>
      <c r="C200">
        <v>0.25</v>
      </c>
      <c r="D200">
        <v>0.25</v>
      </c>
      <c r="E200">
        <v>0.5</v>
      </c>
    </row>
    <row r="201" spans="1:5" x14ac:dyDescent="0.25">
      <c r="A201" t="s">
        <v>103</v>
      </c>
      <c r="B201">
        <v>0.75</v>
      </c>
      <c r="C201">
        <v>0.25</v>
      </c>
      <c r="D201">
        <v>0.25</v>
      </c>
      <c r="E201">
        <v>0.5</v>
      </c>
    </row>
    <row r="202" spans="1:5" x14ac:dyDescent="0.25">
      <c r="A202" t="s">
        <v>102</v>
      </c>
      <c r="B202">
        <v>0.75</v>
      </c>
      <c r="C202">
        <v>0.25</v>
      </c>
      <c r="D202">
        <v>0.25</v>
      </c>
      <c r="E202">
        <v>0.5</v>
      </c>
    </row>
    <row r="203" spans="1:5" x14ac:dyDescent="0.25">
      <c r="A203" t="s">
        <v>101</v>
      </c>
      <c r="B203">
        <v>0.75</v>
      </c>
      <c r="C203">
        <v>0.25</v>
      </c>
      <c r="D203">
        <v>0.25</v>
      </c>
      <c r="E203">
        <v>0.5</v>
      </c>
    </row>
    <row r="204" spans="1:5" x14ac:dyDescent="0.25">
      <c r="A204" t="s">
        <v>100</v>
      </c>
      <c r="B204">
        <v>0.75</v>
      </c>
      <c r="C204">
        <v>0.25</v>
      </c>
      <c r="D204">
        <v>0.25</v>
      </c>
      <c r="E204">
        <v>0.5</v>
      </c>
    </row>
    <row r="205" spans="1:5" x14ac:dyDescent="0.25">
      <c r="A205" t="s">
        <v>99</v>
      </c>
      <c r="B205">
        <v>0.75</v>
      </c>
      <c r="D205">
        <v>0</v>
      </c>
      <c r="E205">
        <v>0.5</v>
      </c>
    </row>
    <row r="206" spans="1:5" x14ac:dyDescent="0.25">
      <c r="A206" t="s">
        <v>98</v>
      </c>
      <c r="B206">
        <v>0.75</v>
      </c>
      <c r="C206">
        <v>0.25</v>
      </c>
      <c r="D206">
        <v>0</v>
      </c>
      <c r="E206">
        <v>0.5</v>
      </c>
    </row>
    <row r="207" spans="1:5" x14ac:dyDescent="0.25">
      <c r="A207" t="s">
        <v>97</v>
      </c>
      <c r="B207">
        <v>0.75</v>
      </c>
      <c r="D207">
        <v>0</v>
      </c>
      <c r="E207">
        <v>0.5</v>
      </c>
    </row>
    <row r="208" spans="1:5" x14ac:dyDescent="0.25">
      <c r="A208" t="s">
        <v>96</v>
      </c>
      <c r="B208">
        <v>0.75</v>
      </c>
      <c r="C208">
        <v>0.25</v>
      </c>
      <c r="D208">
        <v>0</v>
      </c>
      <c r="E208">
        <v>0.5</v>
      </c>
    </row>
    <row r="209" spans="1:5" x14ac:dyDescent="0.25">
      <c r="A209" t="s">
        <v>95</v>
      </c>
      <c r="B209">
        <v>0.75</v>
      </c>
      <c r="D209">
        <v>0</v>
      </c>
      <c r="E209">
        <v>0.5</v>
      </c>
    </row>
    <row r="210" spans="1:5" x14ac:dyDescent="0.25">
      <c r="A210" t="s">
        <v>94</v>
      </c>
      <c r="B210">
        <v>0.75</v>
      </c>
      <c r="C210">
        <v>0.25</v>
      </c>
      <c r="D210">
        <v>0</v>
      </c>
      <c r="E210">
        <v>0.5</v>
      </c>
    </row>
    <row r="211" spans="1:5" x14ac:dyDescent="0.25">
      <c r="A211" t="s">
        <v>93</v>
      </c>
      <c r="B211">
        <v>0.75</v>
      </c>
      <c r="C211">
        <v>0.25</v>
      </c>
      <c r="D211">
        <v>0.25</v>
      </c>
      <c r="E211">
        <v>0.5</v>
      </c>
    </row>
    <row r="212" spans="1:5" x14ac:dyDescent="0.25">
      <c r="A212" t="s">
        <v>92</v>
      </c>
      <c r="B212">
        <v>0.75</v>
      </c>
      <c r="C212">
        <v>0.25</v>
      </c>
      <c r="D212">
        <v>0.25</v>
      </c>
      <c r="E212">
        <v>0.5</v>
      </c>
    </row>
    <row r="213" spans="1:5" x14ac:dyDescent="0.25">
      <c r="A213" t="s">
        <v>91</v>
      </c>
      <c r="B213">
        <v>0.75</v>
      </c>
      <c r="C213">
        <v>0.25</v>
      </c>
      <c r="D213">
        <v>0.25</v>
      </c>
      <c r="E213">
        <v>0.5</v>
      </c>
    </row>
    <row r="214" spans="1:5" x14ac:dyDescent="0.25">
      <c r="A214" t="s">
        <v>90</v>
      </c>
      <c r="B214">
        <v>0.75</v>
      </c>
      <c r="C214">
        <v>0.25</v>
      </c>
      <c r="D214">
        <v>0.25</v>
      </c>
      <c r="E214">
        <v>0.5</v>
      </c>
    </row>
    <row r="215" spans="1:5" x14ac:dyDescent="0.25">
      <c r="A215" t="s">
        <v>172</v>
      </c>
      <c r="B215">
        <v>1</v>
      </c>
      <c r="C215">
        <v>0.25</v>
      </c>
      <c r="D215">
        <v>0.25</v>
      </c>
      <c r="E215">
        <v>0.5</v>
      </c>
    </row>
    <row r="216" spans="1:5" x14ac:dyDescent="0.25">
      <c r="A216" t="s">
        <v>89</v>
      </c>
      <c r="B216">
        <v>1</v>
      </c>
      <c r="C216">
        <v>0.25</v>
      </c>
      <c r="D216">
        <v>0.25</v>
      </c>
      <c r="E216">
        <v>0.75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36"/>
  <sheetViews>
    <sheetView workbookViewId="0">
      <selection activeCell="J68" sqref="J68"/>
    </sheetView>
  </sheetViews>
  <sheetFormatPr defaultRowHeight="15" x14ac:dyDescent="0.25"/>
  <cols>
    <col min="1" max="1" width="22.42578125" style="2" bestFit="1" customWidth="1"/>
    <col min="2" max="3" width="7.5703125" style="2" customWidth="1"/>
    <col min="4" max="4" width="13.28515625" style="2" bestFit="1" customWidth="1"/>
    <col min="5" max="16384" width="9.140625" style="2"/>
  </cols>
  <sheetData>
    <row r="1" spans="1:6" x14ac:dyDescent="0.25">
      <c r="A1" s="77" t="s">
        <v>457</v>
      </c>
      <c r="B1" s="77" t="s">
        <v>458</v>
      </c>
      <c r="C1" s="77" t="s">
        <v>459</v>
      </c>
      <c r="D1" s="77"/>
      <c r="E1" s="77"/>
      <c r="F1" s="77"/>
    </row>
    <row r="2" spans="1:6" x14ac:dyDescent="0.25">
      <c r="A2" s="73" t="s">
        <v>319</v>
      </c>
      <c r="B2" s="73"/>
    </row>
    <row r="3" spans="1:6" x14ac:dyDescent="0.25">
      <c r="A3" s="73" t="s">
        <v>320</v>
      </c>
      <c r="B3" s="74">
        <v>1</v>
      </c>
    </row>
    <row r="4" spans="1:6" x14ac:dyDescent="0.25">
      <c r="A4" s="73" t="s">
        <v>324</v>
      </c>
      <c r="B4" s="74">
        <v>3</v>
      </c>
    </row>
    <row r="5" spans="1:6" x14ac:dyDescent="0.25">
      <c r="A5" s="73" t="s">
        <v>326</v>
      </c>
      <c r="B5" s="74">
        <v>5</v>
      </c>
    </row>
    <row r="6" spans="1:6" x14ac:dyDescent="0.25">
      <c r="A6" s="73" t="s">
        <v>328</v>
      </c>
    </row>
    <row r="7" spans="1:6" x14ac:dyDescent="0.25">
      <c r="A7" s="73" t="s">
        <v>329</v>
      </c>
      <c r="B7" s="74">
        <v>0</v>
      </c>
    </row>
    <row r="8" spans="1:6" x14ac:dyDescent="0.25">
      <c r="A8" s="73" t="s">
        <v>332</v>
      </c>
      <c r="B8" s="74">
        <v>3</v>
      </c>
    </row>
    <row r="9" spans="1:6" x14ac:dyDescent="0.25">
      <c r="A9" s="73" t="s">
        <v>334</v>
      </c>
      <c r="B9" s="74">
        <v>3</v>
      </c>
    </row>
    <row r="10" spans="1:6" x14ac:dyDescent="0.25">
      <c r="A10" s="73" t="s">
        <v>336</v>
      </c>
      <c r="B10" s="74">
        <v>3</v>
      </c>
    </row>
    <row r="11" spans="1:6" x14ac:dyDescent="0.25">
      <c r="A11" s="73" t="s">
        <v>338</v>
      </c>
      <c r="B11" s="73"/>
    </row>
    <row r="12" spans="1:6" x14ac:dyDescent="0.25">
      <c r="A12" s="73" t="s">
        <v>329</v>
      </c>
      <c r="B12" s="74">
        <v>0</v>
      </c>
    </row>
    <row r="13" spans="1:6" x14ac:dyDescent="0.25">
      <c r="A13" s="73" t="s">
        <v>341</v>
      </c>
      <c r="B13" s="74">
        <v>3</v>
      </c>
    </row>
    <row r="14" spans="1:6" x14ac:dyDescent="0.25">
      <c r="A14" s="73" t="s">
        <v>343</v>
      </c>
      <c r="B14" s="74">
        <v>3</v>
      </c>
    </row>
    <row r="15" spans="1:6" x14ac:dyDescent="0.25">
      <c r="A15" s="73" t="s">
        <v>345</v>
      </c>
      <c r="B15" s="74">
        <v>5</v>
      </c>
    </row>
    <row r="16" spans="1:6" x14ac:dyDescent="0.25">
      <c r="A16" s="73" t="s">
        <v>347</v>
      </c>
      <c r="B16" s="73"/>
    </row>
    <row r="17" spans="1:2" x14ac:dyDescent="0.25">
      <c r="A17" s="73" t="s">
        <v>329</v>
      </c>
      <c r="B17" s="74">
        <v>0</v>
      </c>
    </row>
    <row r="18" spans="1:2" x14ac:dyDescent="0.25">
      <c r="A18" s="73" t="s">
        <v>349</v>
      </c>
      <c r="B18" s="74">
        <v>0</v>
      </c>
    </row>
    <row r="19" spans="1:2" x14ac:dyDescent="0.25">
      <c r="A19" s="73" t="s">
        <v>351</v>
      </c>
      <c r="B19" s="74">
        <v>1</v>
      </c>
    </row>
    <row r="20" spans="1:2" x14ac:dyDescent="0.25">
      <c r="A20" s="73" t="s">
        <v>353</v>
      </c>
      <c r="B20" s="74">
        <v>1</v>
      </c>
    </row>
    <row r="21" spans="1:2" x14ac:dyDescent="0.25">
      <c r="A21" s="73" t="s">
        <v>355</v>
      </c>
      <c r="B21" s="74">
        <v>1</v>
      </c>
    </row>
    <row r="22" spans="1:2" x14ac:dyDescent="0.25">
      <c r="A22" s="73" t="s">
        <v>357</v>
      </c>
      <c r="B22" s="74">
        <v>1</v>
      </c>
    </row>
    <row r="23" spans="1:2" x14ac:dyDescent="0.25">
      <c r="A23" s="73" t="s">
        <v>360</v>
      </c>
    </row>
    <row r="24" spans="1:2" x14ac:dyDescent="0.25">
      <c r="A24" s="73" t="s">
        <v>329</v>
      </c>
      <c r="B24" s="74">
        <v>0</v>
      </c>
    </row>
    <row r="25" spans="1:2" x14ac:dyDescent="0.25">
      <c r="A25" s="73" t="s">
        <v>362</v>
      </c>
      <c r="B25" s="74">
        <v>0</v>
      </c>
    </row>
    <row r="26" spans="1:2" x14ac:dyDescent="0.25">
      <c r="A26" s="73" t="s">
        <v>364</v>
      </c>
      <c r="B26" s="74">
        <v>0</v>
      </c>
    </row>
    <row r="27" spans="1:2" x14ac:dyDescent="0.25">
      <c r="A27" s="73" t="s">
        <v>367</v>
      </c>
      <c r="B27" s="74">
        <v>3</v>
      </c>
    </row>
    <row r="28" spans="1:2" x14ac:dyDescent="0.25">
      <c r="A28" s="73" t="s">
        <v>369</v>
      </c>
    </row>
    <row r="29" spans="1:2" x14ac:dyDescent="0.25">
      <c r="A29" s="73" t="s">
        <v>370</v>
      </c>
      <c r="B29" s="74">
        <v>0</v>
      </c>
    </row>
    <row r="30" spans="1:2" x14ac:dyDescent="0.25">
      <c r="A30" s="73" t="s">
        <v>372</v>
      </c>
      <c r="B30" s="74">
        <v>3</v>
      </c>
    </row>
    <row r="31" spans="1:2" x14ac:dyDescent="0.25">
      <c r="A31" s="73" t="s">
        <v>374</v>
      </c>
      <c r="B31" s="74">
        <v>3</v>
      </c>
    </row>
    <row r="32" spans="1:2" x14ac:dyDescent="0.25">
      <c r="A32" s="73" t="s">
        <v>376</v>
      </c>
      <c r="B32" s="74">
        <v>5</v>
      </c>
    </row>
    <row r="33" spans="1:2" x14ac:dyDescent="0.25">
      <c r="A33" s="73" t="s">
        <v>378</v>
      </c>
      <c r="B33" s="74">
        <v>5</v>
      </c>
    </row>
    <row r="34" spans="1:2" x14ac:dyDescent="0.25">
      <c r="A34" s="73" t="s">
        <v>380</v>
      </c>
      <c r="B34" s="74">
        <v>5</v>
      </c>
    </row>
    <row r="35" spans="1:2" x14ac:dyDescent="0.25">
      <c r="A35" s="73" t="s">
        <v>382</v>
      </c>
    </row>
    <row r="36" spans="1:2" x14ac:dyDescent="0.25">
      <c r="A36" s="73" t="s">
        <v>329</v>
      </c>
      <c r="B36" s="74">
        <v>0</v>
      </c>
    </row>
    <row r="37" spans="1:2" x14ac:dyDescent="0.25">
      <c r="A37" s="73" t="s">
        <v>384</v>
      </c>
      <c r="B37" s="74">
        <v>0</v>
      </c>
    </row>
    <row r="38" spans="1:2" x14ac:dyDescent="0.25">
      <c r="A38" s="73" t="s">
        <v>386</v>
      </c>
      <c r="B38" s="74">
        <v>3</v>
      </c>
    </row>
    <row r="39" spans="1:2" x14ac:dyDescent="0.25">
      <c r="A39" s="73" t="s">
        <v>388</v>
      </c>
      <c r="B39" s="74">
        <v>3</v>
      </c>
    </row>
    <row r="40" spans="1:2" x14ac:dyDescent="0.25">
      <c r="A40" s="73" t="s">
        <v>390</v>
      </c>
    </row>
    <row r="41" spans="1:2" x14ac:dyDescent="0.25">
      <c r="A41" s="73" t="s">
        <v>329</v>
      </c>
      <c r="B41" s="74">
        <v>0</v>
      </c>
    </row>
    <row r="42" spans="1:2" x14ac:dyDescent="0.25">
      <c r="A42" s="73" t="s">
        <v>392</v>
      </c>
      <c r="B42" s="74">
        <v>1</v>
      </c>
    </row>
    <row r="43" spans="1:2" x14ac:dyDescent="0.25">
      <c r="A43" s="73" t="s">
        <v>394</v>
      </c>
      <c r="B43" s="74">
        <v>3</v>
      </c>
    </row>
    <row r="44" spans="1:2" x14ac:dyDescent="0.25">
      <c r="A44" s="73" t="s">
        <v>396</v>
      </c>
    </row>
    <row r="45" spans="1:2" x14ac:dyDescent="0.25">
      <c r="A45" s="73" t="s">
        <v>329</v>
      </c>
      <c r="B45" s="74">
        <v>0</v>
      </c>
    </row>
    <row r="46" spans="1:2" x14ac:dyDescent="0.25">
      <c r="A46" s="73" t="s">
        <v>398</v>
      </c>
      <c r="B46" s="74">
        <v>3</v>
      </c>
    </row>
    <row r="47" spans="1:2" x14ac:dyDescent="0.25">
      <c r="A47" s="73" t="s">
        <v>400</v>
      </c>
      <c r="B47" s="74">
        <v>3</v>
      </c>
    </row>
    <row r="48" spans="1:2" x14ac:dyDescent="0.25">
      <c r="A48" s="73" t="s">
        <v>402</v>
      </c>
    </row>
    <row r="49" spans="1:6" x14ac:dyDescent="0.25">
      <c r="A49" s="73" t="s">
        <v>329</v>
      </c>
      <c r="B49" s="74">
        <v>0</v>
      </c>
    </row>
    <row r="50" spans="1:6" x14ac:dyDescent="0.25">
      <c r="A50" s="73" t="s">
        <v>404</v>
      </c>
      <c r="B50" s="74">
        <v>3</v>
      </c>
    </row>
    <row r="51" spans="1:6" x14ac:dyDescent="0.25">
      <c r="A51" s="73" t="s">
        <v>406</v>
      </c>
      <c r="B51" s="74">
        <v>3</v>
      </c>
    </row>
    <row r="52" spans="1:6" x14ac:dyDescent="0.25">
      <c r="A52" s="73" t="s">
        <v>409</v>
      </c>
      <c r="B52" s="74">
        <v>5</v>
      </c>
    </row>
    <row r="53" spans="1:6" x14ac:dyDescent="0.25">
      <c r="A53" s="73" t="s">
        <v>411</v>
      </c>
    </row>
    <row r="54" spans="1:6" x14ac:dyDescent="0.25">
      <c r="A54" s="73" t="s">
        <v>370</v>
      </c>
      <c r="B54" s="74">
        <v>3</v>
      </c>
    </row>
    <row r="55" spans="1:6" x14ac:dyDescent="0.25">
      <c r="A55" s="73" t="s">
        <v>460</v>
      </c>
      <c r="B55" s="74">
        <v>0</v>
      </c>
    </row>
    <row r="56" spans="1:6" x14ac:dyDescent="0.25">
      <c r="A56" s="73" t="s">
        <v>413</v>
      </c>
      <c r="B56" s="74">
        <v>3</v>
      </c>
    </row>
    <row r="57" spans="1:6" x14ac:dyDescent="0.25">
      <c r="A57" s="73" t="s">
        <v>414</v>
      </c>
      <c r="B57" s="74">
        <v>3</v>
      </c>
    </row>
    <row r="58" spans="1:6" x14ac:dyDescent="0.25">
      <c r="A58" s="73" t="s">
        <v>415</v>
      </c>
      <c r="B58" s="74">
        <v>3</v>
      </c>
    </row>
    <row r="59" spans="1:6" x14ac:dyDescent="0.25">
      <c r="A59" s="73" t="s">
        <v>416</v>
      </c>
    </row>
    <row r="60" spans="1:6" x14ac:dyDescent="0.25">
      <c r="A60" s="73" t="s">
        <v>329</v>
      </c>
      <c r="B60" s="74">
        <v>0</v>
      </c>
    </row>
    <row r="61" spans="1:6" x14ac:dyDescent="0.25">
      <c r="A61" s="73" t="s">
        <v>417</v>
      </c>
      <c r="B61" s="74">
        <v>3</v>
      </c>
    </row>
    <row r="62" spans="1:6" x14ac:dyDescent="0.25">
      <c r="A62" s="73" t="s">
        <v>418</v>
      </c>
      <c r="B62" s="74">
        <v>5</v>
      </c>
    </row>
    <row r="64" spans="1:6" x14ac:dyDescent="0.25">
      <c r="A64" s="76" t="s">
        <v>321</v>
      </c>
      <c r="B64" s="77" t="s">
        <v>458</v>
      </c>
      <c r="C64" s="77" t="s">
        <v>459</v>
      </c>
      <c r="D64" s="77"/>
      <c r="E64" s="77"/>
      <c r="F64" s="77"/>
    </row>
    <row r="65" spans="1:3" x14ac:dyDescent="0.25">
      <c r="A65" s="73" t="s">
        <v>322</v>
      </c>
    </row>
    <row r="66" spans="1:3" x14ac:dyDescent="0.25">
      <c r="A66" s="73" t="s">
        <v>323</v>
      </c>
      <c r="B66" s="74">
        <v>0</v>
      </c>
      <c r="C66" s="74">
        <v>3</v>
      </c>
    </row>
    <row r="67" spans="1:3" x14ac:dyDescent="0.25">
      <c r="A67" s="73" t="s">
        <v>325</v>
      </c>
      <c r="B67" s="74">
        <v>0</v>
      </c>
      <c r="C67" s="74">
        <v>1</v>
      </c>
    </row>
    <row r="68" spans="1:3" x14ac:dyDescent="0.25">
      <c r="A68" s="73" t="s">
        <v>327</v>
      </c>
      <c r="B68" s="74">
        <v>0</v>
      </c>
      <c r="C68" s="74">
        <v>3</v>
      </c>
    </row>
    <row r="69" spans="1:3" x14ac:dyDescent="0.25">
      <c r="A69" s="73" t="s">
        <v>330</v>
      </c>
    </row>
    <row r="70" spans="1:3" x14ac:dyDescent="0.25">
      <c r="A70" s="73" t="s">
        <v>331</v>
      </c>
      <c r="B70" s="74">
        <v>0</v>
      </c>
      <c r="C70" s="74">
        <v>0</v>
      </c>
    </row>
    <row r="71" spans="1:3" x14ac:dyDescent="0.25">
      <c r="A71" s="73" t="s">
        <v>333</v>
      </c>
      <c r="B71" s="74">
        <v>0</v>
      </c>
      <c r="C71" s="74">
        <v>0</v>
      </c>
    </row>
    <row r="72" spans="1:3" x14ac:dyDescent="0.25">
      <c r="A72" s="73" t="s">
        <v>335</v>
      </c>
      <c r="B72" s="74">
        <v>5</v>
      </c>
      <c r="C72" s="74">
        <v>5</v>
      </c>
    </row>
    <row r="73" spans="1:3" x14ac:dyDescent="0.25">
      <c r="A73" s="73" t="s">
        <v>337</v>
      </c>
      <c r="B73" s="74">
        <v>5</v>
      </c>
      <c r="C73" s="74">
        <v>5</v>
      </c>
    </row>
    <row r="74" spans="1:3" x14ac:dyDescent="0.25">
      <c r="A74" s="73" t="s">
        <v>339</v>
      </c>
    </row>
    <row r="75" spans="1:3" x14ac:dyDescent="0.25">
      <c r="A75" s="73" t="s">
        <v>340</v>
      </c>
      <c r="B75" s="74">
        <v>3</v>
      </c>
      <c r="C75" s="74">
        <v>3</v>
      </c>
    </row>
    <row r="76" spans="1:3" x14ac:dyDescent="0.25">
      <c r="A76" s="73" t="s">
        <v>342</v>
      </c>
      <c r="B76" s="74">
        <v>1</v>
      </c>
      <c r="C76" s="74">
        <v>1</v>
      </c>
    </row>
    <row r="77" spans="1:3" x14ac:dyDescent="0.25">
      <c r="A77" s="73" t="s">
        <v>344</v>
      </c>
      <c r="B77" s="74">
        <v>0</v>
      </c>
      <c r="C77" s="74">
        <v>0</v>
      </c>
    </row>
    <row r="78" spans="1:3" x14ac:dyDescent="0.25">
      <c r="A78" s="73" t="s">
        <v>346</v>
      </c>
    </row>
    <row r="79" spans="1:3" x14ac:dyDescent="0.25">
      <c r="A79" s="73" t="s">
        <v>340</v>
      </c>
      <c r="B79" s="74">
        <v>0</v>
      </c>
      <c r="C79" s="74">
        <v>0</v>
      </c>
    </row>
    <row r="80" spans="1:3" x14ac:dyDescent="0.25">
      <c r="A80" s="73" t="s">
        <v>348</v>
      </c>
      <c r="B80" s="74">
        <v>1</v>
      </c>
      <c r="C80" s="74">
        <v>3</v>
      </c>
    </row>
    <row r="81" spans="1:3" x14ac:dyDescent="0.25">
      <c r="A81" s="73" t="s">
        <v>350</v>
      </c>
      <c r="B81" s="74">
        <v>3</v>
      </c>
      <c r="C81" s="74">
        <v>3</v>
      </c>
    </row>
    <row r="82" spans="1:3" x14ac:dyDescent="0.25">
      <c r="A82" s="73" t="s">
        <v>352</v>
      </c>
    </row>
    <row r="83" spans="1:3" x14ac:dyDescent="0.25">
      <c r="A83" s="73" t="s">
        <v>340</v>
      </c>
      <c r="B83" s="74">
        <v>0</v>
      </c>
      <c r="C83" s="74">
        <v>0</v>
      </c>
    </row>
    <row r="84" spans="1:3" x14ac:dyDescent="0.25">
      <c r="A84" s="73" t="s">
        <v>354</v>
      </c>
      <c r="B84" s="74">
        <v>0</v>
      </c>
      <c r="C84" s="74">
        <v>3</v>
      </c>
    </row>
    <row r="85" spans="1:3" x14ac:dyDescent="0.25">
      <c r="A85" s="73" t="s">
        <v>356</v>
      </c>
      <c r="B85" s="74">
        <v>0</v>
      </c>
      <c r="C85" s="74">
        <v>3</v>
      </c>
    </row>
    <row r="86" spans="1:3" x14ac:dyDescent="0.25">
      <c r="A86" s="73" t="s">
        <v>358</v>
      </c>
    </row>
    <row r="87" spans="1:3" x14ac:dyDescent="0.25">
      <c r="A87" s="73" t="s">
        <v>359</v>
      </c>
      <c r="B87" s="74">
        <v>0</v>
      </c>
      <c r="C87" s="74">
        <v>0</v>
      </c>
    </row>
    <row r="88" spans="1:3" x14ac:dyDescent="0.25">
      <c r="A88" s="73" t="s">
        <v>361</v>
      </c>
      <c r="B88" s="74">
        <v>1</v>
      </c>
      <c r="C88" s="74">
        <v>3</v>
      </c>
    </row>
    <row r="89" spans="1:3" x14ac:dyDescent="0.25">
      <c r="A89" s="73" t="s">
        <v>363</v>
      </c>
      <c r="B89" s="74">
        <v>3</v>
      </c>
      <c r="C89" s="74">
        <v>3</v>
      </c>
    </row>
    <row r="90" spans="1:3" x14ac:dyDescent="0.25">
      <c r="A90" s="73" t="s">
        <v>365</v>
      </c>
    </row>
    <row r="91" spans="1:3" x14ac:dyDescent="0.25">
      <c r="A91" s="73" t="s">
        <v>366</v>
      </c>
      <c r="B91" s="74">
        <v>0</v>
      </c>
      <c r="C91" s="74">
        <v>0</v>
      </c>
    </row>
    <row r="92" spans="1:3" x14ac:dyDescent="0.25">
      <c r="A92" s="73" t="s">
        <v>368</v>
      </c>
      <c r="B92" s="74">
        <v>0</v>
      </c>
      <c r="C92" s="74">
        <v>0</v>
      </c>
    </row>
    <row r="93" spans="1:3" x14ac:dyDescent="0.25">
      <c r="A93" s="73" t="s">
        <v>371</v>
      </c>
      <c r="B93" s="74">
        <v>0</v>
      </c>
      <c r="C93" s="74">
        <v>0</v>
      </c>
    </row>
    <row r="94" spans="1:3" x14ac:dyDescent="0.25">
      <c r="A94" s="73" t="s">
        <v>373</v>
      </c>
    </row>
    <row r="95" spans="1:3" x14ac:dyDescent="0.25">
      <c r="A95" s="73" t="s">
        <v>340</v>
      </c>
      <c r="B95" s="74">
        <v>0</v>
      </c>
      <c r="C95" s="74">
        <v>0</v>
      </c>
    </row>
    <row r="96" spans="1:3" x14ac:dyDescent="0.25">
      <c r="A96" s="73" t="s">
        <v>375</v>
      </c>
      <c r="B96" s="74">
        <v>0</v>
      </c>
      <c r="C96" s="74">
        <v>0</v>
      </c>
    </row>
    <row r="97" spans="1:3" x14ac:dyDescent="0.25">
      <c r="A97" s="73" t="s">
        <v>377</v>
      </c>
      <c r="B97" s="74">
        <v>0</v>
      </c>
      <c r="C97" s="74">
        <v>1</v>
      </c>
    </row>
    <row r="98" spans="1:3" x14ac:dyDescent="0.25">
      <c r="A98" s="73" t="s">
        <v>379</v>
      </c>
      <c r="B98" s="74">
        <v>0</v>
      </c>
      <c r="C98" s="74">
        <v>1</v>
      </c>
    </row>
    <row r="99" spans="1:3" x14ac:dyDescent="0.25">
      <c r="A99" s="73" t="s">
        <v>381</v>
      </c>
      <c r="B99" s="74">
        <v>0</v>
      </c>
      <c r="C99" s="74">
        <v>5</v>
      </c>
    </row>
    <row r="100" spans="1:3" x14ac:dyDescent="0.25">
      <c r="A100" s="73" t="s">
        <v>383</v>
      </c>
    </row>
    <row r="101" spans="1:3" x14ac:dyDescent="0.25">
      <c r="A101" s="73" t="s">
        <v>329</v>
      </c>
      <c r="B101" s="74">
        <v>0</v>
      </c>
      <c r="C101" s="74">
        <v>0</v>
      </c>
    </row>
    <row r="102" spans="1:3" x14ac:dyDescent="0.25">
      <c r="A102" s="73" t="s">
        <v>385</v>
      </c>
      <c r="B102" s="74">
        <v>0</v>
      </c>
      <c r="C102" s="74">
        <v>0</v>
      </c>
    </row>
    <row r="103" spans="1:3" x14ac:dyDescent="0.25">
      <c r="A103" s="73" t="s">
        <v>387</v>
      </c>
      <c r="B103" s="74">
        <v>1</v>
      </c>
      <c r="C103" s="74">
        <v>3</v>
      </c>
    </row>
    <row r="104" spans="1:3" x14ac:dyDescent="0.25">
      <c r="A104" s="73" t="s">
        <v>389</v>
      </c>
      <c r="B104" s="74">
        <v>5</v>
      </c>
      <c r="C104" s="74">
        <v>5</v>
      </c>
    </row>
    <row r="105" spans="1:3" x14ac:dyDescent="0.25">
      <c r="A105" s="73" t="s">
        <v>391</v>
      </c>
    </row>
    <row r="106" spans="1:3" x14ac:dyDescent="0.25">
      <c r="A106" s="73" t="s">
        <v>329</v>
      </c>
      <c r="B106" s="74">
        <v>0</v>
      </c>
      <c r="C106" s="74">
        <v>0</v>
      </c>
    </row>
    <row r="107" spans="1:3" x14ac:dyDescent="0.25">
      <c r="A107" s="73" t="s">
        <v>393</v>
      </c>
      <c r="B107" s="74">
        <v>7</v>
      </c>
      <c r="C107" s="74">
        <v>7</v>
      </c>
    </row>
    <row r="108" spans="1:3" x14ac:dyDescent="0.25">
      <c r="A108" s="73" t="s">
        <v>395</v>
      </c>
      <c r="B108" s="74">
        <v>17</v>
      </c>
      <c r="C108" s="74">
        <v>17</v>
      </c>
    </row>
    <row r="109" spans="1:3" x14ac:dyDescent="0.25">
      <c r="A109" s="73" t="s">
        <v>397</v>
      </c>
      <c r="B109" s="74">
        <v>17</v>
      </c>
      <c r="C109" s="75">
        <v>17</v>
      </c>
    </row>
    <row r="110" spans="1:3" x14ac:dyDescent="0.25">
      <c r="A110" s="73" t="s">
        <v>399</v>
      </c>
    </row>
    <row r="111" spans="1:3" x14ac:dyDescent="0.25">
      <c r="A111" s="73" t="s">
        <v>329</v>
      </c>
      <c r="B111" s="74">
        <v>0</v>
      </c>
      <c r="C111" s="74">
        <v>0</v>
      </c>
    </row>
    <row r="112" spans="1:3" x14ac:dyDescent="0.25">
      <c r="A112" s="73" t="s">
        <v>401</v>
      </c>
      <c r="B112" s="74">
        <v>3</v>
      </c>
      <c r="C112" s="74">
        <v>3</v>
      </c>
    </row>
    <row r="113" spans="1:6" x14ac:dyDescent="0.25">
      <c r="A113" s="73" t="s">
        <v>403</v>
      </c>
      <c r="B113" s="74">
        <v>3</v>
      </c>
      <c r="C113" s="74">
        <v>3</v>
      </c>
    </row>
    <row r="114" spans="1:6" x14ac:dyDescent="0.25">
      <c r="A114" s="73" t="s">
        <v>405</v>
      </c>
      <c r="B114" s="74">
        <v>3</v>
      </c>
      <c r="C114" s="74">
        <v>3</v>
      </c>
    </row>
    <row r="115" spans="1:6" x14ac:dyDescent="0.25">
      <c r="A115" s="73" t="s">
        <v>407</v>
      </c>
    </row>
    <row r="116" spans="1:6" x14ac:dyDescent="0.25">
      <c r="A116" s="73" t="s">
        <v>408</v>
      </c>
      <c r="B116" s="74">
        <v>0</v>
      </c>
      <c r="C116" s="74">
        <v>0</v>
      </c>
    </row>
    <row r="117" spans="1:6" x14ac:dyDescent="0.25">
      <c r="A117" s="73" t="s">
        <v>410</v>
      </c>
      <c r="B117" s="74">
        <v>3</v>
      </c>
      <c r="C117" s="74">
        <v>3</v>
      </c>
    </row>
    <row r="118" spans="1:6" x14ac:dyDescent="0.25">
      <c r="A118" s="73" t="s">
        <v>412</v>
      </c>
      <c r="B118" s="74">
        <v>5</v>
      </c>
      <c r="C118" s="74">
        <v>5</v>
      </c>
    </row>
    <row r="120" spans="1:6" x14ac:dyDescent="0.25">
      <c r="A120" s="77" t="s">
        <v>467</v>
      </c>
      <c r="B120" s="77"/>
      <c r="C120" s="77"/>
      <c r="D120" s="77"/>
      <c r="E120" s="77"/>
      <c r="F120" s="77"/>
    </row>
    <row r="121" spans="1:6" ht="15.75" thickBot="1" x14ac:dyDescent="0.3"/>
    <row r="122" spans="1:6" ht="15.75" thickBot="1" x14ac:dyDescent="0.3">
      <c r="A122" s="80" t="s">
        <v>461</v>
      </c>
      <c r="B122" s="81" t="s">
        <v>468</v>
      </c>
      <c r="D122" s="2" t="s">
        <v>478</v>
      </c>
      <c r="E122" s="85">
        <v>44</v>
      </c>
    </row>
    <row r="123" spans="1:6" x14ac:dyDescent="0.25">
      <c r="A123" s="79" t="s">
        <v>463</v>
      </c>
      <c r="B123" s="79">
        <v>0</v>
      </c>
    </row>
    <row r="124" spans="1:6" x14ac:dyDescent="0.25">
      <c r="A124" s="78" t="s">
        <v>464</v>
      </c>
      <c r="B124" s="78">
        <v>3</v>
      </c>
    </row>
    <row r="125" spans="1:6" x14ac:dyDescent="0.25">
      <c r="A125" s="78" t="s">
        <v>465</v>
      </c>
      <c r="B125" s="78">
        <v>4</v>
      </c>
    </row>
    <row r="126" spans="1:6" x14ac:dyDescent="0.25">
      <c r="A126" s="78" t="s">
        <v>466</v>
      </c>
      <c r="B126" s="78">
        <v>5</v>
      </c>
    </row>
    <row r="128" spans="1:6" x14ac:dyDescent="0.25">
      <c r="A128" s="77" t="s">
        <v>469</v>
      </c>
      <c r="B128" s="77"/>
      <c r="C128" s="77"/>
      <c r="D128" s="77"/>
      <c r="E128" s="77"/>
      <c r="F128" s="77"/>
    </row>
    <row r="129" spans="1:5" ht="15.75" thickBot="1" x14ac:dyDescent="0.3"/>
    <row r="130" spans="1:5" ht="15.75" thickBot="1" x14ac:dyDescent="0.3">
      <c r="A130" s="80" t="s">
        <v>461</v>
      </c>
      <c r="B130" s="81" t="s">
        <v>459</v>
      </c>
      <c r="D130" s="2" t="s">
        <v>479</v>
      </c>
      <c r="E130" s="85">
        <v>90</v>
      </c>
    </row>
    <row r="131" spans="1:5" x14ac:dyDescent="0.25">
      <c r="A131" s="79" t="s">
        <v>470</v>
      </c>
      <c r="B131" s="84">
        <v>0</v>
      </c>
    </row>
    <row r="132" spans="1:5" x14ac:dyDescent="0.25">
      <c r="A132" s="83" t="s">
        <v>471</v>
      </c>
      <c r="B132" s="82">
        <v>14</v>
      </c>
    </row>
    <row r="133" spans="1:5" x14ac:dyDescent="0.25">
      <c r="A133" s="78" t="s">
        <v>472</v>
      </c>
      <c r="B133" s="82">
        <v>21</v>
      </c>
    </row>
    <row r="134" spans="1:5" x14ac:dyDescent="0.25">
      <c r="A134" s="78" t="s">
        <v>473</v>
      </c>
      <c r="B134" s="82">
        <v>28</v>
      </c>
    </row>
    <row r="135" spans="1:5" x14ac:dyDescent="0.25">
      <c r="A135" s="78" t="s">
        <v>474</v>
      </c>
      <c r="B135" s="82">
        <v>35</v>
      </c>
    </row>
    <row r="136" spans="1:5" x14ac:dyDescent="0.25">
      <c r="A136" s="78" t="s">
        <v>475</v>
      </c>
      <c r="B136" s="82">
        <v>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Personal Budget</vt:lpstr>
      <vt:lpstr>Daily Needs</vt:lpstr>
      <vt:lpstr>LD - SU and Carer</vt:lpstr>
      <vt:lpstr>Needs Calculation - Carer Input</vt:lpstr>
      <vt:lpstr>Need&amp;Task Time Combos</vt:lpstr>
      <vt:lpstr>LD Points</vt:lpstr>
    </vt:vector>
  </TitlesOfParts>
  <Company>Stockport MBC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Scholes</dc:creator>
  <cp:lastModifiedBy>Mark Fairhurst</cp:lastModifiedBy>
  <dcterms:created xsi:type="dcterms:W3CDTF">2012-05-04T09:04:36Z</dcterms:created>
  <dcterms:modified xsi:type="dcterms:W3CDTF">2015-09-21T12:47:34Z</dcterms:modified>
</cp:coreProperties>
</file>