
<file path=[Content_Types].xml><?xml version="1.0" encoding="utf-8"?>
<Types xmlns="http://schemas.openxmlformats.org/package/2006/content-types">
  <Default Extension="bin" ContentType="application/vnd.openxmlformats-officedocument.oleObject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English" sheetId="1" r:id="rId1"/>
    <sheet name="中文" sheetId="3" r:id="rId2"/>
  </sheets>
  <definedNames>
    <definedName name="solver_adj" localSheetId="1" hidden="1">中文!$Q$6:$R$6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中文!$Q$6:$R$6</definedName>
    <definedName name="solver_lhs2" localSheetId="1" hidden="1">中文!$S$7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中文!$H$8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R41" i="3" l="1"/>
  <c r="Q41" i="3"/>
  <c r="J41" i="3"/>
  <c r="R40" i="3"/>
  <c r="Q40" i="3"/>
  <c r="R39" i="3"/>
  <c r="Q39" i="3"/>
  <c r="J39" i="3"/>
  <c r="R38" i="3"/>
  <c r="Q38" i="3"/>
  <c r="J38" i="3"/>
  <c r="R37" i="3"/>
  <c r="Q37" i="3"/>
  <c r="J37" i="3"/>
  <c r="S7" i="3"/>
  <c r="S39" i="3" s="1"/>
  <c r="R41" i="1"/>
  <c r="Q41" i="1"/>
  <c r="J41" i="1"/>
  <c r="R40" i="1"/>
  <c r="Q40" i="1"/>
  <c r="R39" i="1"/>
  <c r="Q39" i="1"/>
  <c r="J39" i="1"/>
  <c r="R38" i="1"/>
  <c r="Q38" i="1"/>
  <c r="J38" i="1"/>
  <c r="R37" i="1"/>
  <c r="Q37" i="1"/>
  <c r="J37" i="1"/>
  <c r="S7" i="1"/>
  <c r="S39" i="1" s="1"/>
  <c r="K39" i="1" s="1"/>
  <c r="M39" i="1" l="1"/>
  <c r="R59" i="1" s="1"/>
  <c r="K39" i="3"/>
  <c r="N18" i="3" s="1"/>
  <c r="S40" i="3"/>
  <c r="K40" i="3" s="1"/>
  <c r="S41" i="3"/>
  <c r="K41" i="3" s="1"/>
  <c r="S37" i="3"/>
  <c r="K37" i="3" s="1"/>
  <c r="S38" i="3"/>
  <c r="K38" i="3" s="1"/>
  <c r="N18" i="1"/>
  <c r="N39" i="1"/>
  <c r="O39" i="1" s="1"/>
  <c r="M38" i="1"/>
  <c r="S59" i="1"/>
  <c r="S40" i="1"/>
  <c r="K40" i="1" s="1"/>
  <c r="S41" i="1"/>
  <c r="K41" i="1" s="1"/>
  <c r="S37" i="1"/>
  <c r="K37" i="1" s="1"/>
  <c r="S38" i="1"/>
  <c r="K38" i="1" s="1"/>
  <c r="Q59" i="1" l="1"/>
  <c r="N39" i="3"/>
  <c r="O39" i="3" s="1"/>
  <c r="M39" i="3"/>
  <c r="S59" i="3" s="1"/>
  <c r="M41" i="3"/>
  <c r="N29" i="3"/>
  <c r="N41" i="3"/>
  <c r="O41" i="3" s="1"/>
  <c r="M37" i="3"/>
  <c r="N37" i="3"/>
  <c r="O37" i="3" s="1"/>
  <c r="M18" i="3"/>
  <c r="M40" i="3"/>
  <c r="N23" i="3"/>
  <c r="N40" i="3"/>
  <c r="O40" i="3" s="1"/>
  <c r="N38" i="3"/>
  <c r="O38" i="3" s="1"/>
  <c r="M38" i="3"/>
  <c r="M29" i="3"/>
  <c r="N29" i="1"/>
  <c r="N41" i="1"/>
  <c r="O41" i="1" s="1"/>
  <c r="M41" i="1"/>
  <c r="N40" i="1"/>
  <c r="O40" i="1" s="1"/>
  <c r="M40" i="1"/>
  <c r="N23" i="1"/>
  <c r="S58" i="1"/>
  <c r="R58" i="1"/>
  <c r="Q58" i="1"/>
  <c r="N38" i="1"/>
  <c r="O38" i="1" s="1"/>
  <c r="M29" i="1"/>
  <c r="N37" i="1"/>
  <c r="O37" i="1" s="1"/>
  <c r="M18" i="1"/>
  <c r="M37" i="1"/>
  <c r="Q59" i="3" l="1"/>
  <c r="R59" i="3"/>
  <c r="R60" i="3"/>
  <c r="Q60" i="3"/>
  <c r="S60" i="3"/>
  <c r="S57" i="3"/>
  <c r="R57" i="3"/>
  <c r="Q57" i="3"/>
  <c r="S58" i="3"/>
  <c r="R58" i="3"/>
  <c r="Q58" i="3"/>
  <c r="S61" i="3"/>
  <c r="R61" i="3"/>
  <c r="Q61" i="3"/>
  <c r="R61" i="1"/>
  <c r="Q61" i="1"/>
  <c r="S61" i="1"/>
  <c r="R57" i="1"/>
  <c r="R8" i="1" s="1"/>
  <c r="Q57" i="1"/>
  <c r="S57" i="1"/>
  <c r="Q60" i="1"/>
  <c r="S60" i="1"/>
  <c r="R60" i="1"/>
  <c r="S8" i="3" l="1"/>
  <c r="Q8" i="3"/>
  <c r="R8" i="3"/>
  <c r="S8" i="1"/>
  <c r="Q8" i="1"/>
  <c r="T8" i="3" l="1"/>
  <c r="V8" i="3" s="1"/>
  <c r="T8" i="1"/>
  <c r="V8" i="1" s="1"/>
  <c r="W8" i="3" l="1"/>
  <c r="U8" i="3"/>
  <c r="W8" i="1"/>
  <c r="U8" i="1"/>
  <c r="X8" i="3" l="1"/>
  <c r="H8" i="3" s="1"/>
  <c r="X8" i="1"/>
  <c r="H8" i="1" s="1"/>
</calcChain>
</file>

<file path=xl/comments1.xml><?xml version="1.0" encoding="utf-8"?>
<comments xmlns="http://schemas.openxmlformats.org/spreadsheetml/2006/main">
  <authors>
    <author>Author</author>
  </authors>
  <commentList>
    <comment ref="Q3" authorId="0" shapeId="0">
      <text>
        <r>
          <rPr>
            <sz val="9"/>
            <color indexed="81"/>
            <rFont val="宋体"/>
            <family val="3"/>
            <charset val="134"/>
          </rPr>
          <t xml:space="preserve">
1. OD demand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2. There are 3 paths from Node 1 to Node 2. 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3. flow on path 3 = demand - flow on paths 1 and 2
Flow on paths 1 and 2 will be used as "variables" to be changed and optimized.  </t>
        </r>
      </text>
    </comment>
    <comment ref="H8" authorId="0" shapeId="0">
      <text>
        <r>
          <rPr>
            <b/>
            <sz val="8"/>
            <color indexed="81"/>
            <rFont val="Tahoma"/>
            <family val="2"/>
          </rPr>
          <t>12: total system-wide travel time = sum of gaps on different OD pairs</t>
        </r>
        <r>
          <rPr>
            <sz val="8"/>
            <color indexed="81"/>
            <rFont val="Tahoma"/>
            <family val="2"/>
          </rPr>
          <t xml:space="preserve">
To minimize GAP function
total GAP is close to 0--&gt; UE (User Equilibrium)
This is a difficult nonlinear program in its own right.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4. path travel time = sum of link travel time over all links on the path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>5. OD minimum travel time/cost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>6: traffic assignment UE gap function = path flow *(path cost-OD least cost)
gap =0 -&gt; user equilibirum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 xml:space="preserve">References: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>7. the first path of OD 1-&gt;2 passes through link 1-&gt;3.</t>
        </r>
      </text>
    </comment>
    <comment ref="B37" authorId="0" shapeId="0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8. link flow on the first path = path flow * path-to-link incidence coefficient
</t>
        </r>
      </text>
    </comment>
    <comment ref="K38" authorId="0" shapeId="0">
      <text>
        <r>
          <rPr>
            <b/>
            <sz val="8"/>
            <color indexed="81"/>
            <rFont val="Tahoma"/>
            <family val="2"/>
          </rPr>
          <t>9. total link flow = sum of path flow passing through this link over all paths</t>
        </r>
      </text>
    </comment>
    <comment ref="M38" authorId="0" shapeId="0">
      <text>
        <r>
          <rPr>
            <b/>
            <sz val="8"/>
            <color indexed="81"/>
            <rFont val="Tahoma"/>
            <family val="2"/>
          </rPr>
          <t>10: link travel time = BRP function (volume/capacity)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 shapeId="0">
      <text>
        <r>
          <rPr>
            <b/>
            <sz val="8"/>
            <color indexed="81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1. 运输需求设定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2. Braess网络里存在3条节点1到节点2的路径 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>3. 路径3的流量=网络需求-路径1流量和路径2流量
路径1和路径2的流量作为变量进行优化</t>
        </r>
      </text>
    </comment>
    <comment ref="H8" authorId="0" shapeId="0">
      <text>
        <r>
          <rPr>
            <b/>
            <sz val="8"/>
            <color indexed="81"/>
            <rFont val="Tahoma"/>
            <family val="2"/>
          </rPr>
          <t xml:space="preserve">12: </t>
        </r>
        <r>
          <rPr>
            <b/>
            <sz val="8"/>
            <color indexed="81"/>
            <rFont val="宋体"/>
            <family val="3"/>
            <charset val="134"/>
          </rPr>
          <t>系统总旅行时间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81"/>
            <rFont val="宋体"/>
            <family val="3"/>
            <charset val="134"/>
          </rPr>
          <t>各</t>
        </r>
        <r>
          <rPr>
            <b/>
            <sz val="8"/>
            <color indexed="81"/>
            <rFont val="Tahoma"/>
            <family val="2"/>
          </rPr>
          <t>OD</t>
        </r>
        <r>
          <rPr>
            <b/>
            <sz val="8"/>
            <color indexed="81"/>
            <rFont val="宋体"/>
            <family val="3"/>
            <charset val="134"/>
          </rPr>
          <t>对的</t>
        </r>
        <r>
          <rPr>
            <b/>
            <sz val="8"/>
            <color indexed="81"/>
            <rFont val="Tahoma"/>
            <family val="2"/>
          </rPr>
          <t>Gap</t>
        </r>
        <r>
          <rPr>
            <b/>
            <sz val="8"/>
            <color indexed="81"/>
            <rFont val="宋体"/>
            <family val="3"/>
            <charset val="134"/>
          </rPr>
          <t>函数值加和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81"/>
            <rFont val="宋体"/>
            <family val="3"/>
            <charset val="134"/>
          </rPr>
          <t>对</t>
        </r>
        <r>
          <rPr>
            <b/>
            <sz val="8"/>
            <color indexed="81"/>
            <rFont val="Tahoma"/>
            <family val="2"/>
          </rPr>
          <t>Gap</t>
        </r>
        <r>
          <rPr>
            <b/>
            <sz val="8"/>
            <color indexed="81"/>
            <rFont val="宋体"/>
            <family val="3"/>
            <charset val="134"/>
          </rPr>
          <t>函数求最小值进行优化。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宋体"/>
            <family val="3"/>
            <charset val="134"/>
          </rPr>
          <t>总</t>
        </r>
        <r>
          <rPr>
            <b/>
            <sz val="8"/>
            <color indexed="81"/>
            <rFont val="Tahoma"/>
            <family val="2"/>
          </rPr>
          <t>Gap</t>
        </r>
        <r>
          <rPr>
            <b/>
            <sz val="8"/>
            <color indexed="81"/>
            <rFont val="宋体"/>
            <family val="3"/>
            <charset val="134"/>
          </rPr>
          <t>函数值</t>
        </r>
        <r>
          <rPr>
            <b/>
            <sz val="8"/>
            <color indexed="81"/>
            <rFont val="Tahoma"/>
            <family val="2"/>
          </rPr>
          <t>=0</t>
        </r>
        <r>
          <rPr>
            <b/>
            <sz val="8"/>
            <color indexed="81"/>
            <rFont val="宋体"/>
            <family val="3"/>
            <charset val="134"/>
          </rPr>
          <t>时，达到用户均衡状态（</t>
        </r>
        <r>
          <rPr>
            <b/>
            <sz val="8"/>
            <color indexed="81"/>
            <rFont val="Tahoma"/>
            <family val="2"/>
          </rPr>
          <t>UE</t>
        </r>
        <r>
          <rPr>
            <b/>
            <sz val="8"/>
            <color indexed="81"/>
            <rFont val="宋体"/>
            <family val="3"/>
            <charset val="134"/>
          </rPr>
          <t>）。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>4. 路径旅行时间=路径经由的各路段旅行时间的加和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>5. OD 需求经最小路径旅行时间/成本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>6: 用户均衡交通配流Gap函数=路径流量×（路径旅行时间-OD需求最小路径成本）
Gap=0时，即达到用户均衡状态（UE）</t>
        </r>
      </text>
    </comment>
    <comment ref="A10" authorId="0" shapeId="0">
      <text>
        <r>
          <rPr>
            <b/>
            <sz val="8"/>
            <color indexed="81"/>
            <rFont val="宋体"/>
            <family val="3"/>
            <charset val="134"/>
          </rPr>
          <t>参考文献</t>
        </r>
        <r>
          <rPr>
            <b/>
            <sz val="8"/>
            <color indexed="81"/>
            <rFont val="Tahoma"/>
            <family val="2"/>
          </rPr>
          <t xml:space="preserve">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>7. 关联矩阵中，路径1从节点1依次经由路段a和d到达节点2，故对应关联系数值为1，否则为0.</t>
        </r>
      </text>
    </comment>
    <comment ref="B37" authorId="0" shapeId="0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>8. 路径1的边流量=路径流量×路段与路径1的关联系数</t>
        </r>
      </text>
    </comment>
    <comment ref="K38" authorId="0" shapeId="0">
      <text>
        <r>
          <rPr>
            <b/>
            <sz val="8"/>
            <color indexed="81"/>
            <rFont val="Tahoma"/>
            <family val="2"/>
          </rPr>
          <t xml:space="preserve">9. </t>
        </r>
        <r>
          <rPr>
            <b/>
            <sz val="8"/>
            <color indexed="81"/>
            <rFont val="宋体"/>
            <family val="3"/>
            <charset val="134"/>
          </rPr>
          <t>路段总量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81"/>
            <rFont val="宋体"/>
            <family val="3"/>
            <charset val="134"/>
          </rPr>
          <t>经由该路段所有路径的流量加和</t>
        </r>
      </text>
    </comment>
    <comment ref="M38" authorId="0" shapeId="0">
      <text>
        <r>
          <rPr>
            <b/>
            <sz val="8"/>
            <color indexed="81"/>
            <rFont val="Tahoma"/>
            <family val="2"/>
          </rPr>
          <t xml:space="preserve">10: </t>
        </r>
        <r>
          <rPr>
            <b/>
            <sz val="8"/>
            <color indexed="81"/>
            <rFont val="宋体"/>
            <family val="3"/>
            <charset val="134"/>
          </rPr>
          <t>路段旅行时间</t>
        </r>
        <r>
          <rPr>
            <b/>
            <sz val="8"/>
            <color indexed="81"/>
            <rFont val="Tahoma"/>
            <family val="2"/>
          </rPr>
          <t xml:space="preserve">= = BRP </t>
        </r>
        <r>
          <rPr>
            <b/>
            <sz val="8"/>
            <color indexed="81"/>
            <rFont val="宋体"/>
            <family val="3"/>
            <charset val="134"/>
          </rPr>
          <t>函数（流量</t>
        </r>
        <r>
          <rPr>
            <b/>
            <sz val="8"/>
            <color indexed="81"/>
            <rFont val="Tahoma"/>
            <family val="2"/>
          </rPr>
          <t>/</t>
        </r>
        <r>
          <rPr>
            <b/>
            <sz val="8"/>
            <color indexed="81"/>
            <rFont val="宋体"/>
            <family val="3"/>
            <charset val="134"/>
          </rPr>
          <t>路段能力）</t>
        </r>
        <r>
          <rPr>
            <b/>
            <sz val="8"/>
            <color indexed="81"/>
            <rFont val="Tahoma"/>
            <family val="2"/>
          </rPr>
          <t xml:space="preserve">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 shapeId="0">
      <text>
        <r>
          <rPr>
            <b/>
            <sz val="8"/>
            <color indexed="81"/>
            <rFont val="Tahoma"/>
            <family val="2"/>
          </rPr>
          <t xml:space="preserve">11. </t>
        </r>
        <r>
          <rPr>
            <b/>
            <sz val="8"/>
            <color indexed="81"/>
            <rFont val="宋体"/>
            <family val="3"/>
            <charset val="134"/>
          </rPr>
          <t>路径中的各路段旅行时间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81"/>
            <rFont val="宋体"/>
            <family val="3"/>
            <charset val="134"/>
          </rPr>
          <t>对应路段旅行时间×（</t>
        </r>
        <r>
          <rPr>
            <b/>
            <sz val="8"/>
            <color indexed="81"/>
            <rFont val="Tahoma"/>
            <family val="2"/>
          </rPr>
          <t>0-1</t>
        </r>
        <r>
          <rPr>
            <b/>
            <sz val="8"/>
            <color indexed="81"/>
            <rFont val="宋体"/>
            <family val="3"/>
            <charset val="134"/>
          </rPr>
          <t>变量）
路径经由该路段，变量为</t>
        </r>
        <r>
          <rPr>
            <b/>
            <sz val="8"/>
            <color indexed="81"/>
            <rFont val="Tahoma"/>
            <family val="2"/>
          </rPr>
          <t>1</t>
        </r>
        <r>
          <rPr>
            <b/>
            <sz val="8"/>
            <color indexed="81"/>
            <rFont val="宋体"/>
            <family val="3"/>
            <charset val="134"/>
          </rPr>
          <t>；否则为</t>
        </r>
        <r>
          <rPr>
            <b/>
            <sz val="8"/>
            <color indexed="81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<sst xmlns="http://schemas.openxmlformats.org/spreadsheetml/2006/main" count="133" uniqueCount="111">
  <si>
    <t>Step 1: menu-&gt; data -&gt; Solver -&gt; solve</t>
  </si>
  <si>
    <t>Volume/Capacity: VOC</t>
  </si>
  <si>
    <t>LOS (Level of Service)</t>
  </si>
  <si>
    <t>Legend of Optimization</t>
  </si>
  <si>
    <t>A</t>
  </si>
  <si>
    <t>OD</t>
  </si>
  <si>
    <t>1-&gt;2</t>
    <phoneticPr fontId="2" type="noConversion"/>
  </si>
  <si>
    <t>input</t>
  </si>
  <si>
    <t>B</t>
  </si>
  <si>
    <t>Demand</t>
  </si>
  <si>
    <t>Variable</t>
  </si>
  <si>
    <t>C</t>
  </si>
  <si>
    <t>Intermediate Result</t>
  </si>
  <si>
    <t>D</t>
  </si>
  <si>
    <t>Path</t>
  </si>
  <si>
    <t>Intermediate Target Cell</t>
  </si>
  <si>
    <t>E</t>
  </si>
  <si>
    <t>flow as variable</t>
  </si>
  <si>
    <t>gap</t>
  </si>
  <si>
    <t>F</t>
  </si>
  <si>
    <t>flow as derived variable</t>
  </si>
  <si>
    <t>min_TT</t>
  </si>
  <si>
    <t>total_gap</t>
  </si>
  <si>
    <t>Target gap function</t>
  </si>
  <si>
    <t>path travel_time</t>
  </si>
  <si>
    <t>Traffic Assignment Model Formulation:</t>
  </si>
  <si>
    <t>Path 1</t>
  </si>
  <si>
    <t>Path 2</t>
  </si>
  <si>
    <t>Path 3</t>
  </si>
  <si>
    <t>from_node_id</t>
  </si>
  <si>
    <t>to_node_id</t>
  </si>
  <si>
    <t>link-path-incidence matrix</t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</si>
  <si>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</si>
  <si>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</si>
  <si>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</si>
  <si>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</si>
  <si>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b</t>
    <phoneticPr fontId="2" type="noConversion"/>
  </si>
  <si>
    <t>VOT: $/hr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</si>
  <si>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</si>
  <si>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</si>
  <si>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</si>
  <si>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</si>
  <si>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</si>
  <si>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</si>
  <si>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</si>
  <si>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</si>
  <si>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</si>
  <si>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Road_toll_in_$</t>
  </si>
  <si>
    <t>link_travel_time</t>
  </si>
  <si>
    <t>VOC Ratio = volume / link capacity</t>
  </si>
  <si>
    <t>LOS</t>
  </si>
  <si>
    <t>path_to_link flow</t>
  </si>
  <si>
    <t>BPR Link Travel Time Function:</t>
  </si>
  <si>
    <t>path travel time</t>
  </si>
  <si>
    <t>输入</t>
    <phoneticPr fontId="2" type="noConversion"/>
  </si>
  <si>
    <t>变量</t>
    <phoneticPr fontId="2" type="noConversion"/>
  </si>
  <si>
    <t>中间结果</t>
    <phoneticPr fontId="2" type="noConversion"/>
  </si>
  <si>
    <t>中间目标C</t>
    <phoneticPr fontId="2" type="noConversion"/>
  </si>
  <si>
    <t>服务水平</t>
    <phoneticPr fontId="2" type="noConversion"/>
  </si>
  <si>
    <t>路径</t>
    <phoneticPr fontId="2" type="noConversion"/>
  </si>
  <si>
    <t>路径1</t>
    <phoneticPr fontId="2" type="noConversion"/>
  </si>
  <si>
    <t>路径2</t>
    <phoneticPr fontId="2" type="noConversion"/>
  </si>
  <si>
    <t>路径3</t>
    <phoneticPr fontId="2" type="noConversion"/>
  </si>
  <si>
    <t>路径旅行总时间</t>
    <phoneticPr fontId="2" type="noConversion"/>
  </si>
  <si>
    <t>最小路径旅行时间</t>
    <phoneticPr fontId="2" type="noConversion"/>
  </si>
  <si>
    <t>交通配流模型方程</t>
    <phoneticPr fontId="2" type="noConversion"/>
  </si>
  <si>
    <t>车道数目</t>
    <phoneticPr fontId="2" type="noConversion"/>
  </si>
  <si>
    <t>BPR函数alpha</t>
    <phoneticPr fontId="2" type="noConversion"/>
  </si>
  <si>
    <t>BPR函数beta</t>
    <phoneticPr fontId="2" type="noConversion"/>
  </si>
  <si>
    <t>最高速度</t>
    <phoneticPr fontId="2" type="noConversion"/>
  </si>
  <si>
    <t>车道能力</t>
    <phoneticPr fontId="2" type="noConversion"/>
  </si>
  <si>
    <t>自由流旅行时间</t>
    <phoneticPr fontId="2" type="noConversion"/>
  </si>
  <si>
    <t>能力利用率：流量/边能力</t>
    <phoneticPr fontId="2" type="noConversion"/>
  </si>
  <si>
    <t>优化思路</t>
    <phoneticPr fontId="2" type="noConversion"/>
  </si>
  <si>
    <t>第一步：目录-数据-规划求解-求解</t>
    <phoneticPr fontId="2" type="noConversion"/>
  </si>
  <si>
    <t>OD需求</t>
    <phoneticPr fontId="2" type="noConversion"/>
  </si>
  <si>
    <t>Network Loading Factor</t>
    <phoneticPr fontId="2" type="noConversion"/>
  </si>
  <si>
    <t>Gap目标函数值</t>
    <phoneticPr fontId="2" type="noConversion"/>
  </si>
  <si>
    <t>流量/路段能力: 能力利用率</t>
    <phoneticPr fontId="2" type="noConversion"/>
  </si>
  <si>
    <t>路径流量变量</t>
    <phoneticPr fontId="2" type="noConversion"/>
  </si>
  <si>
    <t>路径流量衍生变量</t>
    <phoneticPr fontId="2" type="noConversion"/>
  </si>
  <si>
    <t>路段与路径关联矩阵</t>
    <phoneticPr fontId="2" type="noConversion"/>
  </si>
  <si>
    <t>路径上路段的流量</t>
    <phoneticPr fontId="2" type="noConversion"/>
  </si>
  <si>
    <t>路径上各路段旅行时间</t>
    <phoneticPr fontId="2" type="noConversion"/>
  </si>
  <si>
    <t>Braess网络载入参数</t>
    <phoneticPr fontId="2" type="noConversion"/>
  </si>
  <si>
    <t>起始节点</t>
    <phoneticPr fontId="2" type="noConversion"/>
  </si>
  <si>
    <t>终止节点</t>
    <phoneticPr fontId="2" type="noConversion"/>
  </si>
  <si>
    <t>路段长度/英里</t>
    <phoneticPr fontId="2" type="noConversion"/>
  </si>
  <si>
    <t>路段起始节点</t>
    <phoneticPr fontId="2" type="noConversion"/>
  </si>
  <si>
    <t>路段终止节点</t>
    <phoneticPr fontId="2" type="noConversion"/>
  </si>
  <si>
    <t>路段总流量</t>
    <phoneticPr fontId="2" type="noConversion"/>
  </si>
  <si>
    <t>BPR 路段旅行时间函数</t>
    <phoneticPr fontId="2" type="noConversion"/>
  </si>
  <si>
    <t>路段收费/美元</t>
    <phoneticPr fontId="2" type="noConversion"/>
  </si>
  <si>
    <t>路段旅行时间</t>
    <phoneticPr fontId="2" type="noConversion"/>
  </si>
  <si>
    <t>a</t>
    <phoneticPr fontId="2" type="noConversion"/>
  </si>
  <si>
    <t>c</t>
    <phoneticPr fontId="2" type="noConversion"/>
  </si>
  <si>
    <t>路段名称</t>
    <phoneticPr fontId="2" type="noConversion"/>
  </si>
  <si>
    <t>d</t>
    <phoneticPr fontId="2" type="noConversion"/>
  </si>
  <si>
    <t>b</t>
    <phoneticPr fontId="2" type="noConversion"/>
  </si>
  <si>
    <t>e</t>
    <phoneticPr fontId="2" type="noConversion"/>
  </si>
  <si>
    <t>Xuesong Zhou</t>
    <phoneticPr fontId="2" type="noConversion"/>
  </si>
  <si>
    <t>Tie Shi</t>
    <phoneticPr fontId="2" type="noConversion"/>
  </si>
  <si>
    <t>Jeffrey Taylor</t>
    <phoneticPr fontId="2" type="noConversion"/>
  </si>
  <si>
    <t>Xuesong Zhou</t>
  </si>
  <si>
    <t>Jeffrey Taylor</t>
  </si>
  <si>
    <t>Tie Shi</t>
  </si>
  <si>
    <t>Authors:</t>
    <phoneticPr fontId="2" type="noConversion"/>
  </si>
  <si>
    <t>Authors:</t>
    <phoneticPr fontId="2" type="noConversion"/>
  </si>
  <si>
    <t>zhou@eng.utah.edu</t>
  </si>
  <si>
    <t>jeffrey.taylor.d@gmail.com</t>
  </si>
  <si>
    <t>tie.shi1986@gmail.com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</si>
</sst>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5" fillId="2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1" xfId="0" applyBorder="1"/>
    <xf numFmtId="0" fontId="4" fillId="2" borderId="0" xfId="0" applyFont="1" applyFill="1" applyBorder="1"/>
    <xf numFmtId="0" fontId="0" fillId="0" borderId="0" xfId="0" applyBorder="1"/>
    <xf numFmtId="0" fontId="0" fillId="0" borderId="12" xfId="0" applyBorder="1"/>
    <xf numFmtId="2" fontId="0" fillId="3" borderId="13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8" xfId="0" applyBorder="1"/>
    <xf numFmtId="0" fontId="3" fillId="5" borderId="19" xfId="0" applyFont="1" applyFill="1" applyBorder="1"/>
    <xf numFmtId="0" fontId="0" fillId="3" borderId="7" xfId="0" applyFill="1" applyBorder="1"/>
    <xf numFmtId="0" fontId="0" fillId="0" borderId="22" xfId="0" applyBorder="1"/>
    <xf numFmtId="0" fontId="3" fillId="6" borderId="23" xfId="0" applyFont="1" applyFill="1" applyBorder="1"/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24" xfId="0" applyBorder="1"/>
    <xf numFmtId="0" fontId="0" fillId="0" borderId="9" xfId="0" applyFill="1" applyBorder="1"/>
    <xf numFmtId="0" fontId="0" fillId="7" borderId="25" xfId="0" applyFont="1" applyFill="1" applyBorder="1"/>
    <xf numFmtId="0" fontId="0" fillId="0" borderId="26" xfId="0" applyBorder="1"/>
    <xf numFmtId="0" fontId="0" fillId="0" borderId="1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9" xfId="0" applyBorder="1"/>
    <xf numFmtId="0" fontId="0" fillId="0" borderId="25" xfId="0" applyBorder="1"/>
    <xf numFmtId="164" fontId="0" fillId="5" borderId="24" xfId="0" applyNumberFormat="1" applyFont="1" applyFill="1" applyBorder="1"/>
    <xf numFmtId="0" fontId="4" fillId="0" borderId="0" xfId="0" applyFon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0" fillId="2" borderId="0" xfId="0" applyFill="1"/>
    <xf numFmtId="0" fontId="0" fillId="4" borderId="0" xfId="0" applyFill="1"/>
    <xf numFmtId="0" fontId="0" fillId="0" borderId="0" xfId="0" applyFill="1"/>
    <xf numFmtId="165" fontId="0" fillId="0" borderId="0" xfId="0" applyNumberFormat="1" applyFill="1"/>
    <xf numFmtId="165" fontId="0" fillId="8" borderId="0" xfId="0" applyNumberFormat="1" applyFill="1"/>
    <xf numFmtId="2" fontId="0" fillId="0" borderId="0" xfId="0" applyNumberFormat="1" applyFill="1"/>
    <xf numFmtId="43" fontId="0" fillId="0" borderId="0" xfId="1" applyFont="1" applyFill="1" applyAlignment="1"/>
    <xf numFmtId="165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left"/>
    </xf>
    <xf numFmtId="0" fontId="12" fillId="8" borderId="30" xfId="0" applyFont="1" applyFill="1" applyBorder="1"/>
    <xf numFmtId="0" fontId="0" fillId="9" borderId="0" xfId="0" applyFill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6" fillId="0" borderId="20" xfId="0" applyNumberFormat="1" applyFont="1" applyBorder="1" applyAlignment="1">
      <alignment horizontal="left"/>
    </xf>
    <xf numFmtId="0" fontId="6" fillId="0" borderId="2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3</xdr:col>
      <xdr:colOff>1070652</xdr:colOff>
      <xdr:row>33</xdr:row>
      <xdr:rowOff>104775</xdr:rowOff>
    </xdr:to>
    <xdr:pic>
      <xdr:nvPicPr>
        <xdr:cNvPr id="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05025"/>
          <a:ext cx="4739528" cy="38671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 macro="" textlink="">
      <xdr:nvSpPr>
        <xdr:cNvPr id="3" name="TextBox 2"/>
        <xdr:cNvSpPr txBox="1"/>
      </xdr:nvSpPr>
      <xdr:spPr>
        <a:xfrm>
          <a:off x="21135974" y="3857625"/>
          <a:ext cx="13430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 macro="" textlink="">
      <xdr:nvSpPr>
        <xdr:cNvPr id="4" name="Bent-Up Arrow 11"/>
        <xdr:cNvSpPr/>
      </xdr:nvSpPr>
      <xdr:spPr>
        <a:xfrm rot="16200000" flipH="1">
          <a:off x="20866892" y="5098258"/>
          <a:ext cx="1676404" cy="7762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163349</xdr:rowOff>
    </xdr:from>
    <xdr:to>
      <xdr:col>19</xdr:col>
      <xdr:colOff>63499</xdr:colOff>
      <xdr:row>43</xdr:row>
      <xdr:rowOff>68099</xdr:rowOff>
    </xdr:to>
    <xdr:sp macro="" textlink="">
      <xdr:nvSpPr>
        <xdr:cNvPr id="5" name="Left Arrow 12"/>
        <xdr:cNvSpPr/>
      </xdr:nvSpPr>
      <xdr:spPr>
        <a:xfrm>
          <a:off x="17415969" y="7542487"/>
          <a:ext cx="2792358" cy="25509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 macro="" textlink="">
      <xdr:nvSpPr>
        <xdr:cNvPr id="6" name="TextBox 5"/>
        <xdr:cNvSpPr txBox="1"/>
      </xdr:nvSpPr>
      <xdr:spPr>
        <a:xfrm>
          <a:off x="17698872" y="7871372"/>
          <a:ext cx="2287534" cy="79593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12</xdr:col>
      <xdr:colOff>1595601</xdr:colOff>
      <xdr:row>47</xdr:row>
      <xdr:rowOff>87588</xdr:rowOff>
    </xdr:from>
    <xdr:to>
      <xdr:col>13</xdr:col>
      <xdr:colOff>941551</xdr:colOff>
      <xdr:row>61</xdr:row>
      <xdr:rowOff>109486</xdr:rowOff>
    </xdr:to>
    <xdr:sp macro="" textlink="">
      <xdr:nvSpPr>
        <xdr:cNvPr id="7" name="Bent-Up Arrow 14"/>
        <xdr:cNvSpPr/>
      </xdr:nvSpPr>
      <xdr:spPr>
        <a:xfrm rot="5400000">
          <a:off x="11839136" y="9222501"/>
          <a:ext cx="2474312" cy="1064829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 macro="" textlink="">
      <xdr:nvSpPr>
        <xdr:cNvPr id="8" name="TextBox 7"/>
        <xdr:cNvSpPr txBox="1"/>
      </xdr:nvSpPr>
      <xdr:spPr>
        <a:xfrm>
          <a:off x="10952217" y="8714829"/>
          <a:ext cx="1466851" cy="75783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51</xdr:row>
      <xdr:rowOff>85725</xdr:rowOff>
    </xdr:from>
    <xdr:to>
      <xdr:col>20</xdr:col>
      <xdr:colOff>295275</xdr:colOff>
      <xdr:row>60</xdr:row>
      <xdr:rowOff>123825</xdr:rowOff>
    </xdr:to>
    <xdr:sp macro="" textlink="">
      <xdr:nvSpPr>
        <xdr:cNvPr id="9" name="Up Arrow 16"/>
        <xdr:cNvSpPr/>
      </xdr:nvSpPr>
      <xdr:spPr>
        <a:xfrm>
          <a:off x="20697825" y="9039225"/>
          <a:ext cx="409575" cy="15811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 macro="" textlink="">
      <xdr:nvSpPr>
        <xdr:cNvPr id="10" name="TextBox 9"/>
        <xdr:cNvSpPr txBox="1"/>
      </xdr:nvSpPr>
      <xdr:spPr>
        <a:xfrm>
          <a:off x="21174075" y="9620250"/>
          <a:ext cx="1695451" cy="5524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47</xdr:row>
          <xdr:rowOff>30480</xdr:rowOff>
        </xdr:from>
        <xdr:to>
          <xdr:col>3</xdr:col>
          <xdr:colOff>685800</xdr:colOff>
          <xdr:row>51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525780</xdr:colOff>
          <xdr:row>14</xdr:row>
          <xdr:rowOff>60960</xdr:rowOff>
        </xdr:from>
        <xdr:to>
          <xdr:col>13</xdr:col>
          <xdr:colOff>2316480</xdr:colOff>
          <xdr:row>30</xdr:row>
          <xdr:rowOff>160020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1280947</xdr:colOff>
      <xdr:row>10</xdr:row>
      <xdr:rowOff>164224</xdr:rowOff>
    </xdr:from>
    <xdr:to>
      <xdr:col>7</xdr:col>
      <xdr:colOff>96630</xdr:colOff>
      <xdr:row>30</xdr:row>
      <xdr:rowOff>22408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499" y="2113017"/>
          <a:ext cx="3315425" cy="3361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6</xdr:col>
      <xdr:colOff>238125</xdr:colOff>
      <xdr:row>33</xdr:row>
      <xdr:rowOff>104775</xdr:rowOff>
    </xdr:to>
    <xdr:pic>
      <xdr:nvPicPr>
        <xdr:cNvPr id="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05025"/>
          <a:ext cx="5819775" cy="38671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 macro="" textlink="">
      <xdr:nvSpPr>
        <xdr:cNvPr id="3" name="TextBox 2"/>
        <xdr:cNvSpPr txBox="1"/>
      </xdr:nvSpPr>
      <xdr:spPr>
        <a:xfrm>
          <a:off x="21135974" y="3857625"/>
          <a:ext cx="13430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/>
            <a:t>建立关联矩阵，进行配流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 macro="" textlink="">
      <xdr:nvSpPr>
        <xdr:cNvPr id="4" name="Bent-Up Arrow 11"/>
        <xdr:cNvSpPr/>
      </xdr:nvSpPr>
      <xdr:spPr>
        <a:xfrm rot="16200000" flipH="1">
          <a:off x="20866892" y="5098258"/>
          <a:ext cx="1676404" cy="7762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76200</xdr:rowOff>
    </xdr:from>
    <xdr:to>
      <xdr:col>19</xdr:col>
      <xdr:colOff>63499</xdr:colOff>
      <xdr:row>43</xdr:row>
      <xdr:rowOff>68099</xdr:rowOff>
    </xdr:to>
    <xdr:sp macro="" textlink="">
      <xdr:nvSpPr>
        <xdr:cNvPr id="5" name="Left Arrow 12"/>
        <xdr:cNvSpPr/>
      </xdr:nvSpPr>
      <xdr:spPr>
        <a:xfrm>
          <a:off x="18193516" y="7315200"/>
          <a:ext cx="2777358" cy="33479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 macro="" textlink="">
      <xdr:nvSpPr>
        <xdr:cNvPr id="6" name="TextBox 5"/>
        <xdr:cNvSpPr txBox="1"/>
      </xdr:nvSpPr>
      <xdr:spPr>
        <a:xfrm>
          <a:off x="17695369" y="7723789"/>
          <a:ext cx="2276476" cy="7773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 baseline="0"/>
            <a:t>得到路段流量后</a:t>
          </a:r>
          <a:r>
            <a:rPr lang="en-US" sz="1100" b="1" baseline="0"/>
            <a:t>, </a:t>
          </a:r>
          <a:r>
            <a:rPr lang="zh-CN" altLang="en-US" sz="1100" b="1" baseline="0"/>
            <a:t>用</a:t>
          </a:r>
          <a:r>
            <a:rPr lang="en-US" altLang="zh-CN" sz="1100" b="1" baseline="0"/>
            <a:t>BPR</a:t>
          </a:r>
          <a:r>
            <a:rPr lang="zh-CN" altLang="en-US" sz="1100" b="1" baseline="0"/>
            <a:t>函数计算各路段的旅行时间</a:t>
          </a:r>
          <a:endParaRPr lang="en-US" sz="1100" b="1"/>
        </a:p>
      </xdr:txBody>
    </xdr:sp>
    <xdr:clientData/>
  </xdr:twoCellAnchor>
  <xdr:twoCellAnchor>
    <xdr:from>
      <xdr:col>12</xdr:col>
      <xdr:colOff>1576552</xdr:colOff>
      <xdr:row>48</xdr:row>
      <xdr:rowOff>106639</xdr:rowOff>
    </xdr:from>
    <xdr:to>
      <xdr:col>13</xdr:col>
      <xdr:colOff>323850</xdr:colOff>
      <xdr:row>62</xdr:row>
      <xdr:rowOff>76200</xdr:rowOff>
    </xdr:to>
    <xdr:sp macro="" textlink="">
      <xdr:nvSpPr>
        <xdr:cNvPr id="7" name="Bent-Up Arrow 14"/>
        <xdr:cNvSpPr/>
      </xdr:nvSpPr>
      <xdr:spPr>
        <a:xfrm rot="5400000">
          <a:off x="12100145" y="9252171"/>
          <a:ext cx="2369861" cy="95709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 macro="" textlink="">
      <xdr:nvSpPr>
        <xdr:cNvPr id="8" name="TextBox 7"/>
        <xdr:cNvSpPr txBox="1"/>
      </xdr:nvSpPr>
      <xdr:spPr>
        <a:xfrm>
          <a:off x="10938641" y="8548634"/>
          <a:ext cx="1466851" cy="7429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/>
            <a:t>得到各路段旅行时间后，计算各路径旅行时间</a:t>
          </a:r>
          <a:endParaRPr lang="en-US" sz="1100" b="1"/>
        </a:p>
      </xdr:txBody>
    </xdr:sp>
    <xdr:clientData/>
  </xdr:twoCellAnchor>
  <xdr:twoCellAnchor>
    <xdr:from>
      <xdr:col>19</xdr:col>
      <xdr:colOff>1123950</xdr:colOff>
      <xdr:row>48</xdr:row>
      <xdr:rowOff>9525</xdr:rowOff>
    </xdr:from>
    <xdr:to>
      <xdr:col>20</xdr:col>
      <xdr:colOff>323850</xdr:colOff>
      <xdr:row>62</xdr:row>
      <xdr:rowOff>114300</xdr:rowOff>
    </xdr:to>
    <xdr:sp macro="" textlink="">
      <xdr:nvSpPr>
        <xdr:cNvPr id="9" name="Up Arrow 16"/>
        <xdr:cNvSpPr/>
      </xdr:nvSpPr>
      <xdr:spPr>
        <a:xfrm>
          <a:off x="22031325" y="8448675"/>
          <a:ext cx="457200" cy="25050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 macro="" textlink="">
      <xdr:nvSpPr>
        <xdr:cNvPr id="10" name="TextBox 9"/>
        <xdr:cNvSpPr txBox="1"/>
      </xdr:nvSpPr>
      <xdr:spPr>
        <a:xfrm>
          <a:off x="21174075" y="9620250"/>
          <a:ext cx="1695451" cy="5524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/>
            <a:t>回顶部，查看各路径旅行时间结果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47</xdr:row>
          <xdr:rowOff>30480</xdr:rowOff>
        </xdr:from>
        <xdr:to>
          <xdr:col>3</xdr:col>
          <xdr:colOff>259080</xdr:colOff>
          <xdr:row>51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144780</xdr:colOff>
          <xdr:row>14</xdr:row>
          <xdr:rowOff>45720</xdr:rowOff>
        </xdr:from>
        <xdr:to>
          <xdr:col>13</xdr:col>
          <xdr:colOff>2255520</xdr:colOff>
          <xdr:row>30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781050</xdr:colOff>
      <xdr:row>11</xdr:row>
      <xdr:rowOff>66675</xdr:rowOff>
    </xdr:from>
    <xdr:to>
      <xdr:col>9</xdr:col>
      <xdr:colOff>848450</xdr:colOff>
      <xdr:row>30</xdr:row>
      <xdr:rowOff>170758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1225" y="2162175"/>
          <a:ext cx="3315425" cy="3361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hyperlink" Target="mailto:tie.shi1986@gmail.com" TargetMode="External"/><Relationship Id="rId6" Type="http://schemas.openxmlformats.org/officeDocument/2006/relationships/oleObject" Target="../embeddings/Microsoft_Visio_2003-2010_Drawing1.vsd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hyperlink" Target="mailto:tie.shi1986@gmail.com" TargetMode="External"/><Relationship Id="rId6" Type="http://schemas.openxmlformats.org/officeDocument/2006/relationships/oleObject" Target="../embeddings/Microsoft_Visio_2003-2010_Drawing2.vsd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1"/>
  <sheetViews>
    <sheetView zoomScale="87" zoomScaleNormal="87" workbookViewId="0">
      <selection activeCell="D3" sqref="D1:D3"/>
    </sheetView>
  </sheetViews>
  <sheetFormatPr defaultRowHeight="14.4"/>
  <cols>
    <col min="1" max="1" width="10.33203125" customWidth="1"/>
    <col min="2" max="2" width="12.44140625" customWidth="1"/>
    <col min="3" max="3" width="14.33203125" customWidth="1"/>
    <col min="4" max="4" width="16.77734375" bestFit="1" customWidth="1"/>
    <col min="5" max="5" width="11.109375" customWidth="1"/>
    <col min="6" max="6" width="12.88671875" customWidth="1"/>
    <col min="7" max="7" width="18.21875" bestFit="1" customWidth="1"/>
    <col min="8" max="8" width="10.6640625" customWidth="1"/>
    <col min="9" max="9" width="13.77734375" bestFit="1" customWidth="1"/>
    <col min="10" max="10" width="11.6640625" customWidth="1"/>
    <col min="11" max="11" width="10.6640625" bestFit="1" customWidth="1"/>
    <col min="13" max="13" width="22.6640625" bestFit="1" customWidth="1"/>
    <col min="14" max="14" width="31.77734375" bestFit="1" customWidth="1"/>
    <col min="15" max="15" width="22.6640625" customWidth="1"/>
    <col min="16" max="16" width="16.6640625" customWidth="1"/>
    <col min="24" max="24" width="24.21875" customWidth="1"/>
    <col min="25" max="25" width="9" style="42"/>
  </cols>
  <sheetData>
    <row r="1" spans="1:24" customFormat="1" ht="21" customHeight="1" thickTop="1" thickBot="1">
      <c r="B1" s="49" t="s">
        <v>107</v>
      </c>
      <c r="C1" s="49" t="s">
        <v>100</v>
      </c>
      <c r="D1" t="s">
        <v>108</v>
      </c>
      <c r="G1" s="1" t="s">
        <v>0</v>
      </c>
      <c r="M1" s="2" t="s">
        <v>1</v>
      </c>
      <c r="N1" s="3" t="s">
        <v>2</v>
      </c>
      <c r="R1" t="s">
        <v>76</v>
      </c>
    </row>
    <row r="2" spans="1:24" customFormat="1" ht="22.2" thickTop="1" thickBot="1">
      <c r="B2" s="49"/>
      <c r="C2" s="49" t="s">
        <v>102</v>
      </c>
      <c r="D2" t="s">
        <v>109</v>
      </c>
      <c r="G2" s="51" t="s">
        <v>3</v>
      </c>
      <c r="H2" s="52"/>
      <c r="I2" s="53"/>
      <c r="M2" s="2">
        <v>0</v>
      </c>
      <c r="N2" s="3" t="s">
        <v>4</v>
      </c>
      <c r="P2" s="4" t="s">
        <v>5</v>
      </c>
      <c r="Q2" s="5" t="s">
        <v>6</v>
      </c>
      <c r="R2" s="6">
        <v>0</v>
      </c>
      <c r="S2" s="5"/>
      <c r="T2" s="5"/>
      <c r="U2" s="5"/>
      <c r="V2" s="5"/>
      <c r="W2" s="5"/>
      <c r="X2" s="7"/>
    </row>
    <row r="3" spans="1:24" customFormat="1" ht="22.2" thickTop="1" thickBot="1">
      <c r="B3" s="49"/>
      <c r="C3" s="49" t="s">
        <v>101</v>
      </c>
      <c r="D3" t="s">
        <v>110</v>
      </c>
      <c r="G3" s="8"/>
      <c r="H3" s="9" t="s">
        <v>7</v>
      </c>
      <c r="I3" s="10"/>
      <c r="M3" s="2">
        <v>0.65</v>
      </c>
      <c r="N3" s="3" t="s">
        <v>8</v>
      </c>
      <c r="P3" s="11" t="s">
        <v>9</v>
      </c>
      <c r="Q3" s="12">
        <v>4000</v>
      </c>
      <c r="R3" s="13"/>
      <c r="S3" s="13"/>
      <c r="T3" s="13"/>
      <c r="U3" s="13"/>
      <c r="V3" s="13"/>
      <c r="W3" s="13"/>
      <c r="X3" s="14"/>
    </row>
    <row r="4" spans="1:24" customFormat="1" ht="15" thickTop="1">
      <c r="G4" s="15"/>
      <c r="H4" s="54" t="s">
        <v>10</v>
      </c>
      <c r="I4" s="55"/>
      <c r="M4" s="2">
        <v>0.75</v>
      </c>
      <c r="N4" s="3" t="s">
        <v>11</v>
      </c>
      <c r="P4" s="11"/>
      <c r="Q4" s="13"/>
      <c r="R4" s="13"/>
      <c r="S4" s="13"/>
      <c r="T4" s="13"/>
      <c r="X4" s="14"/>
    </row>
    <row r="5" spans="1:24" customFormat="1">
      <c r="G5" s="16"/>
      <c r="H5" s="17" t="s">
        <v>12</v>
      </c>
      <c r="I5" s="18"/>
      <c r="M5" s="2">
        <v>0.85</v>
      </c>
      <c r="N5" s="3" t="s">
        <v>13</v>
      </c>
      <c r="P5" s="19" t="s">
        <v>14</v>
      </c>
      <c r="Q5" s="5">
        <v>1</v>
      </c>
      <c r="R5" s="5">
        <v>2</v>
      </c>
      <c r="S5" s="7">
        <v>3</v>
      </c>
      <c r="X5" s="14"/>
    </row>
    <row r="6" spans="1:24" customFormat="1" ht="15" thickBot="1">
      <c r="G6" s="20"/>
      <c r="H6" s="56" t="s">
        <v>15</v>
      </c>
      <c r="I6" s="57"/>
      <c r="M6" s="2">
        <v>0.95</v>
      </c>
      <c r="N6" s="3" t="s">
        <v>16</v>
      </c>
      <c r="P6" s="19" t="s">
        <v>17</v>
      </c>
      <c r="Q6" s="21">
        <v>0</v>
      </c>
      <c r="R6" s="21">
        <v>0</v>
      </c>
      <c r="S6" s="7"/>
      <c r="T6" s="13"/>
      <c r="U6" s="58" t="s">
        <v>18</v>
      </c>
      <c r="V6" s="59"/>
      <c r="W6" s="60"/>
      <c r="X6" s="14"/>
    </row>
    <row r="7" spans="1:24" customFormat="1" ht="15" thickBot="1">
      <c r="F7" s="22"/>
      <c r="G7" s="23"/>
      <c r="H7" s="24"/>
      <c r="I7" s="25"/>
      <c r="M7" s="2">
        <v>1</v>
      </c>
      <c r="N7" s="3" t="s">
        <v>19</v>
      </c>
      <c r="P7" s="26" t="s">
        <v>20</v>
      </c>
      <c r="Q7" s="27"/>
      <c r="R7" s="27"/>
      <c r="S7" s="28">
        <f>Q3-Q6-R6</f>
        <v>4000</v>
      </c>
      <c r="T7" s="4" t="s">
        <v>21</v>
      </c>
      <c r="U7" s="11">
        <v>1</v>
      </c>
      <c r="V7" s="13">
        <v>2</v>
      </c>
      <c r="W7" s="14">
        <v>3</v>
      </c>
      <c r="X7" s="19" t="s">
        <v>22</v>
      </c>
    </row>
    <row r="8" spans="1:24" customFormat="1" ht="15" thickBot="1">
      <c r="F8" s="22"/>
      <c r="G8" s="29" t="s">
        <v>23</v>
      </c>
      <c r="H8" s="61">
        <f>X8</f>
        <v>0</v>
      </c>
      <c r="I8" s="62"/>
      <c r="P8" s="30" t="s">
        <v>24</v>
      </c>
      <c r="Q8" s="31">
        <f>SUM(Q57:Q61)</f>
        <v>85.009999999999991</v>
      </c>
      <c r="R8" s="31">
        <f>SUM(R57:R61)</f>
        <v>85.009999999999991</v>
      </c>
      <c r="S8" s="32">
        <f>SUM(S57:S61)</f>
        <v>80.02103637741223</v>
      </c>
      <c r="T8" s="33">
        <f>MIN(Q8:S8)</f>
        <v>80.02103637741223</v>
      </c>
      <c r="U8" s="33">
        <f>(Q8-$T$8)*Q6</f>
        <v>0</v>
      </c>
      <c r="V8" s="34">
        <f t="shared" ref="V8" si="0">(R8-$T$8)*R6</f>
        <v>0</v>
      </c>
      <c r="W8" s="35">
        <f>(S8-$T$8)*S7</f>
        <v>0</v>
      </c>
      <c r="X8" s="36">
        <f>SUM(U8:W8)</f>
        <v>0</v>
      </c>
    </row>
    <row r="10" spans="1:24" customFormat="1">
      <c r="A10" s="37" t="s">
        <v>25</v>
      </c>
    </row>
    <row r="14" spans="1:24" customFormat="1">
      <c r="Q14" t="s">
        <v>26</v>
      </c>
      <c r="R14" t="s">
        <v>27</v>
      </c>
      <c r="S14" t="s">
        <v>28</v>
      </c>
    </row>
    <row r="15" spans="1:24" customFormat="1">
      <c r="I15" s="4" t="s">
        <v>29</v>
      </c>
      <c r="J15" s="7" t="s">
        <v>30</v>
      </c>
      <c r="Q15" s="37" t="s">
        <v>31</v>
      </c>
    </row>
    <row r="16" spans="1:24" customFormat="1">
      <c r="I16" s="11">
        <v>1</v>
      </c>
      <c r="J16" s="14">
        <v>3</v>
      </c>
      <c r="P16" t="s">
        <v>32</v>
      </c>
      <c r="Q16" s="4">
        <v>1</v>
      </c>
      <c r="R16" s="5"/>
      <c r="S16" s="7">
        <v>1</v>
      </c>
    </row>
    <row r="17" spans="9:19" customFormat="1">
      <c r="I17" s="11">
        <v>1</v>
      </c>
      <c r="J17" s="14">
        <v>4</v>
      </c>
      <c r="P17" t="s">
        <v>33</v>
      </c>
      <c r="Q17" s="11"/>
      <c r="R17" s="13">
        <v>1</v>
      </c>
      <c r="S17" s="14"/>
    </row>
    <row r="18" spans="9:19" customFormat="1">
      <c r="I18" s="11">
        <v>3</v>
      </c>
      <c r="J18" s="14">
        <v>2</v>
      </c>
      <c r="M18" s="38">
        <f>$K$37</f>
        <v>4000</v>
      </c>
      <c r="N18" s="38">
        <f>$K$39</f>
        <v>0</v>
      </c>
      <c r="P18" t="s">
        <v>34</v>
      </c>
      <c r="Q18" s="11">
        <v>1</v>
      </c>
      <c r="R18" s="13"/>
      <c r="S18" s="14"/>
    </row>
    <row r="19" spans="9:19" customFormat="1">
      <c r="I19" s="11">
        <v>3</v>
      </c>
      <c r="J19" s="14">
        <v>4</v>
      </c>
      <c r="P19" t="s">
        <v>35</v>
      </c>
      <c r="Q19" s="11"/>
      <c r="R19" s="13"/>
      <c r="S19" s="14">
        <v>1</v>
      </c>
    </row>
    <row r="20" spans="9:19" customFormat="1">
      <c r="I20" s="33">
        <v>4</v>
      </c>
      <c r="J20" s="35">
        <v>2</v>
      </c>
      <c r="P20" t="s">
        <v>36</v>
      </c>
      <c r="Q20" s="33"/>
      <c r="R20" s="34">
        <v>1</v>
      </c>
      <c r="S20" s="35">
        <v>1</v>
      </c>
    </row>
    <row r="23" spans="9:19" customFormat="1">
      <c r="N23" s="39">
        <f>$K$40</f>
        <v>4000</v>
      </c>
    </row>
    <row r="25" spans="9:19" customFormat="1">
      <c r="O25" s="13"/>
    </row>
    <row r="28" spans="9:19" customFormat="1">
      <c r="N28" s="38"/>
      <c r="O28" s="13"/>
    </row>
    <row r="29" spans="9:19" customFormat="1">
      <c r="M29" s="38">
        <f>$K$38</f>
        <v>0</v>
      </c>
      <c r="N29" s="38">
        <f>$K$41</f>
        <v>4000</v>
      </c>
    </row>
    <row r="33" spans="1:19" customFormat="1">
      <c r="L33" s="40" t="s">
        <v>37</v>
      </c>
      <c r="M33" s="40">
        <v>10</v>
      </c>
    </row>
    <row r="36" spans="1:19" customFormat="1">
      <c r="A36" s="40" t="s">
        <v>38</v>
      </c>
      <c r="B36" s="40" t="s">
        <v>39</v>
      </c>
      <c r="C36" s="40" t="s">
        <v>40</v>
      </c>
      <c r="D36" s="40" t="s">
        <v>41</v>
      </c>
      <c r="E36" s="40" t="s">
        <v>42</v>
      </c>
      <c r="F36" s="40" t="s">
        <v>43</v>
      </c>
      <c r="G36" t="s">
        <v>44</v>
      </c>
      <c r="H36" t="s">
        <v>29</v>
      </c>
      <c r="I36" t="s">
        <v>30</v>
      </c>
      <c r="J36" s="41" t="s">
        <v>45</v>
      </c>
      <c r="K36" t="s">
        <v>46</v>
      </c>
      <c r="L36" t="s">
        <v>47</v>
      </c>
      <c r="M36" t="s">
        <v>48</v>
      </c>
      <c r="N36" t="s">
        <v>49</v>
      </c>
      <c r="O36" t="s">
        <v>50</v>
      </c>
      <c r="Q36" t="s">
        <v>51</v>
      </c>
    </row>
    <row r="37" spans="1:19" customFormat="1">
      <c r="A37" s="42">
        <v>100</v>
      </c>
      <c r="B37" s="42">
        <v>1</v>
      </c>
      <c r="C37" s="42">
        <v>0.01</v>
      </c>
      <c r="D37" s="42">
        <v>1</v>
      </c>
      <c r="E37" s="42">
        <v>60</v>
      </c>
      <c r="F37" s="42">
        <v>100</v>
      </c>
      <c r="G37">
        <v>1</v>
      </c>
      <c r="H37" s="42">
        <v>1</v>
      </c>
      <c r="I37" s="42">
        <v>3</v>
      </c>
      <c r="J37" s="43">
        <f>C37/E37*60</f>
        <v>0.01</v>
      </c>
      <c r="K37" s="44">
        <f>SUM(Q37:S37)</f>
        <v>4000</v>
      </c>
      <c r="L37" s="42">
        <v>0</v>
      </c>
      <c r="M37" s="45">
        <f>J37*(1+A37*POWER(K37/(D37*F37),B37))+L37/$M$33</f>
        <v>40.01</v>
      </c>
      <c r="N37" s="46">
        <f t="shared" ref="N37:N41" si="1">K37/(F37*D37)</f>
        <v>40</v>
      </c>
      <c r="O37" s="45" t="str">
        <f>VLOOKUP(N37,$M$2:$N$7,2,TRUE)</f>
        <v>F</v>
      </c>
      <c r="Q37" s="4">
        <f t="shared" ref="Q37:R41" si="2">Q$6*Q16</f>
        <v>0</v>
      </c>
      <c r="R37" s="5">
        <f t="shared" si="2"/>
        <v>0</v>
      </c>
      <c r="S37" s="7">
        <f t="shared" ref="S37:S41" si="3">S$7*S16</f>
        <v>4000</v>
      </c>
    </row>
    <row r="38" spans="1:19" customFormat="1">
      <c r="A38" s="42">
        <v>0</v>
      </c>
      <c r="B38" s="42">
        <v>1</v>
      </c>
      <c r="C38" s="42">
        <v>45</v>
      </c>
      <c r="D38" s="42">
        <v>3</v>
      </c>
      <c r="E38" s="42">
        <v>60</v>
      </c>
      <c r="F38" s="42">
        <v>1900</v>
      </c>
      <c r="G38">
        <v>1</v>
      </c>
      <c r="H38" s="42">
        <v>1</v>
      </c>
      <c r="I38" s="42">
        <v>4</v>
      </c>
      <c r="J38" s="43">
        <f t="shared" ref="J38:J41" si="4">C38/E38*60</f>
        <v>45</v>
      </c>
      <c r="K38" s="44">
        <f>SUM(Q38:S38)</f>
        <v>0</v>
      </c>
      <c r="L38" s="42">
        <v>0</v>
      </c>
      <c r="M38" s="45">
        <f t="shared" ref="M38:M41" si="5">J38*(1+A38*POWER(K38/(D38*F38),B38))+L38/$M$33</f>
        <v>45</v>
      </c>
      <c r="N38" s="46">
        <f t="shared" si="1"/>
        <v>0</v>
      </c>
      <c r="O38" s="45" t="str">
        <f t="shared" ref="O38:O41" si="6">VLOOKUP(N38,$M$2:$N$7,2,TRUE)</f>
        <v>A</v>
      </c>
      <c r="Q38" s="11">
        <f t="shared" si="2"/>
        <v>0</v>
      </c>
      <c r="R38" s="13">
        <f>R$6*R17</f>
        <v>0</v>
      </c>
      <c r="S38" s="14">
        <f t="shared" si="3"/>
        <v>0</v>
      </c>
    </row>
    <row r="39" spans="1:19" customFormat="1">
      <c r="A39" s="42">
        <v>0</v>
      </c>
      <c r="B39" s="42">
        <v>1</v>
      </c>
      <c r="C39" s="42">
        <v>45</v>
      </c>
      <c r="D39" s="42">
        <v>3</v>
      </c>
      <c r="E39" s="42">
        <v>60</v>
      </c>
      <c r="F39" s="42">
        <v>1900</v>
      </c>
      <c r="G39">
        <v>1</v>
      </c>
      <c r="H39" s="42">
        <v>3</v>
      </c>
      <c r="I39" s="42">
        <v>2</v>
      </c>
      <c r="J39" s="43">
        <f t="shared" si="4"/>
        <v>45</v>
      </c>
      <c r="K39" s="44">
        <f>SUM(Q39:S39)</f>
        <v>0</v>
      </c>
      <c r="L39" s="42">
        <v>0</v>
      </c>
      <c r="M39" s="45">
        <f t="shared" si="5"/>
        <v>45</v>
      </c>
      <c r="N39" s="46">
        <f t="shared" si="1"/>
        <v>0</v>
      </c>
      <c r="O39" s="45" t="str">
        <f t="shared" si="6"/>
        <v>A</v>
      </c>
      <c r="Q39" s="11">
        <f t="shared" si="2"/>
        <v>0</v>
      </c>
      <c r="R39" s="13">
        <f t="shared" si="2"/>
        <v>0</v>
      </c>
      <c r="S39" s="14">
        <f t="shared" si="3"/>
        <v>0</v>
      </c>
    </row>
    <row r="40" spans="1:19" customFormat="1">
      <c r="A40" s="42">
        <v>0.15</v>
      </c>
      <c r="B40" s="42">
        <v>4</v>
      </c>
      <c r="C40" s="42">
        <v>1E-3</v>
      </c>
      <c r="D40" s="42">
        <v>3</v>
      </c>
      <c r="E40" s="42">
        <v>65</v>
      </c>
      <c r="F40" s="42">
        <v>1900</v>
      </c>
      <c r="G40">
        <v>1</v>
      </c>
      <c r="H40" s="42">
        <v>3</v>
      </c>
      <c r="I40" s="42">
        <v>4</v>
      </c>
      <c r="J40" s="43">
        <v>1E-3</v>
      </c>
      <c r="K40" s="44">
        <f>SUM(Q40:S40)</f>
        <v>4000</v>
      </c>
      <c r="L40" s="42">
        <v>0</v>
      </c>
      <c r="M40" s="45">
        <f t="shared" si="5"/>
        <v>1.0363774122416245E-3</v>
      </c>
      <c r="N40" s="46">
        <f t="shared" si="1"/>
        <v>0.70175438596491224</v>
      </c>
      <c r="O40" s="45" t="str">
        <f t="shared" si="6"/>
        <v>B</v>
      </c>
      <c r="Q40" s="11">
        <f t="shared" si="2"/>
        <v>0</v>
      </c>
      <c r="R40" s="13">
        <f t="shared" si="2"/>
        <v>0</v>
      </c>
      <c r="S40" s="14">
        <f t="shared" si="3"/>
        <v>4000</v>
      </c>
    </row>
    <row r="41" spans="1:19" customFormat="1">
      <c r="A41" s="42">
        <v>100</v>
      </c>
      <c r="B41" s="42">
        <v>1</v>
      </c>
      <c r="C41" s="42">
        <v>0.01</v>
      </c>
      <c r="D41" s="42">
        <v>1</v>
      </c>
      <c r="E41" s="42">
        <v>60</v>
      </c>
      <c r="F41" s="42">
        <v>100</v>
      </c>
      <c r="G41">
        <v>1</v>
      </c>
      <c r="H41" s="42">
        <v>4</v>
      </c>
      <c r="I41" s="42">
        <v>2</v>
      </c>
      <c r="J41" s="43">
        <f t="shared" si="4"/>
        <v>0.01</v>
      </c>
      <c r="K41" s="44">
        <f>SUM(Q41:S41)</f>
        <v>4000</v>
      </c>
      <c r="L41" s="42">
        <v>0</v>
      </c>
      <c r="M41" s="45">
        <f t="shared" si="5"/>
        <v>40.01</v>
      </c>
      <c r="N41" s="46">
        <f t="shared" si="1"/>
        <v>40</v>
      </c>
      <c r="O41" s="45" t="str">
        <f t="shared" si="6"/>
        <v>F</v>
      </c>
      <c r="Q41" s="33">
        <f t="shared" si="2"/>
        <v>0</v>
      </c>
      <c r="R41" s="34">
        <f t="shared" si="2"/>
        <v>0</v>
      </c>
      <c r="S41" s="35">
        <f t="shared" si="3"/>
        <v>4000</v>
      </c>
    </row>
    <row r="42" spans="1:19" customFormat="1">
      <c r="L42" s="42"/>
    </row>
    <row r="43" spans="1:19" customFormat="1">
      <c r="L43" s="42"/>
    </row>
    <row r="46" spans="1:19" customFormat="1">
      <c r="B46" s="37" t="s">
        <v>52</v>
      </c>
    </row>
    <row r="56" spans="17:19" customFormat="1">
      <c r="Q56" t="s">
        <v>53</v>
      </c>
    </row>
    <row r="57" spans="17:19" customFormat="1">
      <c r="Q57" s="4">
        <f>$M37*Q16</f>
        <v>40.01</v>
      </c>
      <c r="R57" s="5">
        <f>$M37*R16</f>
        <v>0</v>
      </c>
      <c r="S57" s="7">
        <f>$M37*S16</f>
        <v>40.01</v>
      </c>
    </row>
    <row r="58" spans="17:19" customFormat="1">
      <c r="Q58" s="11">
        <f t="shared" ref="Q58:S61" si="7">$M38*Q17</f>
        <v>0</v>
      </c>
      <c r="R58" s="13">
        <f t="shared" si="7"/>
        <v>45</v>
      </c>
      <c r="S58" s="14">
        <f t="shared" si="7"/>
        <v>0</v>
      </c>
    </row>
    <row r="59" spans="17:19" customFormat="1">
      <c r="Q59" s="11">
        <f t="shared" si="7"/>
        <v>45</v>
      </c>
      <c r="R59" s="13">
        <f t="shared" si="7"/>
        <v>0</v>
      </c>
      <c r="S59" s="14">
        <f t="shared" si="7"/>
        <v>0</v>
      </c>
    </row>
    <row r="60" spans="17:19" customFormat="1">
      <c r="Q60" s="11">
        <f t="shared" si="7"/>
        <v>0</v>
      </c>
      <c r="R60" s="13">
        <f t="shared" si="7"/>
        <v>0</v>
      </c>
      <c r="S60" s="14">
        <f t="shared" si="7"/>
        <v>1.0363774122416245E-3</v>
      </c>
    </row>
    <row r="61" spans="17:19" customFormat="1">
      <c r="Q61" s="33">
        <f t="shared" si="7"/>
        <v>0</v>
      </c>
      <c r="R61" s="34">
        <f t="shared" si="7"/>
        <v>40.01</v>
      </c>
      <c r="S61" s="35">
        <f t="shared" si="7"/>
        <v>40.01</v>
      </c>
    </row>
  </sheetData>
  <mergeCells count="5">
    <mergeCell ref="G2:I2"/>
    <mergeCell ref="H4:I4"/>
    <mergeCell ref="H6:I6"/>
    <mergeCell ref="U6:W6"/>
    <mergeCell ref="H8:I8"/>
  </mergeCells>
  <phoneticPr fontId="2" type="noConversion"/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3" priority="2" operator="greaterThan">
      <formula>"C"</formula>
    </cfRule>
    <cfRule type="cellIs" dxfId="2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41">
    <cfRule type="dataBar" priority="4">
      <dataBar>
        <cfvo type="min"/>
        <cfvo type="max"/>
        <color rgb="FFFF555A"/>
      </dataBar>
    </cfRule>
  </conditionalFormatting>
  <hyperlinks>
    <hyperlink ref="D3" r:id="rId1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22860</xdr:colOff>
                <xdr:row>47</xdr:row>
                <xdr:rowOff>30480</xdr:rowOff>
              </from>
              <to>
                <xdr:col>3</xdr:col>
                <xdr:colOff>685800</xdr:colOff>
                <xdr:row>51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Visio.Drawing.11" shapeId="1026" r:id="rId6">
          <objectPr defaultSize="0" autoPict="0" r:id="rId7">
            <anchor moveWithCells="1">
              <from>
                <xdr:col>11</xdr:col>
                <xdr:colOff>525780</xdr:colOff>
                <xdr:row>14</xdr:row>
                <xdr:rowOff>60960</xdr:rowOff>
              </from>
              <to>
                <xdr:col>13</xdr:col>
                <xdr:colOff>2316480</xdr:colOff>
                <xdr:row>30</xdr:row>
                <xdr:rowOff>160020</xdr:rowOff>
              </to>
            </anchor>
          </objectPr>
        </oleObject>
      </mc:Choice>
      <mc:Fallback>
        <oleObject progId="Visio.Drawing.11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1"/>
  <sheetViews>
    <sheetView tabSelected="1" workbookViewId="0">
      <selection activeCell="E10" sqref="E10"/>
    </sheetView>
  </sheetViews>
  <sheetFormatPr defaultRowHeight="14.4"/>
  <cols>
    <col min="1" max="1" width="10.33203125" customWidth="1"/>
    <col min="2" max="2" width="14.6640625" customWidth="1"/>
    <col min="3" max="3" width="9.44140625" bestFit="1" customWidth="1"/>
    <col min="4" max="4" width="15.44140625" customWidth="1"/>
    <col min="5" max="5" width="11.109375" customWidth="1"/>
    <col min="6" max="6" width="12.88671875" customWidth="1"/>
    <col min="7" max="7" width="18.21875" bestFit="1" customWidth="1"/>
    <col min="8" max="8" width="10.6640625" customWidth="1"/>
    <col min="9" max="9" width="13.77734375" bestFit="1" customWidth="1"/>
    <col min="10" max="10" width="11.6640625" customWidth="1"/>
    <col min="11" max="11" width="10.6640625" bestFit="1" customWidth="1"/>
    <col min="12" max="12" width="14.109375" bestFit="1" customWidth="1"/>
    <col min="13" max="13" width="29" bestFit="1" customWidth="1"/>
    <col min="14" max="14" width="31.77734375" bestFit="1" customWidth="1"/>
    <col min="15" max="15" width="22.6640625" customWidth="1"/>
    <col min="16" max="16" width="16.6640625" customWidth="1"/>
    <col min="20" max="20" width="16.44140625" customWidth="1"/>
    <col min="24" max="24" width="24.21875" customWidth="1"/>
    <col min="25" max="25" width="9" style="42"/>
  </cols>
  <sheetData>
    <row r="1" spans="1:24" customFormat="1" ht="15" thickBot="1">
      <c r="G1" s="1" t="s">
        <v>74</v>
      </c>
      <c r="M1" s="2" t="s">
        <v>78</v>
      </c>
      <c r="N1" s="3" t="s">
        <v>58</v>
      </c>
      <c r="R1" t="s">
        <v>84</v>
      </c>
    </row>
    <row r="2" spans="1:24" customFormat="1" ht="21">
      <c r="G2" s="51" t="s">
        <v>73</v>
      </c>
      <c r="H2" s="52"/>
      <c r="I2" s="53"/>
      <c r="M2" s="2">
        <v>0</v>
      </c>
      <c r="N2" s="3" t="s">
        <v>4</v>
      </c>
      <c r="P2" s="4" t="s">
        <v>5</v>
      </c>
      <c r="Q2" s="5" t="s">
        <v>6</v>
      </c>
      <c r="R2" s="6">
        <v>0</v>
      </c>
      <c r="S2" s="5"/>
      <c r="T2" s="5"/>
      <c r="U2" s="5"/>
      <c r="V2" s="5"/>
      <c r="W2" s="5"/>
      <c r="X2" s="7"/>
    </row>
    <row r="3" spans="1:24" customFormat="1" ht="21">
      <c r="G3" s="8"/>
      <c r="H3" s="9" t="s">
        <v>54</v>
      </c>
      <c r="I3" s="10"/>
      <c r="M3" s="2">
        <v>0.65</v>
      </c>
      <c r="N3" s="3" t="s">
        <v>8</v>
      </c>
      <c r="P3" s="11" t="s">
        <v>75</v>
      </c>
      <c r="Q3" s="12">
        <v>4000</v>
      </c>
      <c r="R3" s="13"/>
      <c r="S3" s="13"/>
      <c r="T3" s="13"/>
      <c r="U3" s="13"/>
      <c r="V3" s="13"/>
      <c r="W3" s="13"/>
      <c r="X3" s="14"/>
    </row>
    <row r="4" spans="1:24" customFormat="1">
      <c r="G4" s="15"/>
      <c r="H4" s="54" t="s">
        <v>55</v>
      </c>
      <c r="I4" s="55"/>
      <c r="M4" s="2">
        <v>0.75</v>
      </c>
      <c r="N4" s="3" t="s">
        <v>11</v>
      </c>
      <c r="P4" s="11"/>
      <c r="Q4" s="13"/>
      <c r="R4" s="13"/>
      <c r="S4" s="13"/>
      <c r="T4" s="13"/>
      <c r="X4" s="14"/>
    </row>
    <row r="5" spans="1:24" customFormat="1">
      <c r="G5" s="16"/>
      <c r="H5" s="17" t="s">
        <v>56</v>
      </c>
      <c r="I5" s="18"/>
      <c r="M5" s="2">
        <v>0.85</v>
      </c>
      <c r="N5" s="3" t="s">
        <v>13</v>
      </c>
      <c r="P5" s="19" t="s">
        <v>59</v>
      </c>
      <c r="Q5" s="5">
        <v>1</v>
      </c>
      <c r="R5" s="5">
        <v>2</v>
      </c>
      <c r="S5" s="7">
        <v>3</v>
      </c>
      <c r="X5" s="14"/>
    </row>
    <row r="6" spans="1:24" customFormat="1" ht="15" thickBot="1">
      <c r="G6" s="20"/>
      <c r="H6" s="56" t="s">
        <v>57</v>
      </c>
      <c r="I6" s="57"/>
      <c r="M6" s="2">
        <v>0.95</v>
      </c>
      <c r="N6" s="3" t="s">
        <v>16</v>
      </c>
      <c r="P6" s="19" t="s">
        <v>79</v>
      </c>
      <c r="Q6" s="21">
        <v>0</v>
      </c>
      <c r="R6" s="21">
        <v>0</v>
      </c>
      <c r="S6" s="7"/>
      <c r="T6" s="13"/>
      <c r="U6" s="58" t="s">
        <v>18</v>
      </c>
      <c r="V6" s="59"/>
      <c r="W6" s="60"/>
      <c r="X6" s="14"/>
    </row>
    <row r="7" spans="1:24" customFormat="1" ht="15" thickBot="1">
      <c r="F7" s="22"/>
      <c r="G7" s="23"/>
      <c r="H7" s="24"/>
      <c r="I7" s="25"/>
      <c r="M7" s="2">
        <v>1</v>
      </c>
      <c r="N7" s="3" t="s">
        <v>19</v>
      </c>
      <c r="P7" s="26" t="s">
        <v>80</v>
      </c>
      <c r="Q7" s="27"/>
      <c r="R7" s="27"/>
      <c r="S7" s="28">
        <f>Q3-Q6-R6</f>
        <v>4000</v>
      </c>
      <c r="T7" s="4" t="s">
        <v>64</v>
      </c>
      <c r="U7" s="11">
        <v>1</v>
      </c>
      <c r="V7" s="13">
        <v>2</v>
      </c>
      <c r="W7" s="14">
        <v>3</v>
      </c>
      <c r="X7" s="19" t="s">
        <v>22</v>
      </c>
    </row>
    <row r="8" spans="1:24" customFormat="1" ht="15" thickBot="1">
      <c r="F8" s="22"/>
      <c r="G8" s="29" t="s">
        <v>77</v>
      </c>
      <c r="H8" s="61">
        <f>X8</f>
        <v>0</v>
      </c>
      <c r="I8" s="62"/>
      <c r="P8" s="30" t="s">
        <v>63</v>
      </c>
      <c r="Q8" s="31">
        <f>SUM(Q57:Q61)</f>
        <v>85.009999999999991</v>
      </c>
      <c r="R8" s="31">
        <f>SUM(R57:R61)</f>
        <v>85.009999999999991</v>
      </c>
      <c r="S8" s="32">
        <f>SUM(S57:S61)</f>
        <v>80.021105263157892</v>
      </c>
      <c r="T8" s="33">
        <f>MIN(Q8:S8)</f>
        <v>80.021105263157892</v>
      </c>
      <c r="U8" s="33">
        <f>(Q8-$T$8)*Q6</f>
        <v>0</v>
      </c>
      <c r="V8" s="34">
        <f t="shared" ref="V8" si="0">(R8-$T$8)*R6</f>
        <v>0</v>
      </c>
      <c r="W8" s="35">
        <f>(S8-$T$8)*S7</f>
        <v>0</v>
      </c>
      <c r="X8" s="36">
        <f>SUM(U8:W8)</f>
        <v>0</v>
      </c>
    </row>
    <row r="10" spans="1:24" customFormat="1">
      <c r="A10" s="37" t="s">
        <v>65</v>
      </c>
    </row>
    <row r="14" spans="1:24" customFormat="1">
      <c r="Q14" t="s">
        <v>60</v>
      </c>
      <c r="R14" t="s">
        <v>61</v>
      </c>
      <c r="S14" t="s">
        <v>62</v>
      </c>
    </row>
    <row r="15" spans="1:24" customFormat="1">
      <c r="K15" s="4" t="s">
        <v>85</v>
      </c>
      <c r="L15" s="7" t="s">
        <v>86</v>
      </c>
      <c r="Q15" s="37" t="s">
        <v>81</v>
      </c>
    </row>
    <row r="16" spans="1:24" customFormat="1">
      <c r="K16" s="11">
        <v>1</v>
      </c>
      <c r="L16" s="14">
        <v>3</v>
      </c>
      <c r="P16" t="s">
        <v>32</v>
      </c>
      <c r="Q16" s="4">
        <v>1</v>
      </c>
      <c r="R16" s="5"/>
      <c r="S16" s="7">
        <v>1</v>
      </c>
    </row>
    <row r="17" spans="11:19" customFormat="1">
      <c r="K17" s="11">
        <v>1</v>
      </c>
      <c r="L17" s="14">
        <v>4</v>
      </c>
      <c r="P17" t="s">
        <v>33</v>
      </c>
      <c r="Q17" s="11"/>
      <c r="R17" s="13">
        <v>1</v>
      </c>
      <c r="S17" s="14"/>
    </row>
    <row r="18" spans="11:19" customFormat="1">
      <c r="K18" s="11">
        <v>3</v>
      </c>
      <c r="L18" s="14">
        <v>2</v>
      </c>
      <c r="M18" s="47">
        <f>$K$37</f>
        <v>4000</v>
      </c>
      <c r="N18" s="47">
        <f>$K$39</f>
        <v>0</v>
      </c>
      <c r="P18" t="s">
        <v>34</v>
      </c>
      <c r="Q18" s="11">
        <v>1</v>
      </c>
      <c r="R18" s="13"/>
      <c r="S18" s="14"/>
    </row>
    <row r="19" spans="11:19" customFormat="1">
      <c r="K19" s="11">
        <v>3</v>
      </c>
      <c r="L19" s="14">
        <v>4</v>
      </c>
      <c r="P19" t="s">
        <v>35</v>
      </c>
      <c r="Q19" s="11"/>
      <c r="R19" s="13"/>
      <c r="S19" s="14">
        <v>1</v>
      </c>
    </row>
    <row r="20" spans="11:19" customFormat="1">
      <c r="K20" s="33">
        <v>4</v>
      </c>
      <c r="L20" s="35">
        <v>2</v>
      </c>
      <c r="P20" t="s">
        <v>36</v>
      </c>
      <c r="Q20" s="33"/>
      <c r="R20" s="34">
        <v>1</v>
      </c>
      <c r="S20" s="35">
        <v>1</v>
      </c>
    </row>
    <row r="23" spans="11:19" customFormat="1">
      <c r="N23" s="48">
        <f>$K$40</f>
        <v>4000</v>
      </c>
    </row>
    <row r="25" spans="11:19" customFormat="1">
      <c r="O25" s="13"/>
    </row>
    <row r="28" spans="11:19" customFormat="1">
      <c r="N28" s="38"/>
      <c r="O28" s="13"/>
    </row>
    <row r="29" spans="11:19" customFormat="1">
      <c r="M29" s="47">
        <f>$K$38</f>
        <v>0</v>
      </c>
      <c r="N29" s="47">
        <f>$K$41</f>
        <v>4000</v>
      </c>
    </row>
    <row r="33" spans="1:19" customFormat="1">
      <c r="L33" s="40" t="s">
        <v>37</v>
      </c>
      <c r="M33" s="40">
        <v>10</v>
      </c>
    </row>
    <row r="36" spans="1:19" customFormat="1">
      <c r="A36" s="40" t="s">
        <v>67</v>
      </c>
      <c r="B36" s="40" t="s">
        <v>68</v>
      </c>
      <c r="C36" s="40" t="s">
        <v>87</v>
      </c>
      <c r="D36" s="40" t="s">
        <v>66</v>
      </c>
      <c r="E36" s="40" t="s">
        <v>69</v>
      </c>
      <c r="F36" s="40" t="s">
        <v>70</v>
      </c>
      <c r="G36" t="s">
        <v>96</v>
      </c>
      <c r="H36" t="s">
        <v>88</v>
      </c>
      <c r="I36" t="s">
        <v>89</v>
      </c>
      <c r="J36" s="41" t="s">
        <v>71</v>
      </c>
      <c r="K36" t="s">
        <v>90</v>
      </c>
      <c r="L36" t="s">
        <v>92</v>
      </c>
      <c r="M36" t="s">
        <v>93</v>
      </c>
      <c r="N36" t="s">
        <v>72</v>
      </c>
      <c r="O36" t="s">
        <v>58</v>
      </c>
      <c r="Q36" t="s">
        <v>82</v>
      </c>
    </row>
    <row r="37" spans="1:19" customFormat="1">
      <c r="A37" s="42">
        <v>100</v>
      </c>
      <c r="B37" s="42">
        <v>1</v>
      </c>
      <c r="C37" s="42">
        <v>0.01</v>
      </c>
      <c r="D37" s="42">
        <v>1</v>
      </c>
      <c r="E37" s="42">
        <v>60</v>
      </c>
      <c r="F37" s="42">
        <v>100</v>
      </c>
      <c r="G37" t="s">
        <v>94</v>
      </c>
      <c r="H37" s="42">
        <v>1</v>
      </c>
      <c r="I37" s="42">
        <v>3</v>
      </c>
      <c r="J37" s="43">
        <f>C37/E37*60</f>
        <v>0.01</v>
      </c>
      <c r="K37" s="44">
        <f>SUM(Q37:S37)</f>
        <v>4000</v>
      </c>
      <c r="L37" s="42">
        <v>0</v>
      </c>
      <c r="M37" s="45">
        <f>J37*(1+A37*POWER(K37/(D37*F37),B37))+L37/$M$33</f>
        <v>40.01</v>
      </c>
      <c r="N37" s="46">
        <f t="shared" ref="N37:N41" si="1">K37/(F37*D37)</f>
        <v>40</v>
      </c>
      <c r="O37" s="45" t="str">
        <f>VLOOKUP(N37,$M$2:$N$7,2,TRUE)</f>
        <v>F</v>
      </c>
      <c r="Q37" s="4">
        <f t="shared" ref="Q37:R41" si="2">Q$6*Q16</f>
        <v>0</v>
      </c>
      <c r="R37" s="5">
        <f t="shared" si="2"/>
        <v>0</v>
      </c>
      <c r="S37" s="7">
        <f t="shared" ref="S37:S41" si="3">S$7*S16</f>
        <v>4000</v>
      </c>
    </row>
    <row r="38" spans="1:19" customFormat="1">
      <c r="A38" s="42">
        <v>0</v>
      </c>
      <c r="B38" s="42">
        <v>1</v>
      </c>
      <c r="C38" s="42">
        <v>45</v>
      </c>
      <c r="D38" s="42">
        <v>3</v>
      </c>
      <c r="E38" s="42">
        <v>60</v>
      </c>
      <c r="F38" s="42">
        <v>1900</v>
      </c>
      <c r="G38" t="s">
        <v>95</v>
      </c>
      <c r="H38" s="42">
        <v>1</v>
      </c>
      <c r="I38" s="42">
        <v>4</v>
      </c>
      <c r="J38" s="43">
        <f t="shared" ref="J38:J41" si="4">C38/E38*60</f>
        <v>45</v>
      </c>
      <c r="K38" s="44">
        <f>SUM(Q38:S38)</f>
        <v>0</v>
      </c>
      <c r="L38" s="42">
        <v>0</v>
      </c>
      <c r="M38" s="45">
        <f t="shared" ref="M38:M41" si="5">J38*(1+A38*POWER(K38/(D38*F38),B38))+L38/$M$33</f>
        <v>45</v>
      </c>
      <c r="N38" s="46">
        <f t="shared" si="1"/>
        <v>0</v>
      </c>
      <c r="O38" s="45" t="str">
        <f t="shared" ref="O38:O41" si="6">VLOOKUP(N38,$M$2:$N$7,2,TRUE)</f>
        <v>A</v>
      </c>
      <c r="Q38" s="11">
        <f t="shared" si="2"/>
        <v>0</v>
      </c>
      <c r="R38" s="13">
        <f>R$6*R17</f>
        <v>0</v>
      </c>
      <c r="S38" s="14">
        <f t="shared" si="3"/>
        <v>0</v>
      </c>
    </row>
    <row r="39" spans="1:19" customFormat="1">
      <c r="A39" s="42">
        <v>0</v>
      </c>
      <c r="B39" s="42">
        <v>1</v>
      </c>
      <c r="C39" s="42">
        <v>45</v>
      </c>
      <c r="D39" s="42">
        <v>3</v>
      </c>
      <c r="E39" s="42">
        <v>60</v>
      </c>
      <c r="F39" s="42">
        <v>1900</v>
      </c>
      <c r="G39" t="s">
        <v>97</v>
      </c>
      <c r="H39" s="42">
        <v>3</v>
      </c>
      <c r="I39" s="42">
        <v>2</v>
      </c>
      <c r="J39" s="43">
        <f t="shared" si="4"/>
        <v>45</v>
      </c>
      <c r="K39" s="44">
        <f>SUM(Q39:S39)</f>
        <v>0</v>
      </c>
      <c r="L39" s="42">
        <v>0</v>
      </c>
      <c r="M39" s="45">
        <f t="shared" si="5"/>
        <v>45</v>
      </c>
      <c r="N39" s="46">
        <f t="shared" si="1"/>
        <v>0</v>
      </c>
      <c r="O39" s="45" t="str">
        <f t="shared" si="6"/>
        <v>A</v>
      </c>
      <c r="Q39" s="11">
        <f t="shared" si="2"/>
        <v>0</v>
      </c>
      <c r="R39" s="13">
        <f t="shared" si="2"/>
        <v>0</v>
      </c>
      <c r="S39" s="14">
        <f t="shared" si="3"/>
        <v>0</v>
      </c>
    </row>
    <row r="40" spans="1:19" customFormat="1">
      <c r="A40" s="42">
        <v>0.15</v>
      </c>
      <c r="B40" s="42">
        <v>1</v>
      </c>
      <c r="C40" s="42">
        <v>0</v>
      </c>
      <c r="D40" s="42">
        <v>3</v>
      </c>
      <c r="E40" s="42">
        <v>65</v>
      </c>
      <c r="F40" s="42">
        <v>1900</v>
      </c>
      <c r="G40" t="s">
        <v>99</v>
      </c>
      <c r="H40" s="42">
        <v>3</v>
      </c>
      <c r="I40" s="42">
        <v>4</v>
      </c>
      <c r="J40" s="43">
        <v>1E-3</v>
      </c>
      <c r="K40" s="44">
        <f>SUM(Q40:S40)</f>
        <v>4000</v>
      </c>
      <c r="L40" s="42">
        <v>0</v>
      </c>
      <c r="M40" s="45">
        <f t="shared" si="5"/>
        <v>1.1052631578947368E-3</v>
      </c>
      <c r="N40" s="46">
        <f t="shared" si="1"/>
        <v>0.70175438596491224</v>
      </c>
      <c r="O40" s="45" t="str">
        <f t="shared" si="6"/>
        <v>B</v>
      </c>
      <c r="Q40" s="11">
        <f t="shared" si="2"/>
        <v>0</v>
      </c>
      <c r="R40" s="13">
        <f t="shared" si="2"/>
        <v>0</v>
      </c>
      <c r="S40" s="14">
        <f t="shared" si="3"/>
        <v>4000</v>
      </c>
    </row>
    <row r="41" spans="1:19" customFormat="1">
      <c r="A41" s="42">
        <v>100</v>
      </c>
      <c r="B41" s="42">
        <v>1</v>
      </c>
      <c r="C41" s="42">
        <v>0.01</v>
      </c>
      <c r="D41" s="42">
        <v>1</v>
      </c>
      <c r="E41" s="42">
        <v>60</v>
      </c>
      <c r="F41" s="42">
        <v>100</v>
      </c>
      <c r="G41" t="s">
        <v>98</v>
      </c>
      <c r="H41" s="42">
        <v>4</v>
      </c>
      <c r="I41" s="42">
        <v>2</v>
      </c>
      <c r="J41" s="43">
        <f t="shared" si="4"/>
        <v>0.01</v>
      </c>
      <c r="K41" s="44">
        <f>SUM(Q41:S41)</f>
        <v>4000</v>
      </c>
      <c r="L41" s="42">
        <v>0</v>
      </c>
      <c r="M41" s="45">
        <f t="shared" si="5"/>
        <v>40.01</v>
      </c>
      <c r="N41" s="46">
        <f t="shared" si="1"/>
        <v>40</v>
      </c>
      <c r="O41" s="45" t="str">
        <f t="shared" si="6"/>
        <v>F</v>
      </c>
      <c r="Q41" s="33">
        <f t="shared" si="2"/>
        <v>0</v>
      </c>
      <c r="R41" s="34">
        <f t="shared" si="2"/>
        <v>0</v>
      </c>
      <c r="S41" s="35">
        <f t="shared" si="3"/>
        <v>4000</v>
      </c>
    </row>
    <row r="42" spans="1:19" customFormat="1">
      <c r="L42" s="42"/>
    </row>
    <row r="43" spans="1:19" customFormat="1">
      <c r="L43" s="42"/>
    </row>
    <row r="46" spans="1:19" customFormat="1">
      <c r="B46" s="37" t="s">
        <v>91</v>
      </c>
    </row>
    <row r="54" spans="1:19">
      <c r="A54" s="50" t="s">
        <v>106</v>
      </c>
      <c r="B54" s="50" t="s">
        <v>103</v>
      </c>
      <c r="C54" s="50" t="s">
        <v>108</v>
      </c>
    </row>
    <row r="55" spans="1:19">
      <c r="A55" s="50"/>
      <c r="B55" s="50" t="s">
        <v>104</v>
      </c>
      <c r="C55" s="50" t="s">
        <v>109</v>
      </c>
    </row>
    <row r="56" spans="1:19" customFormat="1">
      <c r="A56" s="50"/>
      <c r="B56" s="50" t="s">
        <v>105</v>
      </c>
      <c r="C56" s="50" t="s">
        <v>110</v>
      </c>
      <c r="Q56" t="s">
        <v>83</v>
      </c>
    </row>
    <row r="57" spans="1:19" customFormat="1">
      <c r="Q57" s="4">
        <f>$M37*Q16</f>
        <v>40.01</v>
      </c>
      <c r="R57" s="5">
        <f>$M37*R16</f>
        <v>0</v>
      </c>
      <c r="S57" s="7">
        <f>$M37*S16</f>
        <v>40.01</v>
      </c>
    </row>
    <row r="58" spans="1:19" customFormat="1">
      <c r="Q58" s="11">
        <f t="shared" ref="Q58:S61" si="7">$M38*Q17</f>
        <v>0</v>
      </c>
      <c r="R58" s="13">
        <f t="shared" si="7"/>
        <v>45</v>
      </c>
      <c r="S58" s="14">
        <f t="shared" si="7"/>
        <v>0</v>
      </c>
    </row>
    <row r="59" spans="1:19" customFormat="1">
      <c r="Q59" s="11">
        <f t="shared" si="7"/>
        <v>45</v>
      </c>
      <c r="R59" s="13">
        <f t="shared" si="7"/>
        <v>0</v>
      </c>
      <c r="S59" s="14">
        <f t="shared" si="7"/>
        <v>0</v>
      </c>
    </row>
    <row r="60" spans="1:19" customFormat="1">
      <c r="Q60" s="11">
        <f t="shared" si="7"/>
        <v>0</v>
      </c>
      <c r="R60" s="13">
        <f t="shared" si="7"/>
        <v>0</v>
      </c>
      <c r="S60" s="14">
        <f t="shared" si="7"/>
        <v>1.1052631578947368E-3</v>
      </c>
    </row>
    <row r="61" spans="1:19" customFormat="1">
      <c r="Q61" s="33">
        <f t="shared" si="7"/>
        <v>0</v>
      </c>
      <c r="R61" s="34">
        <f t="shared" si="7"/>
        <v>40.01</v>
      </c>
      <c r="S61" s="35">
        <f t="shared" si="7"/>
        <v>40.01</v>
      </c>
    </row>
  </sheetData>
  <mergeCells count="5">
    <mergeCell ref="G2:I2"/>
    <mergeCell ref="H4:I4"/>
    <mergeCell ref="H6:I6"/>
    <mergeCell ref="U6:W6"/>
    <mergeCell ref="H8:I8"/>
  </mergeCells>
  <phoneticPr fontId="2" type="noConversion"/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41">
    <cfRule type="dataBar" priority="4">
      <dataBar>
        <cfvo type="min"/>
        <cfvo type="max"/>
        <color rgb="FFFF555A"/>
      </dataBar>
    </cfRule>
  </conditionalFormatting>
  <hyperlinks>
    <hyperlink ref="C56" r:id="rId1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1</xdr:col>
                <xdr:colOff>22860</xdr:colOff>
                <xdr:row>47</xdr:row>
                <xdr:rowOff>30480</xdr:rowOff>
              </from>
              <to>
                <xdr:col>3</xdr:col>
                <xdr:colOff>259080</xdr:colOff>
                <xdr:row>51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autoPict="0" r:id="rId7">
            <anchor moveWithCells="1">
              <from>
                <xdr:col>12</xdr:col>
                <xdr:colOff>144780</xdr:colOff>
                <xdr:row>14</xdr:row>
                <xdr:rowOff>45720</xdr:rowOff>
              </from>
              <to>
                <xdr:col>13</xdr:col>
                <xdr:colOff>2255520</xdr:colOff>
                <xdr:row>30</xdr:row>
                <xdr:rowOff>152400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27F47BA8-1579-4B33-92C1-4DDA7B14D8E0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7AAA6226-7848-4015-99DA-41034E1C4FA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2016-09-28T09:06:34Z</dcterms:modified>
</cp:coreProperties>
</file>