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s" sheetId="1" r:id="rId4"/>
    <sheet state="visible" name="Current Mix" sheetId="2" r:id="rId5"/>
    <sheet state="visible" name="Demand Forecast" sheetId="3" r:id="rId6"/>
    <sheet state="visible" name="Retirement Forecast" sheetId="4" r:id="rId7"/>
    <sheet state="visible" name="Remaining Capacity" sheetId="5" r:id="rId8"/>
    <sheet state="visible" name="Generation Forecast" sheetId="6" r:id="rId9"/>
    <sheet state="visible" name="Demand vs Supply Gap" sheetId="7" r:id="rId10"/>
    <sheet state="visible" name="Build Requirement" sheetId="8" r:id="rId11"/>
    <sheet state="visible" name="Build Requirements_time_buckets" sheetId="9" r:id="rId12"/>
    <sheet state="visible" name="Battery Storage Impact" sheetId="10" r:id="rId13"/>
    <sheet state="visible" name="Adjusted Supply Gap" sheetId="11" r:id="rId14"/>
    <sheet state="visible" name="Build Requirement (Adjusted)" sheetId="12" r:id="rId15"/>
    <sheet state="visible" name="Adjusted_ Build_Requirement_by_" sheetId="13" r:id="rId16"/>
  </sheets>
  <definedNames>
    <definedName hidden="1" localSheetId="1" name="_xlnm._FilterDatabase">'Current Mix'!$A$1:$F$21</definedName>
    <definedName hidden="1" localSheetId="2" name="_xlnm._FilterDatabase">'Demand Forecast'!$A$1:$W$21</definedName>
    <definedName hidden="1" localSheetId="3" name="_xlnm._FilterDatabase">'Retirement Forecast'!$A$1:$W$21</definedName>
    <definedName hidden="1" localSheetId="4" name="_xlnm._FilterDatabase">'Remaining Capacity'!$A$1:$W$22</definedName>
    <definedName hidden="1" localSheetId="5" name="_xlnm._FilterDatabase">'Generation Forecast'!$A$1:$W$21</definedName>
    <definedName hidden="1" localSheetId="6" name="_xlnm._FilterDatabase">'Demand vs Supply Gap'!$A$1:$W$21</definedName>
    <definedName hidden="1" localSheetId="7" name="_xlnm._FilterDatabase">'Build Requirement'!$A$1:$Z$21</definedName>
    <definedName hidden="1" localSheetId="8" name="_xlnm._FilterDatabase">'Build Requirements_time_buckets'!$A$1:$E$21</definedName>
    <definedName hidden="1" localSheetId="9" name="_xlnm._FilterDatabase">'Battery Storage Impact'!$A$1:$Z$9</definedName>
    <definedName hidden="1" localSheetId="10" name="_xlnm._FilterDatabase">'Adjusted Supply Gap'!$A$1:$Z$21</definedName>
    <definedName hidden="1" localSheetId="11" name="_xlnm._FilterDatabase">'Build Requirement (Adjusted)'!$A$1:$W$21</definedName>
    <definedName hidden="1" localSheetId="12" name="_xlnm._FilterDatabase">'Adjusted_ Build_Requirement_by_'!$A$1:$Z$21</definedName>
  </definedNames>
  <calcPr/>
</workbook>
</file>

<file path=xl/sharedStrings.xml><?xml version="1.0" encoding="utf-8"?>
<sst xmlns="http://schemas.openxmlformats.org/spreadsheetml/2006/main" count="504" uniqueCount="31">
  <si>
    <t>Parameter</t>
  </si>
  <si>
    <t>Value</t>
  </si>
  <si>
    <t>Annual demand growth rate (%)</t>
  </si>
  <si>
    <t>Reliability margin</t>
  </si>
  <si>
    <t>Region</t>
  </si>
  <si>
    <t>Tech Type</t>
  </si>
  <si>
    <t>Capacity (GW)</t>
  </si>
  <si>
    <t>Capacity Factor</t>
  </si>
  <si>
    <t>Lifespan (Years)</t>
  </si>
  <si>
    <t>Annual Generation (TWh)</t>
  </si>
  <si>
    <t>Midwest</t>
  </si>
  <si>
    <t>Coal</t>
  </si>
  <si>
    <t>Natural Gas</t>
  </si>
  <si>
    <t>Nuclear</t>
  </si>
  <si>
    <t>Wind</t>
  </si>
  <si>
    <t>Solar</t>
  </si>
  <si>
    <t>Northeast</t>
  </si>
  <si>
    <t>South</t>
  </si>
  <si>
    <t>West</t>
  </si>
  <si>
    <t>Note: shows what we have today, what the grid is capable of producing.</t>
  </si>
  <si>
    <t>Note: 1% annual growth rate exponentially.</t>
  </si>
  <si>
    <t>Note: This model forecasts regional electricity capacity retirements by technology from 2025 to 2045, using realistic, front-loaded retirement curves based on infrastructure age and policy pressure. It begins with a national current mix of capacity, allocated to regions using updated EIA-based capacity shares. Annual retirements are calculated as a percentage of each region’s capacity, with heavier phase-out weighting in earlier years for older technologies like coal.
Each value in the retirement forecast shows how much capacity (in GW) will go offline in a specific region and year — revealing when and where new generation will be urgently needed to maintain supply. Higher retirement numbers signal critical years for investment and capacity replacement, while lower years provide opportunity for proactive scaling or grid preparation.This model tells me when and where generation capacity is expected to retire</t>
  </si>
  <si>
    <t>Note: This model shows how much capacity remains each year after retirements for every region and technology. A value of 0 means all capacity has retired; a negative value flags a critical shortfall and need for immediate replacement.</t>
  </si>
  <si>
    <t>Note: This model estimates how much electricity (TWh) each region and technology can generate annually based on remaining capacity and capacity factors. A value of 0 means that tech is no longer producing power in that region.</t>
  </si>
  <si>
    <t>Note: Shows shortfalls or surplasses by year.</t>
  </si>
  <si>
    <t>Note: Required new capacity, this model converts gaps inro required new GW.</t>
  </si>
  <si>
    <t>1-5 Years</t>
  </si>
  <si>
    <t>6-10 Years</t>
  </si>
  <si>
    <t>11-20 Years</t>
  </si>
  <si>
    <t>Note: This model estimates how much electricity shortfall (TWh) from solar and wind can be offset by standard lithium battery storage in each region and year. It calculates the usable stored energy based on the projected supply gap and assumes an 85% round-trip efficiency, reflecting real-world battery performance.
Each value shows how much battery storage can help reduce the shortfall in renewable generation, improving reliability and reducing the need for additional build-out from other sources</t>
  </si>
  <si>
    <t>Note: The Adjusted Build Requirement shows how much less generation you need to build thanks to battery storage, making your energy transition strategy more cost-effective and resilient.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</si>
</sst>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1.0"/>
      <color theme="1"/>
      <name val="Calibri"/>
      <scheme val="minor"/>
    </font>
    <font>
      <b/>
      <sz val="11.0"/>
      <color theme="1"/>
      <name val="Calibri"/>
    </font>
    <font>
      <color theme="1"/>
      <name val="Calibri"/>
      <scheme val="minor"/>
    </font>
    <font>
      <b/>
      <color theme="1"/>
      <name val="Calibri"/>
      <scheme val="minor"/>
    </font>
    <font/>
  </fonts>
  <fills count="2">
    <fill>
      <patternFill patternType="none"/>
    </fill>
    <fill>
      <patternFill patternType="lightGray"/>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10" xfId="0" applyAlignment="1" applyFont="1" applyNumberFormat="1">
      <alignment readingOrder="0"/>
    </xf>
    <xf borderId="1" fillId="0" fontId="3" numFmtId="0" xfId="0" applyAlignment="1" applyBorder="1" applyFont="1">
      <alignment readingOrder="0"/>
    </xf>
    <xf borderId="0" fillId="0" fontId="2" numFmtId="10" xfId="0" applyFont="1" applyNumberFormat="1"/>
    <xf borderId="0" fillId="0" fontId="2" numFmtId="164" xfId="0" applyFont="1" applyNumberFormat="1"/>
    <xf borderId="0" fillId="0" fontId="3" numFmtId="0" xfId="0" applyAlignment="1" applyFont="1">
      <alignment readingOrder="0"/>
    </xf>
    <xf borderId="1" fillId="0" fontId="3" numFmtId="0" xfId="0" applyBorder="1" applyFont="1"/>
    <xf borderId="0" fillId="0" fontId="2" numFmtId="2" xfId="0" applyFont="1" applyNumberFormat="1"/>
    <xf borderId="0" fillId="0" fontId="3" numFmtId="0" xfId="0" applyAlignment="1" applyFont="1">
      <alignment readingOrder="0" shrinkToFit="0" wrapText="1"/>
    </xf>
    <xf borderId="0" fillId="0" fontId="3" numFmtId="0" xfId="0" applyFont="1"/>
    <xf borderId="0" fillId="0" fontId="2" numFmtId="0" xfId="0" applyAlignment="1" applyFont="1">
      <alignment readingOrder="0"/>
    </xf>
    <xf borderId="0" fillId="0" fontId="2" numFmtId="2" xfId="0" applyAlignment="1" applyFont="1" applyNumberFormat="1">
      <alignment readingOrder="0"/>
    </xf>
    <xf borderId="2" fillId="0" fontId="3" numFmtId="0" xfId="0" applyAlignment="1" applyBorder="1" applyFont="1">
      <alignment readingOrder="0" shrinkToFit="0" wrapText="1"/>
    </xf>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86"/>
    <col customWidth="1" min="2" max="2" width="25.86"/>
    <col customWidth="1" min="3" max="24" width="8.71"/>
  </cols>
  <sheetData>
    <row r="1">
      <c r="A1" s="1" t="s">
        <v>0</v>
      </c>
      <c r="B1" s="1" t="s">
        <v>1</v>
      </c>
    </row>
    <row r="2">
      <c r="A2" s="2" t="s">
        <v>2</v>
      </c>
      <c r="B2" s="3">
        <v>0.01</v>
      </c>
    </row>
    <row r="3">
      <c r="A3" s="2" t="s">
        <v>3</v>
      </c>
      <c r="B3" s="2">
        <v>0.15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10.43"/>
    <col customWidth="1" min="3" max="26" width="8.71"/>
  </cols>
  <sheetData>
    <row r="1">
      <c r="A1" s="8" t="s">
        <v>4</v>
      </c>
      <c r="B1" s="8" t="s">
        <v>5</v>
      </c>
      <c r="C1" s="8">
        <v>2025.0</v>
      </c>
      <c r="D1" s="8">
        <v>2026.0</v>
      </c>
      <c r="E1" s="8">
        <v>2027.0</v>
      </c>
      <c r="F1" s="8">
        <v>2028.0</v>
      </c>
      <c r="G1" s="8">
        <v>2029.0</v>
      </c>
      <c r="H1" s="8">
        <v>2030.0</v>
      </c>
      <c r="I1" s="8">
        <v>2031.0</v>
      </c>
      <c r="J1" s="8">
        <v>2032.0</v>
      </c>
      <c r="K1" s="8">
        <v>2033.0</v>
      </c>
      <c r="L1" s="8">
        <v>2034.0</v>
      </c>
      <c r="M1" s="8">
        <v>2035.0</v>
      </c>
      <c r="N1" s="8">
        <v>2036.0</v>
      </c>
      <c r="O1" s="8">
        <v>2037.0</v>
      </c>
      <c r="P1" s="8">
        <v>2038.0</v>
      </c>
      <c r="Q1" s="8">
        <v>2039.0</v>
      </c>
      <c r="R1" s="8">
        <v>2040.0</v>
      </c>
      <c r="S1" s="8">
        <v>2041.0</v>
      </c>
      <c r="T1" s="8">
        <v>2042.0</v>
      </c>
      <c r="U1" s="8">
        <v>2043.0</v>
      </c>
      <c r="V1" s="8">
        <v>2044.0</v>
      </c>
      <c r="W1" s="8">
        <v>2045.0</v>
      </c>
      <c r="X1" s="8"/>
      <c r="Y1" s="8"/>
      <c r="Z1" s="8"/>
    </row>
    <row r="2">
      <c r="A2" s="2" t="s">
        <v>10</v>
      </c>
      <c r="B2" s="2" t="s">
        <v>15</v>
      </c>
      <c r="C2" s="9">
        <f>IF('Demand vs Supply Gap'!C6&lt;0, -'Demand vs Supply Gap'!C6*0.85, 0)</f>
        <v>54.92068875</v>
      </c>
      <c r="D2" s="9">
        <f>IF('Demand vs Supply Gap'!D6&lt;0, -'Demand vs Supply Gap'!D6*0.85, 0)</f>
        <v>57.753165</v>
      </c>
      <c r="E2" s="9">
        <f>IF('Demand vs Supply Gap'!E6&lt;0, -'Demand vs Supply Gap'!E6*0.85, 0)</f>
        <v>60.59626625</v>
      </c>
      <c r="F2" s="9">
        <f>IF('Demand vs Supply Gap'!F6&lt;0, -'Demand vs Supply Gap'!F6*0.85, 0)</f>
        <v>63.45009875</v>
      </c>
      <c r="G2" s="9">
        <f>IF('Demand vs Supply Gap'!G6&lt;0, -'Demand vs Supply Gap'!G6*0.85, 0)</f>
        <v>66.31476981</v>
      </c>
      <c r="H2" s="9">
        <f>IF('Demand vs Supply Gap'!H6&lt;0, -'Demand vs Supply Gap'!H6*0.85, 0)</f>
        <v>69.19038782</v>
      </c>
      <c r="I2" s="9">
        <f>IF('Demand vs Supply Gap'!I6&lt;0, -'Demand vs Supply Gap'!I6*0.85, 0)</f>
        <v>74.555029</v>
      </c>
      <c r="J2" s="9">
        <f>IF('Demand vs Supply Gap'!J6&lt;0, -'Demand vs Supply Gap'!J6*0.85, 0)</f>
        <v>79.93083716</v>
      </c>
      <c r="K2" s="9">
        <f>IF('Demand vs Supply Gap'!K6&lt;0, -'Demand vs Supply Gap'!K6*0.85, 0)</f>
        <v>85.31792397</v>
      </c>
      <c r="L2" s="9">
        <f>IF('Demand vs Supply Gap'!L6&lt;0, -'Demand vs Supply Gap'!L6*0.85, 0)</f>
        <v>90.71640222</v>
      </c>
      <c r="M2" s="9">
        <f>IF('Demand vs Supply Gap'!M6&lt;0, -'Demand vs Supply Gap'!M6*0.85, 0)</f>
        <v>96.12638582</v>
      </c>
      <c r="N2" s="9">
        <f>IF('Demand vs Supply Gap'!N6&lt;0, -'Demand vs Supply Gap'!N6*0.85, 0)</f>
        <v>99.42401833</v>
      </c>
      <c r="O2" s="9">
        <f>IF('Demand vs Supply Gap'!O6&lt;0, -'Demand vs Supply Gap'!O6*0.85, 0)</f>
        <v>102.7333875</v>
      </c>
      <c r="P2" s="9">
        <f>IF('Demand vs Supply Gap'!P6&lt;0, -'Demand vs Supply Gap'!P6*0.85, 0)</f>
        <v>106.0546105</v>
      </c>
      <c r="Q2" s="9">
        <f>IF('Demand vs Supply Gap'!Q6&lt;0, -'Demand vs Supply Gap'!Q6*0.85, 0)</f>
        <v>109.3878062</v>
      </c>
      <c r="R2" s="9">
        <f>IF('Demand vs Supply Gap'!R6&lt;0, -'Demand vs Supply Gap'!R6*0.85, 0)</f>
        <v>112.733094</v>
      </c>
      <c r="S2" s="9">
        <f>IF('Demand vs Supply Gap'!S6&lt;0, -'Demand vs Supply Gap'!S6*0.85, 0)</f>
        <v>116.090595</v>
      </c>
      <c r="T2" s="9">
        <f>IF('Demand vs Supply Gap'!T6&lt;0, -'Demand vs Supply Gap'!T6*0.85, 0)</f>
        <v>119.4604313</v>
      </c>
      <c r="U2" s="9">
        <f>IF('Demand vs Supply Gap'!U6&lt;0, -'Demand vs Supply Gap'!U6*0.85, 0)</f>
        <v>122.8427263</v>
      </c>
      <c r="V2" s="9">
        <f>IF('Demand vs Supply Gap'!V6&lt;0, -'Demand vs Supply Gap'!V6*0.85, 0)</f>
        <v>126.2376045</v>
      </c>
      <c r="W2" s="9">
        <f>IF('Demand vs Supply Gap'!W6&lt;0, -'Demand vs Supply Gap'!W6*0.85, 0)</f>
        <v>129.6451917</v>
      </c>
    </row>
    <row r="3">
      <c r="A3" s="2" t="s">
        <v>10</v>
      </c>
      <c r="B3" s="2" t="s">
        <v>14</v>
      </c>
      <c r="C3" s="9">
        <f>IF('Demand vs Supply Gap'!C5&lt;0, -'Demand vs Supply Gap'!C5*0.85, 0)</f>
        <v>114.0112174</v>
      </c>
      <c r="D3" s="9">
        <f>IF('Demand vs Supply Gap'!D5&lt;0, -'Demand vs Supply Gap'!D5*0.85, 0)</f>
        <v>124.4099168</v>
      </c>
      <c r="E3" s="9">
        <f>IF('Demand vs Supply Gap'!E5&lt;0, -'Demand vs Supply Gap'!E5*0.85, 0)</f>
        <v>134.8408312</v>
      </c>
      <c r="F3" s="9">
        <f>IF('Demand vs Supply Gap'!F5&lt;0, -'Demand vs Supply Gap'!F5*0.85, 0)</f>
        <v>145.3042828</v>
      </c>
      <c r="G3" s="9">
        <f>IF('Demand vs Supply Gap'!G5&lt;0, -'Demand vs Supply Gap'!G5*0.85, 0)</f>
        <v>155.8005968</v>
      </c>
      <c r="H3" s="9">
        <f>IF('Demand vs Supply Gap'!H5&lt;0, -'Demand vs Supply Gap'!H5*0.85, 0)</f>
        <v>166.330102</v>
      </c>
      <c r="I3" s="9">
        <f>IF('Demand vs Supply Gap'!I5&lt;0, -'Demand vs Supply Gap'!I5*0.85, 0)</f>
        <v>186.9412095</v>
      </c>
      <c r="J3" s="9">
        <f>IF('Demand vs Supply Gap'!J5&lt;0, -'Demand vs Supply Gap'!J5*0.85, 0)</f>
        <v>207.5861752</v>
      </c>
      <c r="K3" s="9">
        <f>IF('Demand vs Supply Gap'!K5&lt;0, -'Demand vs Supply Gap'!K5*0.85, 0)</f>
        <v>228.2653378</v>
      </c>
      <c r="L3" s="9">
        <f>IF('Demand vs Supply Gap'!L5&lt;0, -'Demand vs Supply Gap'!L5*0.85, 0)</f>
        <v>248.9790392</v>
      </c>
      <c r="M3" s="9">
        <f>IF('Demand vs Supply Gap'!M5&lt;0, -'Demand vs Supply Gap'!M5*0.85, 0)</f>
        <v>269.7276249</v>
      </c>
      <c r="N3" s="9">
        <f>IF('Demand vs Supply Gap'!N5&lt;0, -'Demand vs Supply Gap'!N5*0.85, 0)</f>
        <v>281.8988044</v>
      </c>
      <c r="O3" s="9">
        <f>IF('Demand vs Supply Gap'!O5&lt;0, -'Demand vs Supply Gap'!O5*0.85, 0)</f>
        <v>294.1055692</v>
      </c>
      <c r="P3" s="9">
        <f>IF('Demand vs Supply Gap'!P5&lt;0, -'Demand vs Supply Gap'!P5*0.85, 0)</f>
        <v>306.3482753</v>
      </c>
      <c r="Q3" s="9">
        <f>IF('Demand vs Supply Gap'!Q5&lt;0, -'Demand vs Supply Gap'!Q5*0.85, 0)</f>
        <v>318.6272821</v>
      </c>
      <c r="R3" s="9">
        <f>IF('Demand vs Supply Gap'!R5&lt;0, -'Demand vs Supply Gap'!R5*0.85, 0)</f>
        <v>330.9429526</v>
      </c>
      <c r="S3" s="9">
        <f>IF('Demand vs Supply Gap'!S5&lt;0, -'Demand vs Supply Gap'!S5*0.85, 0)</f>
        <v>343.2956533</v>
      </c>
      <c r="T3" s="9">
        <f>IF('Demand vs Supply Gap'!T5&lt;0, -'Demand vs Supply Gap'!T5*0.85, 0)</f>
        <v>355.6857547</v>
      </c>
      <c r="U3" s="9">
        <f>IF('Demand vs Supply Gap'!U5&lt;0, -'Demand vs Supply Gap'!U5*0.85, 0)</f>
        <v>368.1136307</v>
      </c>
      <c r="V3" s="9">
        <f>IF('Demand vs Supply Gap'!V5&lt;0, -'Demand vs Supply Gap'!V5*0.85, 0)</f>
        <v>380.5796591</v>
      </c>
      <c r="W3" s="9">
        <f>IF('Demand vs Supply Gap'!W5&lt;0, -'Demand vs Supply Gap'!W5*0.85, 0)</f>
        <v>393.0842214</v>
      </c>
    </row>
    <row r="4">
      <c r="A4" s="2" t="s">
        <v>16</v>
      </c>
      <c r="B4" s="2" t="s">
        <v>15</v>
      </c>
      <c r="C4" s="9">
        <f>IF('Demand vs Supply Gap'!C11&lt;0, -'Demand vs Supply Gap'!C11*0.85, 0)</f>
        <v>68.4608615</v>
      </c>
      <c r="D4" s="9">
        <f>IF('Demand vs Supply Gap'!D11&lt;0, -'Demand vs Supply Gap'!D11*0.85, 0)</f>
        <v>70.580668</v>
      </c>
      <c r="E4" s="9">
        <f>IF('Demand vs Supply Gap'!E11&lt;0, -'Demand vs Supply Gap'!E11*0.85, 0)</f>
        <v>72.710547</v>
      </c>
      <c r="F4" s="9">
        <f>IF('Demand vs Supply Gap'!F11&lt;0, -'Demand vs Supply Gap'!F11*0.85, 0)</f>
        <v>74.85059923</v>
      </c>
      <c r="G4" s="9">
        <f>IF('Demand vs Supply Gap'!G11&lt;0, -'Demand vs Supply Gap'!G11*0.85, 0)</f>
        <v>77.00092641</v>
      </c>
      <c r="H4" s="9">
        <f>IF('Demand vs Supply Gap'!H11&lt;0, -'Demand vs Supply Gap'!H11*0.85, 0)</f>
        <v>79.1616313</v>
      </c>
      <c r="I4" s="9">
        <f>IF('Demand vs Supply Gap'!I11&lt;0, -'Demand vs Supply Gap'!I11*0.85, 0)</f>
        <v>82.89039677</v>
      </c>
      <c r="J4" s="9">
        <f>IF('Demand vs Supply Gap'!J11&lt;0, -'Demand vs Supply Gap'!J11*0.85, 0)</f>
        <v>86.62974854</v>
      </c>
      <c r="K4" s="9">
        <f>IF('Demand vs Supply Gap'!K11&lt;0, -'Demand vs Supply Gap'!K11*0.85, 0)</f>
        <v>90.37979247</v>
      </c>
      <c r="L4" s="9">
        <f>IF('Demand vs Supply Gap'!L11&lt;0, -'Demand vs Supply Gap'!L11*0.85, 0)</f>
        <v>94.14063549</v>
      </c>
      <c r="M4" s="9">
        <f>IF('Demand vs Supply Gap'!M11&lt;0, -'Demand vs Supply Gap'!M11*0.85, 0)</f>
        <v>97.91238558</v>
      </c>
      <c r="N4" s="9">
        <f>IF('Demand vs Supply Gap'!N11&lt;0, -'Demand vs Supply Gap'!N11*0.85, 0)</f>
        <v>100.360084</v>
      </c>
      <c r="O4" s="9">
        <f>IF('Demand vs Supply Gap'!O11&lt;0, -'Demand vs Supply Gap'!O11*0.85, 0)</f>
        <v>102.8189088</v>
      </c>
      <c r="P4" s="9">
        <f>IF('Demand vs Supply Gap'!P11&lt;0, -'Demand vs Supply Gap'!P11*0.85, 0)</f>
        <v>105.2889711</v>
      </c>
      <c r="Q4" s="9">
        <f>IF('Demand vs Supply Gap'!Q11&lt;0, -'Demand vs Supply Gap'!Q11*0.85, 0)</f>
        <v>107.7703833</v>
      </c>
      <c r="R4" s="9">
        <f>IF('Demand vs Supply Gap'!R11&lt;0, -'Demand vs Supply Gap'!R11*0.85, 0)</f>
        <v>110.263259</v>
      </c>
      <c r="S4" s="9">
        <f>IF('Demand vs Supply Gap'!S11&lt;0, -'Demand vs Supply Gap'!S11*0.85, 0)</f>
        <v>112.7677128</v>
      </c>
      <c r="T4" s="9">
        <f>IF('Demand vs Supply Gap'!T11&lt;0, -'Demand vs Supply Gap'!T11*0.85, 0)</f>
        <v>115.2838605</v>
      </c>
      <c r="U4" s="9">
        <f>IF('Demand vs Supply Gap'!U11&lt;0, -'Demand vs Supply Gap'!U11*0.85, 0)</f>
        <v>117.8118189</v>
      </c>
      <c r="V4" s="9">
        <f>IF('Demand vs Supply Gap'!V11&lt;0, -'Demand vs Supply Gap'!V11*0.85, 0)</f>
        <v>120.3517062</v>
      </c>
      <c r="W4" s="9">
        <f>IF('Demand vs Supply Gap'!W11&lt;0, -'Demand vs Supply Gap'!W11*0.85, 0)</f>
        <v>122.9036418</v>
      </c>
    </row>
    <row r="5">
      <c r="A5" s="2" t="s">
        <v>16</v>
      </c>
      <c r="B5" s="2" t="s">
        <v>14</v>
      </c>
      <c r="C5" s="9">
        <f>IF('Demand vs Supply Gap'!C10&lt;0, -'Demand vs Supply Gap'!C10*0.85, 0)</f>
        <v>170.7563555</v>
      </c>
      <c r="D5" s="9">
        <f>IF('Demand vs Supply Gap'!D10&lt;0, -'Demand vs Supply Gap'!D10*0.85, 0)</f>
        <v>173.825476</v>
      </c>
      <c r="E5" s="9">
        <f>IF('Demand vs Supply Gap'!E10&lt;0, -'Demand vs Supply Gap'!E10*0.85, 0)</f>
        <v>176.914733</v>
      </c>
      <c r="F5" s="9">
        <f>IF('Demand vs Supply Gap'!F10&lt;0, -'Demand vs Supply Gap'!F10*0.85, 0)</f>
        <v>180.0243279</v>
      </c>
      <c r="G5" s="9">
        <f>IF('Demand vs Supply Gap'!G10&lt;0, -'Demand vs Supply Gap'!G10*0.85, 0)</f>
        <v>183.154464</v>
      </c>
      <c r="H5" s="9">
        <f>IF('Demand vs Supply Gap'!H10&lt;0, -'Demand vs Supply Gap'!H10*0.85, 0)</f>
        <v>186.3053467</v>
      </c>
      <c r="I5" s="9">
        <f>IF('Demand vs Supply Gap'!I10&lt;0, -'Demand vs Supply Gap'!I10*0.85, 0)</f>
        <v>190.9548423</v>
      </c>
      <c r="J5" s="9">
        <f>IF('Demand vs Supply Gap'!J10&lt;0, -'Demand vs Supply Gap'!J10*0.85, 0)</f>
        <v>195.6255016</v>
      </c>
      <c r="K5" s="9">
        <f>IF('Demand vs Supply Gap'!K10&lt;0, -'Demand vs Supply Gap'!K10*0.85, 0)</f>
        <v>200.3175361</v>
      </c>
      <c r="L5" s="9">
        <f>IF('Demand vs Supply Gap'!L10&lt;0, -'Demand vs Supply Gap'!L10*0.85, 0)</f>
        <v>205.0311597</v>
      </c>
      <c r="M5" s="9">
        <f>IF('Demand vs Supply Gap'!M10&lt;0, -'Demand vs Supply Gap'!M10*0.85, 0)</f>
        <v>209.7665883</v>
      </c>
      <c r="N5" s="9">
        <f>IF('Demand vs Supply Gap'!N10&lt;0, -'Demand vs Supply Gap'!N10*0.85, 0)</f>
        <v>213.2574752</v>
      </c>
      <c r="O5" s="9">
        <f>IF('Demand vs Supply Gap'!O10&lt;0, -'Demand vs Supply Gap'!O10*0.85, 0)</f>
        <v>216.7706054</v>
      </c>
      <c r="P5" s="9">
        <f>IF('Demand vs Supply Gap'!P10&lt;0, -'Demand vs Supply Gap'!P10*0.85, 0)</f>
        <v>220.3062012</v>
      </c>
      <c r="Q5" s="9">
        <f>IF('Demand vs Supply Gap'!Q10&lt;0, -'Demand vs Supply Gap'!Q10*0.85, 0)</f>
        <v>223.8644873</v>
      </c>
      <c r="R5" s="9">
        <f>IF('Demand vs Supply Gap'!R10&lt;0, -'Demand vs Supply Gap'!R10*0.85, 0)</f>
        <v>227.4456907</v>
      </c>
      <c r="S5" s="9">
        <f>IF('Demand vs Supply Gap'!S10&lt;0, -'Demand vs Supply Gap'!S10*0.85, 0)</f>
        <v>231.0500404</v>
      </c>
      <c r="T5" s="9">
        <f>IF('Demand vs Supply Gap'!T10&lt;0, -'Demand vs Supply Gap'!T10*0.85, 0)</f>
        <v>234.677768</v>
      </c>
      <c r="U5" s="9">
        <f>IF('Demand vs Supply Gap'!U10&lt;0, -'Demand vs Supply Gap'!U10*0.85, 0)</f>
        <v>238.3291072</v>
      </c>
      <c r="V5" s="9">
        <f>IF('Demand vs Supply Gap'!V10&lt;0, -'Demand vs Supply Gap'!V10*0.85, 0)</f>
        <v>242.0042942</v>
      </c>
      <c r="W5" s="9">
        <f>IF('Demand vs Supply Gap'!W10&lt;0, -'Demand vs Supply Gap'!W10*0.85, 0)</f>
        <v>245.7035674</v>
      </c>
    </row>
    <row r="6">
      <c r="A6" s="2" t="s">
        <v>17</v>
      </c>
      <c r="B6" s="2" t="s">
        <v>15</v>
      </c>
      <c r="C6" s="9">
        <f>IF('Demand vs Supply Gap'!C16&lt;0, -'Demand vs Supply Gap'!C16*0.85, 0)</f>
        <v>300.7980672</v>
      </c>
      <c r="D6" s="9">
        <f>IF('Demand vs Supply Gap'!D16&lt;0, -'Demand vs Supply Gap'!D16*0.85, 0)</f>
        <v>308.3856338</v>
      </c>
      <c r="E6" s="9">
        <f>IF('Demand vs Supply Gap'!E16&lt;0, -'Demand vs Supply Gap'!E16*0.85, 0)</f>
        <v>316.0135755</v>
      </c>
      <c r="F6" s="9">
        <f>IF('Demand vs Supply Gap'!F16&lt;0, -'Demand vs Supply Gap'!F16*0.85, 0)</f>
        <v>323.6822959</v>
      </c>
      <c r="G6" s="9">
        <f>IF('Demand vs Supply Gap'!G16&lt;0, -'Demand vs Supply Gap'!G16*0.85, 0)</f>
        <v>331.3922028</v>
      </c>
      <c r="H6" s="9">
        <f>IF('Demand vs Supply Gap'!H16&lt;0, -'Demand vs Supply Gap'!H16*0.85, 0)</f>
        <v>339.1437081</v>
      </c>
      <c r="I6" s="9">
        <f>IF('Demand vs Supply Gap'!I16&lt;0, -'Demand vs Supply Gap'!I16*0.85, 0)</f>
        <v>351.9073212</v>
      </c>
      <c r="J6" s="9">
        <f>IF('Demand vs Supply Gap'!J16&lt;0, -'Demand vs Supply Gap'!J16*0.85, 0)</f>
        <v>364.7133687</v>
      </c>
      <c r="K6" s="9">
        <f>IF('Demand vs Supply Gap'!K16&lt;0, -'Demand vs Supply Gap'!K16*0.85, 0)</f>
        <v>377.5622752</v>
      </c>
      <c r="L6" s="9">
        <f>IF('Demand vs Supply Gap'!L16&lt;0, -'Demand vs Supply Gap'!L16*0.85, 0)</f>
        <v>390.4544691</v>
      </c>
      <c r="M6" s="9">
        <f>IF('Demand vs Supply Gap'!M16&lt;0, -'Demand vs Supply Gap'!M16*0.85, 0)</f>
        <v>403.3903833</v>
      </c>
      <c r="N6" s="9">
        <f>IF('Demand vs Supply Gap'!N16&lt;0, -'Demand vs Supply Gap'!N16*0.85, 0)</f>
        <v>412.1103751</v>
      </c>
      <c r="O6" s="9">
        <f>IF('Demand vs Supply Gap'!O16&lt;0, -'Demand vs Supply Gap'!O16*0.85, 0)</f>
        <v>420.8749661</v>
      </c>
      <c r="P6" s="9">
        <f>IF('Demand vs Supply Gap'!P16&lt;0, -'Demand vs Supply Gap'!P16*0.85, 0)</f>
        <v>429.6846021</v>
      </c>
      <c r="Q6" s="9">
        <f>IF('Demand vs Supply Gap'!Q16&lt;0, -'Demand vs Supply Gap'!Q16*0.85, 0)</f>
        <v>438.5397337</v>
      </c>
      <c r="R6" s="9">
        <f>IF('Demand vs Supply Gap'!R16&lt;0, -'Demand vs Supply Gap'!R16*0.85, 0)</f>
        <v>447.4408158</v>
      </c>
      <c r="S6" s="9">
        <f>IF('Demand vs Supply Gap'!S16&lt;0, -'Demand vs Supply Gap'!S16*0.85, 0)</f>
        <v>456.388308</v>
      </c>
      <c r="T6" s="9">
        <f>IF('Demand vs Supply Gap'!T16&lt;0, -'Demand vs Supply Gap'!T16*0.85, 0)</f>
        <v>465.3826742</v>
      </c>
      <c r="U6" s="9">
        <f>IF('Demand vs Supply Gap'!U16&lt;0, -'Demand vs Supply Gap'!U16*0.85, 0)</f>
        <v>474.4243833</v>
      </c>
      <c r="V6" s="9">
        <f>IF('Demand vs Supply Gap'!V16&lt;0, -'Demand vs Supply Gap'!V16*0.85, 0)</f>
        <v>483.5139088</v>
      </c>
      <c r="W6" s="9">
        <f>IF('Demand vs Supply Gap'!W16&lt;0, -'Demand vs Supply Gap'!W16*0.85, 0)</f>
        <v>492.6517286</v>
      </c>
    </row>
    <row r="7">
      <c r="A7" s="2" t="s">
        <v>17</v>
      </c>
      <c r="B7" s="2" t="s">
        <v>14</v>
      </c>
      <c r="C7" s="9">
        <f>IF('Demand vs Supply Gap'!C15&lt;0, -'Demand vs Supply Gap'!C15*0.85, 0)</f>
        <v>139.9484438</v>
      </c>
      <c r="D7" s="9">
        <f>IF('Demand vs Supply Gap'!D15&lt;0, -'Demand vs Supply Gap'!D15*0.85, 0)</f>
        <v>146.7682216</v>
      </c>
      <c r="E7" s="9">
        <f>IF('Demand vs Supply Gap'!E15&lt;0, -'Demand vs Supply Gap'!E15*0.85, 0)</f>
        <v>153.6141794</v>
      </c>
      <c r="F7" s="9">
        <f>IF('Demand vs Supply Gap'!F15&lt;0, -'Demand vs Supply Gap'!F15*0.85, 0)</f>
        <v>160.486579</v>
      </c>
      <c r="G7" s="9">
        <f>IF('Demand vs Supply Gap'!G15&lt;0, -'Demand vs Supply Gap'!G15*0.85, 0)</f>
        <v>167.3856848</v>
      </c>
      <c r="H7" s="9">
        <f>IF('Demand vs Supply Gap'!H15&lt;0, -'Demand vs Supply Gap'!H15*0.85, 0)</f>
        <v>174.3117639</v>
      </c>
      <c r="I7" s="9">
        <f>IF('Demand vs Supply Gap'!I15&lt;0, -'Demand vs Supply Gap'!I15*0.85, 0)</f>
        <v>187.1475749</v>
      </c>
      <c r="J7" s="9">
        <f>IF('Demand vs Supply Gap'!J15&lt;0, -'Demand vs Supply Gap'!J15*0.85, 0)</f>
        <v>200.0109014</v>
      </c>
      <c r="K7" s="9">
        <f>IF('Demand vs Supply Gap'!K15&lt;0, -'Demand vs Supply Gap'!K15*0.85, 0)</f>
        <v>212.9020185</v>
      </c>
      <c r="L7" s="9">
        <f>IF('Demand vs Supply Gap'!L15&lt;0, -'Demand vs Supply Gap'!L15*0.85, 0)</f>
        <v>225.8212041</v>
      </c>
      <c r="M7" s="9">
        <f>IF('Demand vs Supply Gap'!M15&lt;0, -'Demand vs Supply Gap'!M15*0.85, 0)</f>
        <v>238.7687388</v>
      </c>
      <c r="N7" s="9">
        <f>IF('Demand vs Supply Gap'!N15&lt;0, -'Demand vs Supply Gap'!N15*0.85, 0)</f>
        <v>246.7027729</v>
      </c>
      <c r="O7" s="9">
        <f>IF('Demand vs Supply Gap'!O15&lt;0, -'Demand vs Supply Gap'!O15*0.85, 0)</f>
        <v>254.665726</v>
      </c>
      <c r="P7" s="9">
        <f>IF('Demand vs Supply Gap'!P15&lt;0, -'Demand vs Supply Gap'!P15*0.85, 0)</f>
        <v>262.6578873</v>
      </c>
      <c r="Q7" s="9">
        <f>IF('Demand vs Supply Gap'!Q15&lt;0, -'Demand vs Supply Gap'!Q15*0.85, 0)</f>
        <v>270.6795489</v>
      </c>
      <c r="R7" s="9">
        <f>IF('Demand vs Supply Gap'!R15&lt;0, -'Demand vs Supply Gap'!R15*0.85, 0)</f>
        <v>278.7310057</v>
      </c>
      <c r="S7" s="9">
        <f>IF('Demand vs Supply Gap'!S15&lt;0, -'Demand vs Supply Gap'!S15*0.85, 0)</f>
        <v>286.8125558</v>
      </c>
      <c r="T7" s="9">
        <f>IF('Demand vs Supply Gap'!T15&lt;0, -'Demand vs Supply Gap'!T15*0.85, 0)</f>
        <v>294.9245001</v>
      </c>
      <c r="U7" s="9">
        <f>IF('Demand vs Supply Gap'!U15&lt;0, -'Demand vs Supply Gap'!U15*0.85, 0)</f>
        <v>303.0671424</v>
      </c>
      <c r="V7" s="9">
        <f>IF('Demand vs Supply Gap'!V15&lt;0, -'Demand vs Supply Gap'!V15*0.85, 0)</f>
        <v>311.2407899</v>
      </c>
      <c r="W7" s="9">
        <f>IF('Demand vs Supply Gap'!W15&lt;0, -'Demand vs Supply Gap'!W15*0.85, 0)</f>
        <v>319.4457525</v>
      </c>
    </row>
    <row r="8">
      <c r="A8" s="2" t="s">
        <v>18</v>
      </c>
      <c r="B8" s="2" t="s">
        <v>15</v>
      </c>
      <c r="C8" s="9">
        <f>IF('Demand vs Supply Gap'!C21&lt;0, -'Demand vs Supply Gap'!C21*0.85, 0)</f>
        <v>230.4503425</v>
      </c>
      <c r="D8" s="9">
        <f>IF('Demand vs Supply Gap'!D21&lt;0, -'Demand vs Supply Gap'!D21*0.85, 0)</f>
        <v>238.62611</v>
      </c>
      <c r="E8" s="9">
        <f>IF('Demand vs Supply Gap'!E21&lt;0, -'Demand vs Supply Gap'!E21*0.85, 0)</f>
        <v>246.8381215</v>
      </c>
      <c r="F8" s="9">
        <f>IF('Demand vs Supply Gap'!F21&lt;0, -'Demand vs Supply Gap'!F21*0.85, 0)</f>
        <v>255.0867394</v>
      </c>
      <c r="G8" s="9">
        <f>IF('Demand vs Supply Gap'!G21&lt;0, -'Demand vs Supply Gap'!G21*0.85, 0)</f>
        <v>263.3723299</v>
      </c>
      <c r="H8" s="9">
        <f>IF('Demand vs Supply Gap'!H21&lt;0, -'Demand vs Supply Gap'!H21*0.85, 0)</f>
        <v>271.6952626</v>
      </c>
      <c r="I8" s="9">
        <f>IF('Demand vs Supply Gap'!I21&lt;0, -'Demand vs Supply Gap'!I21*0.85, 0)</f>
        <v>286.4278254</v>
      </c>
      <c r="J8" s="9">
        <f>IF('Demand vs Supply Gap'!J21&lt;0, -'Demand vs Supply Gap'!J21*0.85, 0)</f>
        <v>301.198481</v>
      </c>
      <c r="K8" s="9">
        <f>IF('Demand vs Supply Gap'!K21&lt;0, -'Demand vs Supply Gap'!K21*0.85, 0)</f>
        <v>316.0076104</v>
      </c>
      <c r="L8" s="9">
        <f>IF('Demand vs Supply Gap'!L21&lt;0, -'Demand vs Supply Gap'!L21*0.85, 0)</f>
        <v>330.8555982</v>
      </c>
      <c r="M8" s="9">
        <f>IF('Demand vs Supply Gap'!M21&lt;0, -'Demand vs Supply Gap'!M21*0.85, 0)</f>
        <v>345.7428331</v>
      </c>
      <c r="N8" s="9">
        <f>IF('Demand vs Supply Gap'!N21&lt;0, -'Demand vs Supply Gap'!N21*0.85, 0)</f>
        <v>355.2080666</v>
      </c>
      <c r="O8" s="9">
        <f>IF('Demand vs Supply Gap'!O21&lt;0, -'Demand vs Supply Gap'!O21*0.85, 0)</f>
        <v>364.7133359</v>
      </c>
      <c r="P8" s="9">
        <f>IF('Demand vs Supply Gap'!P21&lt;0, -'Demand vs Supply Gap'!P21*0.85, 0)</f>
        <v>374.2590416</v>
      </c>
      <c r="Q8" s="9">
        <f>IF('Demand vs Supply Gap'!Q21&lt;0, -'Demand vs Supply Gap'!Q21*0.85, 0)</f>
        <v>383.8455878</v>
      </c>
      <c r="R8" s="9">
        <f>IF('Demand vs Supply Gap'!R21&lt;0, -'Demand vs Supply Gap'!R21*0.85, 0)</f>
        <v>393.4733832</v>
      </c>
      <c r="S8" s="9">
        <f>IF('Demand vs Supply Gap'!S21&lt;0, -'Demand vs Supply Gap'!S21*0.85, 0)</f>
        <v>403.1428401</v>
      </c>
      <c r="T8" s="9">
        <f>IF('Demand vs Supply Gap'!T21&lt;0, -'Demand vs Supply Gap'!T21*0.85, 0)</f>
        <v>412.8543751</v>
      </c>
      <c r="U8" s="9">
        <f>IF('Demand vs Supply Gap'!U21&lt;0, -'Demand vs Supply Gap'!U21*0.85, 0)</f>
        <v>422.6084091</v>
      </c>
      <c r="V8" s="9">
        <f>IF('Demand vs Supply Gap'!V21&lt;0, -'Demand vs Supply Gap'!V21*0.85, 0)</f>
        <v>432.405367</v>
      </c>
      <c r="W8" s="9">
        <f>IF('Demand vs Supply Gap'!W21&lt;0, -'Demand vs Supply Gap'!W21*0.85, 0)</f>
        <v>442.2456781</v>
      </c>
    </row>
    <row r="9">
      <c r="A9" s="2" t="s">
        <v>18</v>
      </c>
      <c r="B9" s="2" t="s">
        <v>14</v>
      </c>
      <c r="C9" s="9">
        <f>IF('Demand vs Supply Gap'!C20&lt;0, -'Demand vs Supply Gap'!C20*0.85, 0)</f>
        <v>168.22282</v>
      </c>
      <c r="D9" s="9">
        <f>IF('Demand vs Supply Gap'!D20&lt;0, -'Demand vs Supply Gap'!D20*0.85, 0)</f>
        <v>172.49849</v>
      </c>
      <c r="E9" s="9">
        <f>IF('Demand vs Supply Gap'!E20&lt;0, -'Demand vs Supply Gap'!E20*0.85, 0)</f>
        <v>176.7968125</v>
      </c>
      <c r="F9" s="9">
        <f>IF('Demand vs Supply Gap'!F20&lt;0, -'Demand vs Supply Gap'!F20*0.85, 0)</f>
        <v>181.118014</v>
      </c>
      <c r="G9" s="9">
        <f>IF('Demand vs Supply Gap'!G20&lt;0, -'Demand vs Supply Gap'!G20*0.85, 0)</f>
        <v>185.4623234</v>
      </c>
      <c r="H9" s="9">
        <f>IF('Demand vs Supply Gap'!H20&lt;0, -'Demand vs Supply Gap'!H20*0.85, 0)</f>
        <v>189.8299716</v>
      </c>
      <c r="I9" s="9">
        <f>IF('Demand vs Supply Gap'!I20&lt;0, -'Demand vs Supply Gap'!I20*0.85, 0)</f>
        <v>197.0357801</v>
      </c>
      <c r="J9" s="9">
        <f>IF('Demand vs Supply Gap'!J20&lt;0, -'Demand vs Supply Gap'!J20*0.85, 0)</f>
        <v>204.2653966</v>
      </c>
      <c r="K9" s="9">
        <f>IF('Demand vs Supply Gap'!K20&lt;0, -'Demand vs Supply Gap'!K20*0.85, 0)</f>
        <v>211.5190592</v>
      </c>
      <c r="L9" s="9">
        <f>IF('Demand vs Supply Gap'!L20&lt;0, -'Demand vs Supply Gap'!L20*0.85, 0)</f>
        <v>218.7970084</v>
      </c>
      <c r="M9" s="9">
        <f>IF('Demand vs Supply Gap'!M20&lt;0, -'Demand vs Supply Gap'!M20*0.85, 0)</f>
        <v>226.099487</v>
      </c>
      <c r="N9" s="9">
        <f>IF('Demand vs Supply Gap'!N20&lt;0, -'Demand vs Supply Gap'!N20*0.85, 0)</f>
        <v>231.0142362</v>
      </c>
      <c r="O9" s="9">
        <f>IF('Demand vs Supply Gap'!O20&lt;0, -'Demand vs Supply Gap'!O20*0.85, 0)</f>
        <v>235.954008</v>
      </c>
      <c r="P9" s="9">
        <f>IF('Demand vs Supply Gap'!P20&lt;0, -'Demand vs Supply Gap'!P20*0.85, 0)</f>
        <v>240.9190524</v>
      </c>
      <c r="Q9" s="9">
        <f>IF('Demand vs Supply Gap'!Q20&lt;0, -'Demand vs Supply Gap'!Q20*0.85, 0)</f>
        <v>245.9096222</v>
      </c>
      <c r="R9" s="9">
        <f>IF('Demand vs Supply Gap'!R20&lt;0, -'Demand vs Supply Gap'!R20*0.85, 0)</f>
        <v>250.9259726</v>
      </c>
      <c r="S9" s="9">
        <f>IF('Demand vs Supply Gap'!S20&lt;0, -'Demand vs Supply Gap'!S20*0.85, 0)</f>
        <v>255.9683615</v>
      </c>
      <c r="T9" s="9">
        <f>IF('Demand vs Supply Gap'!T20&lt;0, -'Demand vs Supply Gap'!T20*0.85, 0)</f>
        <v>261.0370493</v>
      </c>
      <c r="U9" s="9">
        <f>IF('Demand vs Supply Gap'!U20&lt;0, -'Demand vs Supply Gap'!U20*0.85, 0)</f>
        <v>266.1322989</v>
      </c>
      <c r="V9" s="9">
        <f>IF('Demand vs Supply Gap'!V20&lt;0, -'Demand vs Supply Gap'!V20*0.85, 0)</f>
        <v>271.254376</v>
      </c>
      <c r="W9" s="9">
        <f>IF('Demand vs Supply Gap'!W20&lt;0, -'Demand vs Supply Gap'!W20*0.85, 0)</f>
        <v>276.4035488</v>
      </c>
    </row>
    <row r="13">
      <c r="A13" s="10" t="s">
        <v>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9">
    <sortState ref="A1:Z9">
      <sortCondition ref="A1:A9"/>
    </sortState>
  </autoFilter>
  <mergeCells count="1">
    <mergeCell ref="A13:R19"/>
  </mergeCells>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2.57"/>
    <col customWidth="1" min="3" max="26" width="8.71"/>
  </cols>
  <sheetData>
    <row r="1">
      <c r="A1" s="8" t="s">
        <v>4</v>
      </c>
      <c r="B1" s="8" t="s">
        <v>5</v>
      </c>
      <c r="C1" s="8">
        <v>2025.0</v>
      </c>
      <c r="D1" s="8">
        <v>2026.0</v>
      </c>
      <c r="E1" s="8">
        <v>2027.0</v>
      </c>
      <c r="F1" s="8">
        <v>2028.0</v>
      </c>
      <c r="G1" s="8">
        <v>2029.0</v>
      </c>
      <c r="H1" s="8">
        <v>2030.0</v>
      </c>
      <c r="I1" s="8">
        <v>2031.0</v>
      </c>
      <c r="J1" s="8">
        <v>2032.0</v>
      </c>
      <c r="K1" s="8">
        <v>2033.0</v>
      </c>
      <c r="L1" s="8">
        <v>2034.0</v>
      </c>
      <c r="M1" s="8">
        <v>2035.0</v>
      </c>
      <c r="N1" s="8">
        <v>2036.0</v>
      </c>
      <c r="O1" s="8">
        <v>2037.0</v>
      </c>
      <c r="P1" s="8">
        <v>2038.0</v>
      </c>
      <c r="Q1" s="8">
        <v>2039.0</v>
      </c>
      <c r="R1" s="8">
        <v>2040.0</v>
      </c>
      <c r="S1" s="8">
        <v>2041.0</v>
      </c>
      <c r="T1" s="8">
        <v>2042.0</v>
      </c>
      <c r="U1" s="8">
        <v>2043.0</v>
      </c>
      <c r="V1" s="8">
        <v>2044.0</v>
      </c>
      <c r="W1" s="8">
        <v>2045.0</v>
      </c>
      <c r="X1" s="8"/>
      <c r="Y1" s="8"/>
      <c r="Z1" s="8"/>
    </row>
    <row r="2">
      <c r="A2" s="2" t="s">
        <v>10</v>
      </c>
      <c r="B2" s="2" t="s">
        <v>11</v>
      </c>
      <c r="C2" s="9">
        <f>'Demand vs Supply Gap'!C2</f>
        <v>-140.3969</v>
      </c>
      <c r="D2" s="9">
        <f>'Demand vs Supply Gap'!D2</f>
        <v>-153.769</v>
      </c>
      <c r="E2" s="9">
        <f>'Demand vs Supply Gap'!E2</f>
        <v>-167.167</v>
      </c>
      <c r="F2" s="9">
        <f>'Demand vs Supply Gap'!F2</f>
        <v>-180.591159</v>
      </c>
      <c r="G2" s="9">
        <f>'Demand vs Supply Gap'!G2</f>
        <v>-194.0417386</v>
      </c>
      <c r="H2" s="9">
        <f>'Demand vs Supply Gap'!H2</f>
        <v>-207.519003</v>
      </c>
      <c r="I2" s="9">
        <f>'Demand vs Supply Gap'!I2</f>
        <v>-218.004231</v>
      </c>
      <c r="J2" s="9">
        <f>'Demand vs Supply Gap'!J2</f>
        <v>-228.5166802</v>
      </c>
      <c r="K2" s="9">
        <f>'Demand vs Supply Gap'!K2</f>
        <v>-239.0566228</v>
      </c>
      <c r="L2" s="9">
        <f>'Demand vs Supply Gap'!L2</f>
        <v>-249.6243336</v>
      </c>
      <c r="M2" s="9">
        <f>'Demand vs Supply Gap'!M2</f>
        <v>-260.2200905</v>
      </c>
      <c r="N2" s="9">
        <f>'Demand vs Supply Gap'!N2</f>
        <v>-265.6687658</v>
      </c>
      <c r="O2" s="9">
        <f>'Demand vs Supply Gap'!O2</f>
        <v>-271.1460508</v>
      </c>
      <c r="P2" s="9">
        <f>'Demand vs Supply Gap'!P2</f>
        <v>-276.6522316</v>
      </c>
      <c r="Q2" s="9">
        <f>'Demand vs Supply Gap'!Q2</f>
        <v>-282.1875972</v>
      </c>
      <c r="R2" s="9">
        <f>'Demand vs Supply Gap'!R2</f>
        <v>-287.7524394</v>
      </c>
      <c r="S2" s="9">
        <f>'Demand vs Supply Gap'!S2</f>
        <v>-293.347053</v>
      </c>
      <c r="T2" s="9">
        <f>'Demand vs Supply Gap'!T2</f>
        <v>-298.9717357</v>
      </c>
      <c r="U2" s="9">
        <f>'Demand vs Supply Gap'!U2</f>
        <v>-304.6267882</v>
      </c>
      <c r="V2" s="9">
        <f>'Demand vs Supply Gap'!V2</f>
        <v>-310.3125142</v>
      </c>
      <c r="W2" s="9">
        <f>'Demand vs Supply Gap'!W2</f>
        <v>-316.0292203</v>
      </c>
    </row>
    <row r="3">
      <c r="A3" s="2" t="s">
        <v>10</v>
      </c>
      <c r="B3" s="2" t="s">
        <v>12</v>
      </c>
      <c r="C3" s="9">
        <f>'Demand vs Supply Gap'!C3</f>
        <v>568.254376</v>
      </c>
      <c r="D3" s="9">
        <f>'Demand vs Supply Gap'!D3</f>
        <v>538.121432</v>
      </c>
      <c r="E3" s="9">
        <f>'Demand vs Supply Gap'!E3</f>
        <v>507.964798</v>
      </c>
      <c r="F3" s="9">
        <f>'Demand vs Supply Gap'!F3</f>
        <v>477.7842371</v>
      </c>
      <c r="G3" s="9">
        <f>'Demand vs Supply Gap'!G3</f>
        <v>447.57951</v>
      </c>
      <c r="H3" s="9">
        <f>'Demand vs Supply Gap'!H3</f>
        <v>417.3503751</v>
      </c>
      <c r="I3" s="9">
        <f>'Demand vs Supply Gap'!I3</f>
        <v>364.8854331</v>
      </c>
      <c r="J3" s="9">
        <f>'Demand vs Supply Gap'!J3</f>
        <v>312.3955927</v>
      </c>
      <c r="K3" s="9">
        <f>'Demand vs Supply Gap'!K3</f>
        <v>259.8806048</v>
      </c>
      <c r="L3" s="9">
        <f>'Demand vs Supply Gap'!L3</f>
        <v>207.3402181</v>
      </c>
      <c r="M3" s="9">
        <f>'Demand vs Supply Gap'!M3</f>
        <v>154.7741785</v>
      </c>
      <c r="N3" s="9">
        <f>'Demand vs Supply Gap'!N3</f>
        <v>110.5114127</v>
      </c>
      <c r="O3" s="9">
        <f>'Demand vs Supply Gap'!O3</f>
        <v>66.22247836</v>
      </c>
      <c r="P3" s="9">
        <f>'Demand vs Supply Gap'!P3</f>
        <v>21.90711387</v>
      </c>
      <c r="Q3" s="9">
        <f>'Demand vs Supply Gap'!Q3</f>
        <v>-22.43494512</v>
      </c>
      <c r="R3" s="9">
        <f>'Demand vs Supply Gap'!R3</f>
        <v>-66.80396553</v>
      </c>
      <c r="S3" s="9">
        <f>'Demand vs Supply Gap'!S3</f>
        <v>-111.200217</v>
      </c>
      <c r="T3" s="9">
        <f>'Demand vs Supply Gap'!T3</f>
        <v>-155.6239718</v>
      </c>
      <c r="U3" s="9">
        <f>'Demand vs Supply Gap'!U3</f>
        <v>-200.075505</v>
      </c>
      <c r="V3" s="9">
        <f>'Demand vs Supply Gap'!V3</f>
        <v>-244.5550944</v>
      </c>
      <c r="W3" s="9">
        <f>'Demand vs Supply Gap'!W3</f>
        <v>-289.0630205</v>
      </c>
    </row>
    <row r="4">
      <c r="A4" s="2" t="s">
        <v>10</v>
      </c>
      <c r="B4" s="2" t="s">
        <v>13</v>
      </c>
      <c r="C4" s="9">
        <f>'Demand vs Supply Gap'!C4</f>
        <v>30.376657</v>
      </c>
      <c r="D4" s="9">
        <f>'Demand vs Supply Gap'!D4</f>
        <v>24.754934</v>
      </c>
      <c r="E4" s="9">
        <f>'Demand vs Supply Gap'!E4</f>
        <v>19.114261</v>
      </c>
      <c r="F4" s="9">
        <f>'Demand vs Supply Gap'!F4</f>
        <v>13.4544485</v>
      </c>
      <c r="G4" s="9">
        <f>'Demand vs Supply Gap'!G4</f>
        <v>7.775305105</v>
      </c>
      <c r="H4" s="9">
        <f>'Demand vs Supply Gap'!H4</f>
        <v>2.076637506</v>
      </c>
      <c r="I4" s="9">
        <f>'Demand vs Supply Gap'!I4</f>
        <v>-8.859161739</v>
      </c>
      <c r="J4" s="9">
        <f>'Demand vs Supply Gap'!J4</f>
        <v>-19.81487762</v>
      </c>
      <c r="K4" s="9">
        <f>'Demand vs Supply Gap'!K4</f>
        <v>-30.79070932</v>
      </c>
      <c r="L4" s="9">
        <f>'Demand vs Supply Gap'!L4</f>
        <v>-41.78685797</v>
      </c>
      <c r="M4" s="9">
        <f>'Demand vs Supply Gap'!M4</f>
        <v>-52.80352677</v>
      </c>
      <c r="N4" s="9">
        <f>'Demand vs Supply Gap'!N4</f>
        <v>-70.54902229</v>
      </c>
      <c r="O4" s="9">
        <f>'Demand vs Supply Gap'!O4</f>
        <v>-88.31545041</v>
      </c>
      <c r="P4" s="9">
        <f>'Demand vs Supply Gap'!P4</f>
        <v>-106.1030204</v>
      </c>
      <c r="Q4" s="9">
        <f>'Demand vs Supply Gap'!Q4</f>
        <v>-123.9119438</v>
      </c>
      <c r="R4" s="9">
        <f>'Demand vs Supply Gap'!R4</f>
        <v>-141.742434</v>
      </c>
      <c r="S4" s="9">
        <f>'Demand vs Supply Gap'!S4</f>
        <v>-159.5947068</v>
      </c>
      <c r="T4" s="9">
        <f>'Demand vs Supply Gap'!T4</f>
        <v>-177.4689799</v>
      </c>
      <c r="U4" s="9">
        <f>'Demand vs Supply Gap'!U4</f>
        <v>-195.3654734</v>
      </c>
      <c r="V4" s="9">
        <f>'Demand vs Supply Gap'!V4</f>
        <v>-213.2844095</v>
      </c>
      <c r="W4" s="9">
        <f>'Demand vs Supply Gap'!W4</f>
        <v>-231.2260126</v>
      </c>
    </row>
    <row r="5">
      <c r="A5" s="2" t="s">
        <v>10</v>
      </c>
      <c r="B5" s="2" t="s">
        <v>14</v>
      </c>
      <c r="C5" s="9">
        <f>'Demand vs Supply Gap'!C5 + 'Battery Storage Impact'!C3</f>
        <v>-20.1196266</v>
      </c>
      <c r="D5" s="9">
        <f>'Demand vs Supply Gap'!D5 + 'Battery Storage Impact'!D3</f>
        <v>-21.9546912</v>
      </c>
      <c r="E5" s="9">
        <f>'Demand vs Supply Gap'!E5 + 'Battery Storage Impact'!E3</f>
        <v>-23.7954408</v>
      </c>
      <c r="F5" s="9">
        <f>'Demand vs Supply Gap'!F5 + 'Battery Storage Impact'!F3</f>
        <v>-25.64193225</v>
      </c>
      <c r="G5" s="9">
        <f>'Demand vs Supply Gap'!G5 + 'Battery Storage Impact'!G3</f>
        <v>-27.49422297</v>
      </c>
      <c r="H5" s="9">
        <f>'Demand vs Supply Gap'!H5 + 'Battery Storage Impact'!H3</f>
        <v>-29.35237095</v>
      </c>
      <c r="I5" s="9">
        <f>'Demand vs Supply Gap'!I5 + 'Battery Storage Impact'!I3</f>
        <v>-32.9896252</v>
      </c>
      <c r="J5" s="9">
        <f>'Demand vs Supply Gap'!J5 + 'Battery Storage Impact'!J3</f>
        <v>-36.63285445</v>
      </c>
      <c r="K5" s="9">
        <f>'Demand vs Supply Gap'!K5 + 'Battery Storage Impact'!K3</f>
        <v>-40.28211843</v>
      </c>
      <c r="L5" s="9">
        <f>'Demand vs Supply Gap'!L5 + 'Battery Storage Impact'!L3</f>
        <v>-43.93747751</v>
      </c>
      <c r="M5" s="9">
        <f>'Demand vs Supply Gap'!M5 + 'Battery Storage Impact'!M3</f>
        <v>-47.59899263</v>
      </c>
      <c r="N5" s="9">
        <f>'Demand vs Supply Gap'!N5 + 'Battery Storage Impact'!N3</f>
        <v>-49.74684783</v>
      </c>
      <c r="O5" s="9">
        <f>'Demand vs Supply Gap'!O5 + 'Battery Storage Impact'!O3</f>
        <v>-51.9009828</v>
      </c>
      <c r="P5" s="9">
        <f>'Demand vs Supply Gap'!P5 + 'Battery Storage Impact'!P3</f>
        <v>-54.06146035</v>
      </c>
      <c r="Q5" s="9">
        <f>'Demand vs Supply Gap'!Q5 + 'Battery Storage Impact'!Q3</f>
        <v>-56.2283439</v>
      </c>
      <c r="R5" s="9">
        <f>'Demand vs Supply Gap'!R5 + 'Battery Storage Impact'!R3</f>
        <v>-58.40169751</v>
      </c>
      <c r="S5" s="9">
        <f>'Demand vs Supply Gap'!S5 + 'Battery Storage Impact'!S3</f>
        <v>-60.58158588</v>
      </c>
      <c r="T5" s="9">
        <f>'Demand vs Supply Gap'!T5 + 'Battery Storage Impact'!T3</f>
        <v>-62.76807436</v>
      </c>
      <c r="U5" s="9">
        <f>'Demand vs Supply Gap'!U5 + 'Battery Storage Impact'!U3</f>
        <v>-64.96122895</v>
      </c>
      <c r="V5" s="9">
        <f>'Demand vs Supply Gap'!V5 + 'Battery Storage Impact'!V3</f>
        <v>-67.16111631</v>
      </c>
      <c r="W5" s="9">
        <f>'Demand vs Supply Gap'!W5 + 'Battery Storage Impact'!W3</f>
        <v>-69.36780377</v>
      </c>
    </row>
    <row r="6">
      <c r="A6" s="2" t="s">
        <v>10</v>
      </c>
      <c r="B6" s="2" t="s">
        <v>15</v>
      </c>
      <c r="C6" s="9">
        <f>'Demand vs Supply Gap'!C6 + 'Battery Storage Impact'!C2</f>
        <v>-9.69188625</v>
      </c>
      <c r="D6" s="9">
        <f>'Demand vs Supply Gap'!D6 + 'Battery Storage Impact'!D2</f>
        <v>-10.191735</v>
      </c>
      <c r="E6" s="9">
        <f>'Demand vs Supply Gap'!E6 + 'Battery Storage Impact'!E2</f>
        <v>-10.69345875</v>
      </c>
      <c r="F6" s="9">
        <f>'Demand vs Supply Gap'!F6 + 'Battery Storage Impact'!F2</f>
        <v>-11.19707625</v>
      </c>
      <c r="G6" s="9">
        <f>'Demand vs Supply Gap'!G6 + 'Battery Storage Impact'!G2</f>
        <v>-11.70260644</v>
      </c>
      <c r="H6" s="9">
        <f>'Demand vs Supply Gap'!H6 + 'Battery Storage Impact'!H2</f>
        <v>-12.21006844</v>
      </c>
      <c r="I6" s="9">
        <f>'Demand vs Supply Gap'!I6 + 'Battery Storage Impact'!I2</f>
        <v>-13.15676982</v>
      </c>
      <c r="J6" s="9">
        <f>'Demand vs Supply Gap'!J6 + 'Battery Storage Impact'!J2</f>
        <v>-14.10544185</v>
      </c>
      <c r="K6" s="9">
        <f>'Demand vs Supply Gap'!K6 + 'Battery Storage Impact'!K2</f>
        <v>-15.05610423</v>
      </c>
      <c r="L6" s="9">
        <f>'Demand vs Supply Gap'!L6 + 'Battery Storage Impact'!L2</f>
        <v>-16.00877686</v>
      </c>
      <c r="M6" s="9">
        <f>'Demand vs Supply Gap'!M6 + 'Battery Storage Impact'!M2</f>
        <v>-16.96347985</v>
      </c>
      <c r="N6" s="9">
        <f>'Demand vs Supply Gap'!N6 + 'Battery Storage Impact'!N2</f>
        <v>-17.545415</v>
      </c>
      <c r="O6" s="9">
        <f>'Demand vs Supply Gap'!O6 + 'Battery Storage Impact'!O2</f>
        <v>-18.12942131</v>
      </c>
      <c r="P6" s="9">
        <f>'Demand vs Supply Gap'!P6 + 'Battery Storage Impact'!P2</f>
        <v>-18.71551951</v>
      </c>
      <c r="Q6" s="9">
        <f>'Demand vs Supply Gap'!Q6 + 'Battery Storage Impact'!Q2</f>
        <v>-19.3037305</v>
      </c>
      <c r="R6" s="9">
        <f>'Demand vs Supply Gap'!R6 + 'Battery Storage Impact'!R2</f>
        <v>-19.89407541</v>
      </c>
      <c r="S6" s="9">
        <f>'Demand vs Supply Gap'!S6 + 'Battery Storage Impact'!S2</f>
        <v>-20.48657559</v>
      </c>
      <c r="T6" s="9">
        <f>'Demand vs Supply Gap'!T6 + 'Battery Storage Impact'!T2</f>
        <v>-21.08125259</v>
      </c>
      <c r="U6" s="9">
        <f>'Demand vs Supply Gap'!U6 + 'Battery Storage Impact'!U2</f>
        <v>-21.67812817</v>
      </c>
      <c r="V6" s="9">
        <f>'Demand vs Supply Gap'!V6 + 'Battery Storage Impact'!V2</f>
        <v>-22.27722432</v>
      </c>
      <c r="W6" s="9">
        <f>'Demand vs Supply Gap'!W6 + 'Battery Storage Impact'!W2</f>
        <v>-22.87856325</v>
      </c>
    </row>
    <row r="7">
      <c r="A7" s="2" t="s">
        <v>16</v>
      </c>
      <c r="B7" s="2" t="s">
        <v>11</v>
      </c>
      <c r="C7" s="9">
        <f>'Demand vs Supply Gap'!C7</f>
        <v>-46.25309</v>
      </c>
      <c r="D7" s="9">
        <f>'Demand vs Supply Gap'!D7</f>
        <v>-51.3319</v>
      </c>
      <c r="E7" s="9">
        <f>'Demand vs Supply Gap'!E7</f>
        <v>-56.41991</v>
      </c>
      <c r="F7" s="9">
        <f>'Demand vs Supply Gap'!F7</f>
        <v>-61.517212</v>
      </c>
      <c r="G7" s="9">
        <f>'Demand vs Supply Gap'!G7</f>
        <v>-66.62389892</v>
      </c>
      <c r="H7" s="9">
        <f>'Demand vs Supply Gap'!H7</f>
        <v>-71.74006461</v>
      </c>
      <c r="I7" s="9">
        <f>'Demand vs Supply Gap'!I7</f>
        <v>-75.70133706</v>
      </c>
      <c r="J7" s="9">
        <f>'Demand vs Supply Gap'!J7</f>
        <v>-79.67227879</v>
      </c>
      <c r="K7" s="9">
        <f>'Demand vs Supply Gap'!K7</f>
        <v>-83.65298652</v>
      </c>
      <c r="L7" s="9">
        <f>'Demand vs Supply Gap'!L7</f>
        <v>-87.64355789</v>
      </c>
      <c r="M7" s="9">
        <f>'Demand vs Supply Gap'!M7</f>
        <v>-91.64409154</v>
      </c>
      <c r="N7" s="9">
        <f>'Demand vs Supply Gap'!N7</f>
        <v>-93.65845829</v>
      </c>
      <c r="O7" s="9">
        <f>'Demand vs Supply Gap'!O7</f>
        <v>-95.68298757</v>
      </c>
      <c r="P7" s="9">
        <f>'Demand vs Supply Gap'!P7</f>
        <v>-97.717781</v>
      </c>
      <c r="Q7" s="9">
        <f>'Demand vs Supply Gap'!Q7</f>
        <v>-99.76294122</v>
      </c>
      <c r="R7" s="9">
        <f>'Demand vs Supply Gap'!R7</f>
        <v>-101.8185719</v>
      </c>
      <c r="S7" s="9">
        <f>'Demand vs Supply Gap'!S7</f>
        <v>-103.8847777</v>
      </c>
      <c r="T7" s="9">
        <f>'Demand vs Supply Gap'!T7</f>
        <v>-105.9616645</v>
      </c>
      <c r="U7" s="9">
        <f>'Demand vs Supply Gap'!U7</f>
        <v>-108.049339</v>
      </c>
      <c r="V7" s="9">
        <f>'Demand vs Supply Gap'!V7</f>
        <v>-110.147909</v>
      </c>
      <c r="W7" s="9">
        <f>'Demand vs Supply Gap'!W7</f>
        <v>-112.2574837</v>
      </c>
    </row>
    <row r="8">
      <c r="A8" s="2" t="s">
        <v>16</v>
      </c>
      <c r="B8" s="2" t="s">
        <v>12</v>
      </c>
      <c r="C8" s="9">
        <f>'Demand vs Supply Gap'!C8</f>
        <v>351.59332</v>
      </c>
      <c r="D8" s="9">
        <f>'Demand vs Supply Gap'!D8</f>
        <v>323.66024</v>
      </c>
      <c r="E8" s="9">
        <f>'Demand vs Supply Gap'!E8</f>
        <v>295.69162</v>
      </c>
      <c r="F8" s="9">
        <f>'Demand vs Supply Gap'!F8</f>
        <v>267.6871046</v>
      </c>
      <c r="G8" s="9">
        <f>'Demand vs Supply Gap'!G8</f>
        <v>239.6463348</v>
      </c>
      <c r="H8" s="9">
        <f>'Demand vs Supply Gap'!H8</f>
        <v>211.5689482</v>
      </c>
      <c r="I8" s="9">
        <f>'Demand vs Supply Gap'!I8</f>
        <v>163.9513145</v>
      </c>
      <c r="J8" s="9">
        <f>'Demand vs Supply Gap'!J8</f>
        <v>116.2963279</v>
      </c>
      <c r="K8" s="9">
        <f>'Demand vs Supply Gap'!K8</f>
        <v>68.60361482</v>
      </c>
      <c r="L8" s="9">
        <f>'Demand vs Supply Gap'!L8</f>
        <v>20.87279809</v>
      </c>
      <c r="M8" s="9">
        <f>'Demand vs Supply Gap'!M8</f>
        <v>-26.89650337</v>
      </c>
      <c r="N8" s="9">
        <f>'Demand vs Supply Gap'!N8</f>
        <v>-67.3909504</v>
      </c>
      <c r="O8" s="9">
        <f>'Demand vs Supply Gap'!O8</f>
        <v>-107.9246557</v>
      </c>
      <c r="P8" s="9">
        <f>'Demand vs Supply Gap'!P8</f>
        <v>-148.4980119</v>
      </c>
      <c r="Q8" s="9">
        <f>'Demand vs Supply Gap'!Q8</f>
        <v>-189.1114154</v>
      </c>
      <c r="R8" s="9">
        <f>'Demand vs Supply Gap'!R8</f>
        <v>-229.7652667</v>
      </c>
      <c r="S8" s="9">
        <f>'Demand vs Supply Gap'!S8</f>
        <v>-270.4599704</v>
      </c>
      <c r="T8" s="9">
        <f>'Demand vs Supply Gap'!T8</f>
        <v>-311.1959349</v>
      </c>
      <c r="U8" s="9">
        <f>'Demand vs Supply Gap'!U8</f>
        <v>-351.9735729</v>
      </c>
      <c r="V8" s="9">
        <f>'Demand vs Supply Gap'!V8</f>
        <v>-392.793301</v>
      </c>
      <c r="W8" s="9">
        <f>'Demand vs Supply Gap'!W8</f>
        <v>-433.6555402</v>
      </c>
    </row>
    <row r="9">
      <c r="A9" s="2" t="s">
        <v>16</v>
      </c>
      <c r="B9" s="2" t="s">
        <v>13</v>
      </c>
      <c r="C9" s="9">
        <f>'Demand vs Supply Gap'!C9</f>
        <v>-279.054743</v>
      </c>
      <c r="D9" s="9">
        <f>'Demand vs Supply Gap'!D9</f>
        <v>-286.586866</v>
      </c>
      <c r="E9" s="9">
        <f>'Demand vs Supply Gap'!E9</f>
        <v>-294.164489</v>
      </c>
      <c r="F9" s="9">
        <f>'Demand vs Supply Gap'!F9</f>
        <v>-301.788067</v>
      </c>
      <c r="G9" s="9">
        <f>'Demand vs Supply Gap'!G9</f>
        <v>-309.4580596</v>
      </c>
      <c r="H9" s="9">
        <f>'Demand vs Supply Gap'!H9</f>
        <v>-317.1749308</v>
      </c>
      <c r="I9" s="9">
        <f>'Demand vs Supply Gap'!I9</f>
        <v>-329.1141217</v>
      </c>
      <c r="J9" s="9">
        <f>'Demand vs Supply Gap'!J9</f>
        <v>-341.1011336</v>
      </c>
      <c r="K9" s="9">
        <f>'Demand vs Supply Gap'!K9</f>
        <v>-353.1364447</v>
      </c>
      <c r="L9" s="9">
        <f>'Demand vs Supply Gap'!L9</f>
        <v>-365.2205379</v>
      </c>
      <c r="M9" s="9">
        <f>'Demand vs Supply Gap'!M9</f>
        <v>-377.3539011</v>
      </c>
      <c r="N9" s="9">
        <f>'Demand vs Supply Gap'!N9</f>
        <v>-394.9048483</v>
      </c>
      <c r="O9" s="9">
        <f>'Demand vs Supply Gap'!O9</f>
        <v>-412.5060559</v>
      </c>
      <c r="P9" s="9">
        <f>'Demand vs Supply Gap'!P9</f>
        <v>-430.1580264</v>
      </c>
      <c r="Q9" s="9">
        <f>'Demand vs Supply Gap'!Q9</f>
        <v>-447.8612674</v>
      </c>
      <c r="R9" s="9">
        <f>'Demand vs Supply Gap'!R9</f>
        <v>-465.6162917</v>
      </c>
      <c r="S9" s="9">
        <f>'Demand vs Supply Gap'!S9</f>
        <v>-483.423617</v>
      </c>
      <c r="T9" s="9">
        <f>'Demand vs Supply Gap'!T9</f>
        <v>-501.2837665</v>
      </c>
      <c r="U9" s="9">
        <f>'Demand vs Supply Gap'!U9</f>
        <v>-519.1972682</v>
      </c>
      <c r="V9" s="9">
        <f>'Demand vs Supply Gap'!V9</f>
        <v>-537.1646559</v>
      </c>
      <c r="W9" s="9">
        <f>'Demand vs Supply Gap'!W9</f>
        <v>-555.1864682</v>
      </c>
    </row>
    <row r="10">
      <c r="A10" s="2" t="s">
        <v>16</v>
      </c>
      <c r="B10" s="2" t="s">
        <v>14</v>
      </c>
      <c r="C10" s="9">
        <f>'Demand vs Supply Gap'!C10 + 'Battery Storage Impact'!C5</f>
        <v>-30.1334745</v>
      </c>
      <c r="D10" s="9">
        <f>'Demand vs Supply Gap'!D10 + 'Battery Storage Impact'!D5</f>
        <v>-30.675084</v>
      </c>
      <c r="E10" s="9">
        <f>'Demand vs Supply Gap'!E10 + 'Battery Storage Impact'!E5</f>
        <v>-31.220247</v>
      </c>
      <c r="F10" s="9">
        <f>'Demand vs Supply Gap'!F10 + 'Battery Storage Impact'!F5</f>
        <v>-31.76899904</v>
      </c>
      <c r="G10" s="9">
        <f>'Demand vs Supply Gap'!G10 + 'Battery Storage Impact'!G5</f>
        <v>-32.321376</v>
      </c>
      <c r="H10" s="9">
        <f>'Demand vs Supply Gap'!H10 + 'Battery Storage Impact'!H5</f>
        <v>-32.87741413</v>
      </c>
      <c r="I10" s="9">
        <f>'Demand vs Supply Gap'!I10 + 'Battery Storage Impact'!I5</f>
        <v>-33.69791335</v>
      </c>
      <c r="J10" s="9">
        <f>'Demand vs Supply Gap'!J10 + 'Battery Storage Impact'!J5</f>
        <v>-34.52214734</v>
      </c>
      <c r="K10" s="9">
        <f>'Demand vs Supply Gap'!K10 + 'Battery Storage Impact'!K5</f>
        <v>-35.35015343</v>
      </c>
      <c r="L10" s="9">
        <f>'Demand vs Supply Gap'!L10 + 'Battery Storage Impact'!L5</f>
        <v>-36.18196936</v>
      </c>
      <c r="M10" s="9">
        <f>'Demand vs Supply Gap'!M10 + 'Battery Storage Impact'!M5</f>
        <v>-37.01763323</v>
      </c>
      <c r="N10" s="9">
        <f>'Demand vs Supply Gap'!N10 + 'Battery Storage Impact'!N5</f>
        <v>-37.6336721</v>
      </c>
      <c r="O10" s="9">
        <f>'Demand vs Supply Gap'!O10 + 'Battery Storage Impact'!O5</f>
        <v>-38.25363625</v>
      </c>
      <c r="P10" s="9">
        <f>'Demand vs Supply Gap'!P10 + 'Battery Storage Impact'!P5</f>
        <v>-38.87756492</v>
      </c>
      <c r="Q10" s="9">
        <f>'Demand vs Supply Gap'!Q10 + 'Battery Storage Impact'!Q5</f>
        <v>-39.50549777</v>
      </c>
      <c r="R10" s="9">
        <f>'Demand vs Supply Gap'!R10 + 'Battery Storage Impact'!R5</f>
        <v>-40.13747483</v>
      </c>
      <c r="S10" s="9">
        <f>'Demand vs Supply Gap'!S10 + 'Battery Storage Impact'!S5</f>
        <v>-40.77353655</v>
      </c>
      <c r="T10" s="9">
        <f>'Demand vs Supply Gap'!T10 + 'Battery Storage Impact'!T5</f>
        <v>-41.41372377</v>
      </c>
      <c r="U10" s="9">
        <f>'Demand vs Supply Gap'!U10 + 'Battery Storage Impact'!U5</f>
        <v>-42.05807775</v>
      </c>
      <c r="V10" s="9">
        <f>'Demand vs Supply Gap'!V10 + 'Battery Storage Impact'!V5</f>
        <v>-42.70664015</v>
      </c>
      <c r="W10" s="9">
        <f>'Demand vs Supply Gap'!W10 + 'Battery Storage Impact'!W5</f>
        <v>-43.35945307</v>
      </c>
    </row>
    <row r="11">
      <c r="A11" s="2" t="s">
        <v>16</v>
      </c>
      <c r="B11" s="2" t="s">
        <v>15</v>
      </c>
      <c r="C11" s="9">
        <f>'Demand vs Supply Gap'!C11 + 'Battery Storage Impact'!C4</f>
        <v>-12.0813285</v>
      </c>
      <c r="D11" s="9">
        <f>'Demand vs Supply Gap'!D11 + 'Battery Storage Impact'!D4</f>
        <v>-12.455412</v>
      </c>
      <c r="E11" s="9">
        <f>'Demand vs Supply Gap'!E11 + 'Battery Storage Impact'!E4</f>
        <v>-12.831273</v>
      </c>
      <c r="F11" s="9">
        <f>'Demand vs Supply Gap'!F11 + 'Battery Storage Impact'!F4</f>
        <v>-13.20892928</v>
      </c>
      <c r="G11" s="9">
        <f>'Demand vs Supply Gap'!G11 + 'Battery Storage Impact'!G4</f>
        <v>-13.58839878</v>
      </c>
      <c r="H11" s="9">
        <f>'Demand vs Supply Gap'!H11 + 'Battery Storage Impact'!H4</f>
        <v>-13.96969964</v>
      </c>
      <c r="I11" s="9">
        <f>'Demand vs Supply Gap'!I11 + 'Battery Storage Impact'!I4</f>
        <v>-14.62771708</v>
      </c>
      <c r="J11" s="9">
        <f>'Demand vs Supply Gap'!J11 + 'Battery Storage Impact'!J4</f>
        <v>-15.28760268</v>
      </c>
      <c r="K11" s="9">
        <f>'Demand vs Supply Gap'!K11 + 'Battery Storage Impact'!K4</f>
        <v>-15.94937514</v>
      </c>
      <c r="L11" s="9">
        <f>'Demand vs Supply Gap'!L11 + 'Battery Storage Impact'!L4</f>
        <v>-16.61305332</v>
      </c>
      <c r="M11" s="9">
        <f>'Demand vs Supply Gap'!M11 + 'Battery Storage Impact'!M4</f>
        <v>-17.27865628</v>
      </c>
      <c r="N11" s="9">
        <f>'Demand vs Supply Gap'!N11 + 'Battery Storage Impact'!N4</f>
        <v>-17.71060306</v>
      </c>
      <c r="O11" s="9">
        <f>'Demand vs Supply Gap'!O11 + 'Battery Storage Impact'!O4</f>
        <v>-18.14451331</v>
      </c>
      <c r="P11" s="9">
        <f>'Demand vs Supply Gap'!P11 + 'Battery Storage Impact'!P4</f>
        <v>-18.58040666</v>
      </c>
      <c r="Q11" s="9">
        <f>'Demand vs Supply Gap'!Q11 + 'Battery Storage Impact'!Q4</f>
        <v>-19.01830294</v>
      </c>
      <c r="R11" s="9">
        <f>'Demand vs Supply Gap'!R11 + 'Battery Storage Impact'!R4</f>
        <v>-19.45822218</v>
      </c>
      <c r="S11" s="9">
        <f>'Demand vs Supply Gap'!S11 + 'Battery Storage Impact'!S4</f>
        <v>-19.90018461</v>
      </c>
      <c r="T11" s="9">
        <f>'Demand vs Supply Gap'!T11 + 'Battery Storage Impact'!T4</f>
        <v>-20.34421067</v>
      </c>
      <c r="U11" s="9">
        <f>'Demand vs Supply Gap'!U11 + 'Battery Storage Impact'!U4</f>
        <v>-20.79032098</v>
      </c>
      <c r="V11" s="9">
        <f>'Demand vs Supply Gap'!V11 + 'Battery Storage Impact'!V4</f>
        <v>-21.23853639</v>
      </c>
      <c r="W11" s="9">
        <f>'Demand vs Supply Gap'!W11 + 'Battery Storage Impact'!W4</f>
        <v>-21.68887796</v>
      </c>
    </row>
    <row r="12">
      <c r="A12" s="2" t="s">
        <v>17</v>
      </c>
      <c r="B12" s="2" t="s">
        <v>11</v>
      </c>
      <c r="C12" s="9">
        <f>'Demand vs Supply Gap'!C12</f>
        <v>-139.168648</v>
      </c>
      <c r="D12" s="9">
        <f>'Demand vs Supply Gap'!D12</f>
        <v>-160.11968</v>
      </c>
      <c r="E12" s="9">
        <f>'Demand vs Supply Gap'!E12</f>
        <v>-181.104012</v>
      </c>
      <c r="F12" s="9">
        <f>'Demand vs Supply Gap'!F12</f>
        <v>-202.121977</v>
      </c>
      <c r="G12" s="9">
        <f>'Demand vs Supply Gap'!G12</f>
        <v>-223.1739113</v>
      </c>
      <c r="H12" s="9">
        <f>'Demand vs Supply Gap'!H12</f>
        <v>-244.2601547</v>
      </c>
      <c r="I12" s="9">
        <f>'Demand vs Supply Gap'!I12</f>
        <v>-260.4471612</v>
      </c>
      <c r="J12" s="9">
        <f>'Demand vs Supply Gap'!J12</f>
        <v>-276.6691663</v>
      </c>
      <c r="K12" s="9">
        <f>'Demand vs Supply Gap'!K12</f>
        <v>-292.9265201</v>
      </c>
      <c r="L12" s="9">
        <f>'Demand vs Supply Gap'!L12</f>
        <v>-309.219576</v>
      </c>
      <c r="M12" s="9">
        <f>'Demand vs Supply Gap'!M12</f>
        <v>-325.548691</v>
      </c>
      <c r="N12" s="9">
        <f>'Demand vs Supply Gap'!N12</f>
        <v>-333.4561303</v>
      </c>
      <c r="O12" s="9">
        <f>'Demand vs Supply Gap'!O12</f>
        <v>-341.4003536</v>
      </c>
      <c r="P12" s="9">
        <f>'Demand vs Supply Gap'!P12</f>
        <v>-349.3817286</v>
      </c>
      <c r="Q12" s="9">
        <f>'Demand vs Supply Gap'!Q12</f>
        <v>-357.4006269</v>
      </c>
      <c r="R12" s="9">
        <f>'Demand vs Supply Gap'!R12</f>
        <v>-365.4574237</v>
      </c>
      <c r="S12" s="9">
        <f>'Demand vs Supply Gap'!S12</f>
        <v>-373.552498</v>
      </c>
      <c r="T12" s="9">
        <f>'Demand vs Supply Gap'!T12</f>
        <v>-381.6862326</v>
      </c>
      <c r="U12" s="9">
        <f>'Demand vs Supply Gap'!U12</f>
        <v>-389.859014</v>
      </c>
      <c r="V12" s="9">
        <f>'Demand vs Supply Gap'!V12</f>
        <v>-398.0712328</v>
      </c>
      <c r="W12" s="9">
        <f>'Demand vs Supply Gap'!W12</f>
        <v>-406.3232833</v>
      </c>
    </row>
    <row r="13">
      <c r="A13" s="2" t="s">
        <v>17</v>
      </c>
      <c r="B13" s="2" t="s">
        <v>12</v>
      </c>
      <c r="C13" s="9">
        <f>'Demand vs Supply Gap'!C13</f>
        <v>690.223824</v>
      </c>
      <c r="D13" s="9">
        <f>'Demand vs Supply Gap'!D13</f>
        <v>645.871968</v>
      </c>
      <c r="E13" s="9">
        <f>'Demand vs Supply Gap'!E13</f>
        <v>601.473912</v>
      </c>
      <c r="F13" s="9">
        <f>'Demand vs Supply Gap'!F13</f>
        <v>557.029194</v>
      </c>
      <c r="G13" s="9">
        <f>'Demand vs Supply Gap'!G13</f>
        <v>512.5373474</v>
      </c>
      <c r="H13" s="9">
        <f>'Demand vs Supply Gap'!H13</f>
        <v>467.9979009</v>
      </c>
      <c r="I13" s="9">
        <f>'Demand vs Supply Gap'!I13</f>
        <v>391.6248936</v>
      </c>
      <c r="J13" s="9">
        <f>'Demand vs Supply Gap'!J13</f>
        <v>315.2033297</v>
      </c>
      <c r="K13" s="9">
        <f>'Demand vs Supply Gap'!K13</f>
        <v>238.7327236</v>
      </c>
      <c r="L13" s="9">
        <f>'Demand vs Supply Gap'!L13</f>
        <v>162.2125848</v>
      </c>
      <c r="M13" s="9">
        <f>'Demand vs Supply Gap'!M13</f>
        <v>85.64241806</v>
      </c>
      <c r="N13" s="9">
        <f>'Demand vs Supply Gap'!N13</f>
        <v>20.94127984</v>
      </c>
      <c r="O13" s="9">
        <f>'Demand vs Supply Gap'!O13</f>
        <v>-43.81089192</v>
      </c>
      <c r="P13" s="9">
        <f>'Demand vs Supply Gap'!P13</f>
        <v>-108.6146076</v>
      </c>
      <c r="Q13" s="9">
        <f>'Demand vs Supply Gap'!Q13</f>
        <v>-173.4703825</v>
      </c>
      <c r="R13" s="9">
        <f>'Demand vs Supply Gap'!R13</f>
        <v>-238.3787374</v>
      </c>
      <c r="S13" s="9">
        <f>'Demand vs Supply Gap'!S13</f>
        <v>-303.340198</v>
      </c>
      <c r="T13" s="9">
        <f>'Demand vs Supply Gap'!T13</f>
        <v>-368.3552953</v>
      </c>
      <c r="U13" s="9">
        <f>'Demand vs Supply Gap'!U13</f>
        <v>-433.4245658</v>
      </c>
      <c r="V13" s="9">
        <f>'Demand vs Supply Gap'!V13</f>
        <v>-498.5485511</v>
      </c>
      <c r="W13" s="9">
        <f>'Demand vs Supply Gap'!W13</f>
        <v>-563.7277985</v>
      </c>
    </row>
    <row r="14">
      <c r="A14" s="2" t="s">
        <v>17</v>
      </c>
      <c r="B14" s="2" t="s">
        <v>13</v>
      </c>
      <c r="C14" s="9">
        <f>'Demand vs Supply Gap'!C14</f>
        <v>-212.449205</v>
      </c>
      <c r="D14" s="9">
        <f>'Demand vs Supply Gap'!D14</f>
        <v>-217.14871</v>
      </c>
      <c r="E14" s="9">
        <f>'Demand vs Supply Gap'!E14</f>
        <v>-221.879015</v>
      </c>
      <c r="F14" s="9">
        <f>'Demand vs Supply Gap'!F14</f>
        <v>-226.640428</v>
      </c>
      <c r="G14" s="9">
        <f>'Demand vs Supply Gap'!G14</f>
        <v>-231.4332601</v>
      </c>
      <c r="H14" s="9">
        <f>'Demand vs Supply Gap'!H14</f>
        <v>-236.2578254</v>
      </c>
      <c r="I14" s="9">
        <f>'Demand vs Supply Gap'!I14</f>
        <v>-243.3817484</v>
      </c>
      <c r="J14" s="9">
        <f>'Demand vs Supply Gap'!J14</f>
        <v>-250.5380424</v>
      </c>
      <c r="K14" s="9">
        <f>'Demand vs Supply Gap'!K14</f>
        <v>-257.7270313</v>
      </c>
      <c r="L14" s="9">
        <f>'Demand vs Supply Gap'!L14</f>
        <v>-264.949042</v>
      </c>
      <c r="M14" s="9">
        <f>'Demand vs Supply Gap'!M14</f>
        <v>-272.2044046</v>
      </c>
      <c r="N14" s="9">
        <f>'Demand vs Supply Gap'!N14</f>
        <v>-282.4085618</v>
      </c>
      <c r="O14" s="9">
        <f>'Demand vs Supply Gap'!O14</f>
        <v>-292.6467413</v>
      </c>
      <c r="P14" s="9">
        <f>'Demand vs Supply Gap'!P14</f>
        <v>-302.9192834</v>
      </c>
      <c r="Q14" s="9">
        <f>'Demand vs Supply Gap'!Q14</f>
        <v>-313.2265317</v>
      </c>
      <c r="R14" s="9">
        <f>'Demand vs Supply Gap'!R14</f>
        <v>-323.5688333</v>
      </c>
      <c r="S14" s="9">
        <f>'Demand vs Supply Gap'!S14</f>
        <v>-333.9465386</v>
      </c>
      <c r="T14" s="9">
        <f>'Demand vs Supply Gap'!T14</f>
        <v>-344.3600019</v>
      </c>
      <c r="U14" s="9">
        <f>'Demand vs Supply Gap'!U14</f>
        <v>-354.8095805</v>
      </c>
      <c r="V14" s="9">
        <f>'Demand vs Supply Gap'!V14</f>
        <v>-365.2956357</v>
      </c>
      <c r="W14" s="9">
        <f>'Demand vs Supply Gap'!W14</f>
        <v>-375.8185323</v>
      </c>
    </row>
    <row r="15">
      <c r="A15" s="2" t="s">
        <v>17</v>
      </c>
      <c r="B15" s="2" t="s">
        <v>14</v>
      </c>
      <c r="C15" s="9">
        <f>'Demand vs Supply Gap'!C15 + 'Battery Storage Impact'!C7</f>
        <v>-24.6967842</v>
      </c>
      <c r="D15" s="9">
        <f>'Demand vs Supply Gap'!D15 + 'Battery Storage Impact'!D7</f>
        <v>-25.9002744</v>
      </c>
      <c r="E15" s="9">
        <f>'Demand vs Supply Gap'!E15 + 'Battery Storage Impact'!E7</f>
        <v>-27.1083846</v>
      </c>
      <c r="F15" s="9">
        <f>'Demand vs Supply Gap'!F15 + 'Battery Storage Impact'!F7</f>
        <v>-28.321161</v>
      </c>
      <c r="G15" s="9">
        <f>'Demand vs Supply Gap'!G15 + 'Battery Storage Impact'!G7</f>
        <v>-29.53865026</v>
      </c>
      <c r="H15" s="9">
        <f>'Demand vs Supply Gap'!H15 + 'Battery Storage Impact'!H7</f>
        <v>-30.76089951</v>
      </c>
      <c r="I15" s="9">
        <f>'Demand vs Supply Gap'!I15 + 'Battery Storage Impact'!I7</f>
        <v>-33.02604264</v>
      </c>
      <c r="J15" s="9">
        <f>'Demand vs Supply Gap'!J15 + 'Battery Storage Impact'!J7</f>
        <v>-35.29604143</v>
      </c>
      <c r="K15" s="9">
        <f>'Demand vs Supply Gap'!K15 + 'Battery Storage Impact'!K7</f>
        <v>-37.57094444</v>
      </c>
      <c r="L15" s="9">
        <f>'Demand vs Supply Gap'!L15 + 'Battery Storage Impact'!L7</f>
        <v>-39.85080072</v>
      </c>
      <c r="M15" s="9">
        <f>'Demand vs Supply Gap'!M15 + 'Battery Storage Impact'!M7</f>
        <v>-42.13565979</v>
      </c>
      <c r="N15" s="9">
        <f>'Demand vs Supply Gap'!N15 + 'Battery Storage Impact'!N7</f>
        <v>-43.53578346</v>
      </c>
      <c r="O15" s="9">
        <f>'Demand vs Supply Gap'!O15 + 'Battery Storage Impact'!O7</f>
        <v>-44.94101047</v>
      </c>
      <c r="P15" s="9">
        <f>'Demand vs Supply Gap'!P15 + 'Battery Storage Impact'!P7</f>
        <v>-46.35139188</v>
      </c>
      <c r="Q15" s="9">
        <f>'Demand vs Supply Gap'!Q15 + 'Battery Storage Impact'!Q7</f>
        <v>-47.76697921</v>
      </c>
      <c r="R15" s="9">
        <f>'Demand vs Supply Gap'!R15 + 'Battery Storage Impact'!R7</f>
        <v>-49.18782454</v>
      </c>
      <c r="S15" s="9">
        <f>'Demand vs Supply Gap'!S15 + 'Battery Storage Impact'!S7</f>
        <v>-50.61398044</v>
      </c>
      <c r="T15" s="9">
        <f>'Demand vs Supply Gap'!T15 + 'Battery Storage Impact'!T7</f>
        <v>-52.04550001</v>
      </c>
      <c r="U15" s="9">
        <f>'Demand vs Supply Gap'!U15 + 'Battery Storage Impact'!U7</f>
        <v>-53.4824369</v>
      </c>
      <c r="V15" s="9">
        <f>'Demand vs Supply Gap'!V15 + 'Battery Storage Impact'!V7</f>
        <v>-54.92484527</v>
      </c>
      <c r="W15" s="9">
        <f>'Demand vs Supply Gap'!W15 + 'Battery Storage Impact'!W7</f>
        <v>-56.37277985</v>
      </c>
    </row>
    <row r="16">
      <c r="A16" s="2" t="s">
        <v>17</v>
      </c>
      <c r="B16" s="2" t="s">
        <v>15</v>
      </c>
      <c r="C16" s="9">
        <f>'Demand vs Supply Gap'!C16 + 'Battery Storage Impact'!C6</f>
        <v>-53.08201185</v>
      </c>
      <c r="D16" s="9">
        <f>'Demand vs Supply Gap'!D16 + 'Battery Storage Impact'!D6</f>
        <v>-54.4209942</v>
      </c>
      <c r="E16" s="9">
        <f>'Demand vs Supply Gap'!E16 + 'Battery Storage Impact'!E6</f>
        <v>-55.76710155</v>
      </c>
      <c r="F16" s="9">
        <f>'Demand vs Supply Gap'!F16 + 'Battery Storage Impact'!F6</f>
        <v>-57.12040515</v>
      </c>
      <c r="G16" s="9">
        <f>'Demand vs Supply Gap'!G16 + 'Battery Storage Impact'!G6</f>
        <v>-58.48097696</v>
      </c>
      <c r="H16" s="9">
        <f>'Demand vs Supply Gap'!H16 + 'Battery Storage Impact'!H6</f>
        <v>-59.84888967</v>
      </c>
      <c r="I16" s="9">
        <f>'Demand vs Supply Gap'!I16 + 'Battery Storage Impact'!I6</f>
        <v>-62.10129197</v>
      </c>
      <c r="J16" s="9">
        <f>'Demand vs Supply Gap'!J16 + 'Battery Storage Impact'!J6</f>
        <v>-64.36118272</v>
      </c>
      <c r="K16" s="9">
        <f>'Demand vs Supply Gap'!K16 + 'Battery Storage Impact'!K6</f>
        <v>-66.6286368</v>
      </c>
      <c r="L16" s="9">
        <f>'Demand vs Supply Gap'!L16 + 'Battery Storage Impact'!L6</f>
        <v>-68.90372984</v>
      </c>
      <c r="M16" s="9">
        <f>'Demand vs Supply Gap'!M16 + 'Battery Storage Impact'!M6</f>
        <v>-71.18653824</v>
      </c>
      <c r="N16" s="9">
        <f>'Demand vs Supply Gap'!N16 + 'Battery Storage Impact'!N6</f>
        <v>-72.72536032</v>
      </c>
      <c r="O16" s="9">
        <f>'Demand vs Supply Gap'!O16 + 'Battery Storage Impact'!O6</f>
        <v>-74.27205284</v>
      </c>
      <c r="P16" s="9">
        <f>'Demand vs Supply Gap'!P16 + 'Battery Storage Impact'!P6</f>
        <v>-75.82669449</v>
      </c>
      <c r="Q16" s="9">
        <f>'Demand vs Supply Gap'!Q16 + 'Battery Storage Impact'!Q6</f>
        <v>-77.38936477</v>
      </c>
      <c r="R16" s="9">
        <f>'Demand vs Supply Gap'!R16 + 'Battery Storage Impact'!R6</f>
        <v>-78.96014397</v>
      </c>
      <c r="S16" s="9">
        <f>'Demand vs Supply Gap'!S16 + 'Battery Storage Impact'!S6</f>
        <v>-80.53911317</v>
      </c>
      <c r="T16" s="9">
        <f>'Demand vs Supply Gap'!T16 + 'Battery Storage Impact'!T6</f>
        <v>-82.12635428</v>
      </c>
      <c r="U16" s="9">
        <f>'Demand vs Supply Gap'!U16 + 'Battery Storage Impact'!U6</f>
        <v>-83.72195</v>
      </c>
      <c r="V16" s="9">
        <f>'Demand vs Supply Gap'!V16 + 'Battery Storage Impact'!V6</f>
        <v>-85.3259839</v>
      </c>
      <c r="W16" s="9">
        <f>'Demand vs Supply Gap'!W16 + 'Battery Storage Impact'!W6</f>
        <v>-86.93854035</v>
      </c>
    </row>
    <row r="17">
      <c r="A17" s="2" t="s">
        <v>18</v>
      </c>
      <c r="B17" s="2" t="s">
        <v>11</v>
      </c>
      <c r="C17" s="9">
        <f>'Demand vs Supply Gap'!C17</f>
        <v>-6.203296</v>
      </c>
      <c r="D17" s="9">
        <f>'Demand vs Supply Gap'!D17</f>
        <v>-11.18936</v>
      </c>
      <c r="E17" s="9">
        <f>'Demand vs Supply Gap'!E17</f>
        <v>-16.180924</v>
      </c>
      <c r="F17" s="9">
        <f>'Demand vs Supply Gap'!F17</f>
        <v>-21.178043</v>
      </c>
      <c r="G17" s="9">
        <f>'Demand vs Supply Gap'!G17</f>
        <v>-26.18077255</v>
      </c>
      <c r="H17" s="9">
        <f>'Demand vs Supply Gap'!H17</f>
        <v>-31.18916876</v>
      </c>
      <c r="I17" s="9">
        <f>'Demand vs Supply Gap'!I17</f>
        <v>-34.96119036</v>
      </c>
      <c r="J17" s="9">
        <f>'Demand vs Supply Gap'!J17</f>
        <v>-38.73899253</v>
      </c>
      <c r="K17" s="9">
        <f>'Demand vs Supply Gap'!K17</f>
        <v>-42.52263305</v>
      </c>
      <c r="L17" s="9">
        <f>'Demand vs Supply Gap'!L17</f>
        <v>-46.31217032</v>
      </c>
      <c r="M17" s="9">
        <f>'Demand vs Supply Gap'!M17</f>
        <v>-50.1076633</v>
      </c>
      <c r="N17" s="9">
        <f>'Demand vs Supply Gap'!N17</f>
        <v>-51.77986083</v>
      </c>
      <c r="O17" s="9">
        <f>'Demand vs Supply Gap'!O17</f>
        <v>-53.45813378</v>
      </c>
      <c r="P17" s="9">
        <f>'Demand vs Supply Gap'!P17</f>
        <v>-55.1425429</v>
      </c>
      <c r="Q17" s="9">
        <f>'Demand vs Supply Gap'!Q17</f>
        <v>-56.83314957</v>
      </c>
      <c r="R17" s="9">
        <f>'Demand vs Supply Gap'!R17</f>
        <v>-58.53001575</v>
      </c>
      <c r="S17" s="9">
        <f>'Demand vs Supply Gap'!S17</f>
        <v>-60.23320403</v>
      </c>
      <c r="T17" s="9">
        <f>'Demand vs Supply Gap'!T17</f>
        <v>-61.94277765</v>
      </c>
      <c r="U17" s="9">
        <f>'Demand vs Supply Gap'!U17</f>
        <v>-63.65880044</v>
      </c>
      <c r="V17" s="9">
        <f>'Demand vs Supply Gap'!V17</f>
        <v>-65.38133691</v>
      </c>
      <c r="W17" s="9">
        <f>'Demand vs Supply Gap'!W17</f>
        <v>-67.1104522</v>
      </c>
    </row>
    <row r="18">
      <c r="A18" s="2" t="s">
        <v>18</v>
      </c>
      <c r="B18" s="2" t="s">
        <v>12</v>
      </c>
      <c r="C18" s="9">
        <f>'Demand vs Supply Gap'!C18</f>
        <v>301.431824</v>
      </c>
      <c r="D18" s="9">
        <f>'Demand vs Supply Gap'!D18</f>
        <v>279.182968</v>
      </c>
      <c r="E18" s="9">
        <f>'Demand vs Supply Gap'!E18</f>
        <v>256.907462</v>
      </c>
      <c r="F18" s="9">
        <f>'Demand vs Supply Gap'!F18</f>
        <v>234.6050395</v>
      </c>
      <c r="G18" s="9">
        <f>'Demand vs Supply Gap'!G18</f>
        <v>212.2754313</v>
      </c>
      <c r="H18" s="9">
        <f>'Demand vs Supply Gap'!H18</f>
        <v>189.9183656</v>
      </c>
      <c r="I18" s="9">
        <f>'Demand vs Supply Gap'!I18</f>
        <v>151.8664831</v>
      </c>
      <c r="J18" s="9">
        <f>'Demand vs Supply Gap'!J18</f>
        <v>113.7865911</v>
      </c>
      <c r="K18" s="9">
        <f>'Demand vs Supply Gap'!K18</f>
        <v>75.67840955</v>
      </c>
      <c r="L18" s="9">
        <f>'Demand vs Supply Gap'!L18</f>
        <v>37.54165563</v>
      </c>
      <c r="M18" s="9">
        <f>'Demand vs Supply Gap'!M18</f>
        <v>-0.6239564221</v>
      </c>
      <c r="N18" s="9">
        <f>'Demand vs Supply Gap'!N18</f>
        <v>-32.94355839</v>
      </c>
      <c r="O18" s="9">
        <f>'Demand vs Supply Gap'!O18</f>
        <v>-65.29259853</v>
      </c>
      <c r="P18" s="9">
        <f>'Demand vs Supply Gap'!P18</f>
        <v>-97.67137124</v>
      </c>
      <c r="Q18" s="9">
        <f>'Demand vs Supply Gap'!Q18</f>
        <v>-130.0801738</v>
      </c>
      <c r="R18" s="9">
        <f>'Demand vs Supply Gap'!R18</f>
        <v>-162.5193066</v>
      </c>
      <c r="S18" s="9">
        <f>'Demand vs Supply Gap'!S18</f>
        <v>-194.9890729</v>
      </c>
      <c r="T18" s="9">
        <f>'Demand vs Supply Gap'!T18</f>
        <v>-227.489779</v>
      </c>
      <c r="U18" s="9">
        <f>'Demand vs Supply Gap'!U18</f>
        <v>-260.0217343</v>
      </c>
      <c r="V18" s="9">
        <f>'Demand vs Supply Gap'!V18</f>
        <v>-292.5852513</v>
      </c>
      <c r="W18" s="9">
        <f>'Demand vs Supply Gap'!W18</f>
        <v>-325.1806456</v>
      </c>
    </row>
    <row r="19">
      <c r="A19" s="2" t="s">
        <v>18</v>
      </c>
      <c r="B19" s="2" t="s">
        <v>13</v>
      </c>
      <c r="C19" s="9">
        <f>'Demand vs Supply Gap'!C19</f>
        <v>-50.587465</v>
      </c>
      <c r="D19" s="9">
        <f>'Demand vs Supply Gap'!D19</f>
        <v>-52.60283</v>
      </c>
      <c r="E19" s="9">
        <f>'Demand vs Supply Gap'!E19</f>
        <v>-54.628855</v>
      </c>
      <c r="F19" s="9">
        <f>'Demand vs Supply Gap'!F19</f>
        <v>-56.6656466</v>
      </c>
      <c r="G19" s="9">
        <f>'Demand vs Supply Gap'!G19</f>
        <v>-58.71331247</v>
      </c>
      <c r="H19" s="9">
        <f>'Demand vs Supply Gap'!H19</f>
        <v>-60.77196134</v>
      </c>
      <c r="I19" s="9">
        <f>'Demand vs Supply Gap'!I19</f>
        <v>-64.17081405</v>
      </c>
      <c r="J19" s="9">
        <f>'Demand vs Supply Gap'!J19</f>
        <v>-67.58087053</v>
      </c>
      <c r="K19" s="9">
        <f>'Demand vs Supply Gap'!K19</f>
        <v>-71.00224282</v>
      </c>
      <c r="L19" s="9">
        <f>'Demand vs Supply Gap'!L19</f>
        <v>-74.43504407</v>
      </c>
      <c r="M19" s="9">
        <f>'Demand vs Supply Gap'!M19</f>
        <v>-77.87938857</v>
      </c>
      <c r="N19" s="9">
        <f>'Demand vs Supply Gap'!N19</f>
        <v>-83.04424875</v>
      </c>
      <c r="O19" s="9">
        <f>'Demand vs Supply Gap'!O19</f>
        <v>-88.22088421</v>
      </c>
      <c r="P19" s="9">
        <f>'Demand vs Supply Gap'!P19</f>
        <v>-93.40941269</v>
      </c>
      <c r="Q19" s="9">
        <f>'Demand vs Supply Gap'!Q19</f>
        <v>-98.60995313</v>
      </c>
      <c r="R19" s="9">
        <f>'Demand vs Supply Gap'!R19</f>
        <v>-103.8226256</v>
      </c>
      <c r="S19" s="9">
        <f>'Demand vs Supply Gap'!S19</f>
        <v>-109.0475515</v>
      </c>
      <c r="T19" s="9">
        <f>'Demand vs Supply Gap'!T19</f>
        <v>-114.2848534</v>
      </c>
      <c r="U19" s="9">
        <f>'Demand vs Supply Gap'!U19</f>
        <v>-119.5346549</v>
      </c>
      <c r="V19" s="9">
        <f>'Demand vs Supply Gap'!V19</f>
        <v>-124.7970811</v>
      </c>
      <c r="W19" s="9">
        <f>'Demand vs Supply Gap'!W19</f>
        <v>-130.0722583</v>
      </c>
    </row>
    <row r="20">
      <c r="A20" s="2" t="s">
        <v>18</v>
      </c>
      <c r="B20" s="2" t="s">
        <v>14</v>
      </c>
      <c r="C20" s="9">
        <f>'Demand vs Supply Gap'!C20 + 'Battery Storage Impact'!C9</f>
        <v>-29.68638</v>
      </c>
      <c r="D20" s="9">
        <f>'Demand vs Supply Gap'!D20 + 'Battery Storage Impact'!D9</f>
        <v>-30.44091</v>
      </c>
      <c r="E20" s="9">
        <f>'Demand vs Supply Gap'!E20 + 'Battery Storage Impact'!E9</f>
        <v>-31.1994375</v>
      </c>
      <c r="F20" s="9">
        <f>'Demand vs Supply Gap'!F20 + 'Battery Storage Impact'!F9</f>
        <v>-31.96200248</v>
      </c>
      <c r="G20" s="9">
        <f>'Demand vs Supply Gap'!G20 + 'Battery Storage Impact'!G9</f>
        <v>-32.7286453</v>
      </c>
      <c r="H20" s="9">
        <f>'Demand vs Supply Gap'!H20 + 'Battery Storage Impact'!H9</f>
        <v>-33.49940675</v>
      </c>
      <c r="I20" s="9">
        <f>'Demand vs Supply Gap'!I20 + 'Battery Storage Impact'!I9</f>
        <v>-34.77102002</v>
      </c>
      <c r="J20" s="9">
        <f>'Demand vs Supply Gap'!J20 + 'Battery Storage Impact'!J9</f>
        <v>-36.0468347</v>
      </c>
      <c r="K20" s="9">
        <f>'Demand vs Supply Gap'!K20 + 'Battery Storage Impact'!K9</f>
        <v>-37.32689281</v>
      </c>
      <c r="L20" s="9">
        <f>'Demand vs Supply Gap'!L20 + 'Battery Storage Impact'!L9</f>
        <v>-38.61123678</v>
      </c>
      <c r="M20" s="9">
        <f>'Demand vs Supply Gap'!M20 + 'Battery Storage Impact'!M9</f>
        <v>-39.89990946</v>
      </c>
      <c r="N20" s="9">
        <f>'Demand vs Supply Gap'!N20 + 'Battery Storage Impact'!N9</f>
        <v>-40.76721816</v>
      </c>
      <c r="O20" s="9">
        <f>'Demand vs Supply Gap'!O20 + 'Battery Storage Impact'!O9</f>
        <v>-41.63894258</v>
      </c>
      <c r="P20" s="9">
        <f>'Demand vs Supply Gap'!P20 + 'Battery Storage Impact'!P9</f>
        <v>-42.51512689</v>
      </c>
      <c r="Q20" s="9">
        <f>'Demand vs Supply Gap'!Q20 + 'Battery Storage Impact'!Q9</f>
        <v>-43.39581567</v>
      </c>
      <c r="R20" s="9">
        <f>'Demand vs Supply Gap'!R20 + 'Battery Storage Impact'!R9</f>
        <v>-44.28105399</v>
      </c>
      <c r="S20" s="9">
        <f>'Demand vs Supply Gap'!S20 + 'Battery Storage Impact'!S9</f>
        <v>-45.17088733</v>
      </c>
      <c r="T20" s="9">
        <f>'Demand vs Supply Gap'!T20 + 'Battery Storage Impact'!T9</f>
        <v>-46.06536164</v>
      </c>
      <c r="U20" s="9">
        <f>'Demand vs Supply Gap'!U20 + 'Battery Storage Impact'!U9</f>
        <v>-46.96452334</v>
      </c>
      <c r="V20" s="9">
        <f>'Demand vs Supply Gap'!V20 + 'Battery Storage Impact'!V9</f>
        <v>-47.86841929</v>
      </c>
      <c r="W20" s="9">
        <f>'Demand vs Supply Gap'!W20 + 'Battery Storage Impact'!W9</f>
        <v>-48.77709685</v>
      </c>
    </row>
    <row r="21" ht="15.75" customHeight="1">
      <c r="A21" s="2" t="s">
        <v>18</v>
      </c>
      <c r="B21" s="2" t="s">
        <v>15</v>
      </c>
      <c r="C21" s="9">
        <f>'Demand vs Supply Gap'!C21 + 'Battery Storage Impact'!C8</f>
        <v>-40.6677075</v>
      </c>
      <c r="D21" s="9">
        <f>'Demand vs Supply Gap'!D21 + 'Battery Storage Impact'!D8</f>
        <v>-42.11049</v>
      </c>
      <c r="E21" s="9">
        <f>'Demand vs Supply Gap'!E21 + 'Battery Storage Impact'!E8</f>
        <v>-43.5596685</v>
      </c>
      <c r="F21" s="9">
        <f>'Demand vs Supply Gap'!F21 + 'Battery Storage Impact'!F8</f>
        <v>-45.01530696</v>
      </c>
      <c r="G21" s="9">
        <f>'Demand vs Supply Gap'!G21 + 'Battery Storage Impact'!G8</f>
        <v>-46.47746998</v>
      </c>
      <c r="H21" s="9">
        <f>'Demand vs Supply Gap'!H21 + 'Battery Storage Impact'!H8</f>
        <v>-47.9462228</v>
      </c>
      <c r="I21" s="9">
        <f>'Demand vs Supply Gap'!I21 + 'Battery Storage Impact'!I8</f>
        <v>-50.54608683</v>
      </c>
      <c r="J21" s="9">
        <f>'Demand vs Supply Gap'!J21 + 'Battery Storage Impact'!J8</f>
        <v>-53.15267312</v>
      </c>
      <c r="K21" s="9">
        <f>'Demand vs Supply Gap'!K21 + 'Battery Storage Impact'!K8</f>
        <v>-55.76604889</v>
      </c>
      <c r="L21" s="9">
        <f>'Demand vs Supply Gap'!L21 + 'Battery Storage Impact'!L8</f>
        <v>-58.38628204</v>
      </c>
      <c r="M21" s="9">
        <f>'Demand vs Supply Gap'!M21 + 'Battery Storage Impact'!M8</f>
        <v>-61.01344114</v>
      </c>
      <c r="N21" s="9">
        <f>'Demand vs Supply Gap'!N21 + 'Battery Storage Impact'!N8</f>
        <v>-62.68377645</v>
      </c>
      <c r="O21" s="9">
        <f>'Demand vs Supply Gap'!O21 + 'Battery Storage Impact'!O8</f>
        <v>-64.36117693</v>
      </c>
      <c r="P21" s="9">
        <f>'Demand vs Supply Gap'!P21 + 'Battery Storage Impact'!P8</f>
        <v>-66.04571322</v>
      </c>
      <c r="Q21" s="9">
        <f>'Demand vs Supply Gap'!Q21 + 'Battery Storage Impact'!Q8</f>
        <v>-67.73745668</v>
      </c>
      <c r="R21" s="9">
        <f>'Demand vs Supply Gap'!R21 + 'Battery Storage Impact'!R8</f>
        <v>-69.43647939</v>
      </c>
      <c r="S21" s="9">
        <f>'Demand vs Supply Gap'!S21 + 'Battery Storage Impact'!S8</f>
        <v>-71.14285413</v>
      </c>
      <c r="T21" s="9">
        <f>'Demand vs Supply Gap'!T21 + 'Battery Storage Impact'!T8</f>
        <v>-72.85665443</v>
      </c>
      <c r="U21" s="9">
        <f>'Demand vs Supply Gap'!U21 + 'Battery Storage Impact'!U8</f>
        <v>-74.57795454</v>
      </c>
      <c r="V21" s="9">
        <f>'Demand vs Supply Gap'!V21 + 'Battery Storage Impact'!V8</f>
        <v>-76.30682947</v>
      </c>
      <c r="W21" s="9">
        <f>'Demand vs Supply Gap'!W21 + 'Battery Storage Impact'!W8</f>
        <v>-78.04335496</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21"/>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0"/>
    <col customWidth="1" min="3" max="26" width="8.71"/>
  </cols>
  <sheetData>
    <row r="1">
      <c r="A1" s="8" t="s">
        <v>4</v>
      </c>
      <c r="B1" s="8" t="s">
        <v>5</v>
      </c>
      <c r="C1" s="8">
        <v>2025.0</v>
      </c>
      <c r="D1" s="8">
        <v>2026.0</v>
      </c>
      <c r="E1" s="8">
        <v>2027.0</v>
      </c>
      <c r="F1" s="8">
        <v>2028.0</v>
      </c>
      <c r="G1" s="8">
        <v>2029.0</v>
      </c>
      <c r="H1" s="8">
        <v>2030.0</v>
      </c>
      <c r="I1" s="8">
        <v>2031.0</v>
      </c>
      <c r="J1" s="8">
        <v>2032.0</v>
      </c>
      <c r="K1" s="8">
        <v>2033.0</v>
      </c>
      <c r="L1" s="8">
        <v>2034.0</v>
      </c>
      <c r="M1" s="8">
        <v>2035.0</v>
      </c>
      <c r="N1" s="8">
        <v>2036.0</v>
      </c>
      <c r="O1" s="8">
        <v>2037.0</v>
      </c>
      <c r="P1" s="8">
        <v>2038.0</v>
      </c>
      <c r="Q1" s="8">
        <v>2039.0</v>
      </c>
      <c r="R1" s="8">
        <v>2040.0</v>
      </c>
      <c r="S1" s="8">
        <v>2041.0</v>
      </c>
      <c r="T1" s="8">
        <v>2042.0</v>
      </c>
      <c r="U1" s="8">
        <v>2043.0</v>
      </c>
      <c r="V1" s="8">
        <v>2044.0</v>
      </c>
      <c r="W1" s="8">
        <v>2045.0</v>
      </c>
      <c r="X1" s="8"/>
      <c r="Y1" s="8"/>
      <c r="Z1" s="8"/>
    </row>
    <row r="2">
      <c r="A2" s="2" t="s">
        <v>10</v>
      </c>
      <c r="B2" s="2" t="s">
        <v>11</v>
      </c>
      <c r="C2" s="9">
        <f>IF('Adjusted Supply Gap'!C2&lt;0, -'Adjusted Supply Gap'!C2*1000/('Current Mix'!D2*8760), 0)</f>
        <v>32.05408676</v>
      </c>
      <c r="D2" s="9">
        <f>IF('Adjusted Supply Gap'!D2&lt;0, -'Adjusted Supply Gap'!D2*1000/('Current Mix'!D2*8760), 0)</f>
        <v>35.10707763</v>
      </c>
      <c r="E2" s="9">
        <f>IF('Adjusted Supply Gap'!E2&lt;0, -'Adjusted Supply Gap'!E2*1000/('Current Mix'!D2*8760), 0)</f>
        <v>38.16598174</v>
      </c>
      <c r="F2" s="9">
        <f>IF('Adjusted Supply Gap'!F2&lt;0, -'Adjusted Supply Gap'!F2*1000/('Current Mix'!D2*8760), 0)</f>
        <v>41.23085822</v>
      </c>
      <c r="G2" s="9">
        <f>IF('Adjusted Supply Gap'!G2&lt;0, -'Adjusted Supply Gap'!G2*1000/('Current Mix'!D2*8760), 0)</f>
        <v>44.3017668</v>
      </c>
      <c r="H2" s="9">
        <f>IF('Adjusted Supply Gap'!H2&lt;0, -'Adjusted Supply Gap'!H2*1000/('Current Mix'!D2*8760), 0)</f>
        <v>47.3787678</v>
      </c>
      <c r="I2" s="9">
        <f>IF('Adjusted Supply Gap'!I2&lt;0, -'Adjusted Supply Gap'!I2*1000/('Current Mix'!D2*8760), 0)</f>
        <v>49.77265548</v>
      </c>
      <c r="J2" s="9">
        <f>IF('Adjusted Supply Gap'!J2&lt;0, -'Adjusted Supply Gap'!J2*1000/('Current Mix'!D2*8760), 0)</f>
        <v>52.17275804</v>
      </c>
      <c r="K2" s="9">
        <f>IF('Adjusted Supply Gap'!K2&lt;0, -'Adjusted Supply Gap'!K2*1000/('Current Mix'!D2*8760), 0)</f>
        <v>54.57913762</v>
      </c>
      <c r="L2" s="9">
        <f>IF('Adjusted Supply Gap'!L2&lt;0, -'Adjusted Supply Gap'!L2*1000/('Current Mix'!D2*8760), 0)</f>
        <v>56.99185699</v>
      </c>
      <c r="M2" s="9">
        <f>IF('Adjusted Supply Gap'!M2&lt;0, -'Adjusted Supply Gap'!M2*1000/('Current Mix'!D2*8760), 0)</f>
        <v>59.41097956</v>
      </c>
      <c r="N2" s="9">
        <f>IF('Adjusted Supply Gap'!N2&lt;0, -'Adjusted Supply Gap'!N2*1000/('Current Mix'!D2*8760), 0)</f>
        <v>60.65496936</v>
      </c>
      <c r="O2" s="9">
        <f>IF('Adjusted Supply Gap'!O2&lt;0, -'Adjusted Supply Gap'!O2*1000/('Current Mix'!D2*8760), 0)</f>
        <v>61.90549105</v>
      </c>
      <c r="P2" s="9">
        <f>IF('Adjusted Supply Gap'!P2&lt;0, -'Adjusted Supply Gap'!P2*1000/('Current Mix'!D2*8760), 0)</f>
        <v>63.16260996</v>
      </c>
      <c r="Q2" s="9">
        <f>IF('Adjusted Supply Gap'!Q2&lt;0, -'Adjusted Supply Gap'!Q2*1000/('Current Mix'!D2*8760), 0)</f>
        <v>64.42639206</v>
      </c>
      <c r="R2" s="9">
        <f>IF('Adjusted Supply Gap'!R2&lt;0, -'Adjusted Supply Gap'!R2*1000/('Current Mix'!D2*8760), 0)</f>
        <v>65.69690398</v>
      </c>
      <c r="S2" s="9">
        <f>IF('Adjusted Supply Gap'!S2&lt;0, -'Adjusted Supply Gap'!S2*1000/('Current Mix'!D2*8760), 0)</f>
        <v>66.97421302</v>
      </c>
      <c r="T2" s="9">
        <f>IF('Adjusted Supply Gap'!T2&lt;0, -'Adjusted Supply Gap'!T2*1000/('Current Mix'!D2*8760), 0)</f>
        <v>68.25838715</v>
      </c>
      <c r="U2" s="9">
        <f>IF('Adjusted Supply Gap'!U2&lt;0, -'Adjusted Supply Gap'!U2*1000/('Current Mix'!D2*8760), 0)</f>
        <v>69.54949502</v>
      </c>
      <c r="V2" s="9">
        <f>IF('Adjusted Supply Gap'!V2&lt;0, -'Adjusted Supply Gap'!V2*1000/('Current Mix'!D2*8760), 0)</f>
        <v>70.84760597</v>
      </c>
      <c r="W2" s="9">
        <f>IF('Adjusted Supply Gap'!W2&lt;0, -'Adjusted Supply Gap'!W2*1000/('Current Mix'!D2*8760), 0)</f>
        <v>72.15279003</v>
      </c>
    </row>
    <row r="3">
      <c r="A3" s="2" t="s">
        <v>10</v>
      </c>
      <c r="B3" s="2" t="s">
        <v>12</v>
      </c>
      <c r="C3" s="9">
        <f>IF('Adjusted Supply Gap'!C3&lt;0, -'Adjusted Supply Gap'!C3*1000/('Current Mix'!D3*8760), 0)</f>
        <v>0</v>
      </c>
      <c r="D3" s="9">
        <f>IF('Adjusted Supply Gap'!D3&lt;0, -'Adjusted Supply Gap'!D3*1000/('Current Mix'!D3*8760), 0)</f>
        <v>0</v>
      </c>
      <c r="E3" s="9">
        <f>IF('Adjusted Supply Gap'!E3&lt;0, -'Adjusted Supply Gap'!E3*1000/('Current Mix'!D3*8760), 0)</f>
        <v>0</v>
      </c>
      <c r="F3" s="9">
        <f>IF('Adjusted Supply Gap'!F3&lt;0, -'Adjusted Supply Gap'!F3*1000/('Current Mix'!D3*8760), 0)</f>
        <v>0</v>
      </c>
      <c r="G3" s="9">
        <f>IF('Adjusted Supply Gap'!G3&lt;0, -'Adjusted Supply Gap'!G3*1000/('Current Mix'!D3*8760), 0)</f>
        <v>0</v>
      </c>
      <c r="H3" s="9">
        <f>IF('Adjusted Supply Gap'!H3&lt;0, -'Adjusted Supply Gap'!H3*1000/('Current Mix'!D3*8760), 0)</f>
        <v>0</v>
      </c>
      <c r="I3" s="9">
        <f>IF('Adjusted Supply Gap'!I3&lt;0, -'Adjusted Supply Gap'!I3*1000/('Current Mix'!D3*8760), 0)</f>
        <v>0</v>
      </c>
      <c r="J3" s="9">
        <f>IF('Adjusted Supply Gap'!J3&lt;0, -'Adjusted Supply Gap'!J3*1000/('Current Mix'!D3*8760), 0)</f>
        <v>0</v>
      </c>
      <c r="K3" s="9">
        <f>IF('Adjusted Supply Gap'!K3&lt;0, -'Adjusted Supply Gap'!K3*1000/('Current Mix'!D3*8760), 0)</f>
        <v>0</v>
      </c>
      <c r="L3" s="9">
        <f>IF('Adjusted Supply Gap'!L3&lt;0, -'Adjusted Supply Gap'!L3*1000/('Current Mix'!D3*8760), 0)</f>
        <v>0</v>
      </c>
      <c r="M3" s="9">
        <f>IF('Adjusted Supply Gap'!M3&lt;0, -'Adjusted Supply Gap'!M3*1000/('Current Mix'!D3*8760), 0)</f>
        <v>0</v>
      </c>
      <c r="N3" s="9">
        <f>IF('Adjusted Supply Gap'!N3&lt;0, -'Adjusted Supply Gap'!N3*1000/('Current Mix'!D3*8760), 0)</f>
        <v>0</v>
      </c>
      <c r="O3" s="9">
        <f>IF('Adjusted Supply Gap'!O3&lt;0, -'Adjusted Supply Gap'!O3*1000/('Current Mix'!D3*8760), 0)</f>
        <v>0</v>
      </c>
      <c r="P3" s="9">
        <f>IF('Adjusted Supply Gap'!P3&lt;0, -'Adjusted Supply Gap'!P3*1000/('Current Mix'!D3*8760), 0)</f>
        <v>0</v>
      </c>
      <c r="Q3" s="9">
        <f>IF('Adjusted Supply Gap'!Q3&lt;0, -'Adjusted Supply Gap'!Q3*1000/('Current Mix'!D3*8760), 0)</f>
        <v>4.832201498</v>
      </c>
      <c r="R3" s="9">
        <f>IF('Adjusted Supply Gap'!R3&lt;0, -'Adjusted Supply Gap'!R3*1000/('Current Mix'!D3*8760), 0)</f>
        <v>14.38872351</v>
      </c>
      <c r="S3" s="9">
        <f>IF('Adjusted Supply Gap'!S3&lt;0, -'Adjusted Supply Gap'!S3*1000/('Current Mix'!D3*8760), 0)</f>
        <v>23.95111075</v>
      </c>
      <c r="T3" s="9">
        <f>IF('Adjusted Supply Gap'!T3&lt;0, -'Adjusted Supply Gap'!T3*1000/('Current Mix'!D3*8760), 0)</f>
        <v>33.51942186</v>
      </c>
      <c r="U3" s="9">
        <f>IF('Adjusted Supply Gap'!U3&lt;0, -'Adjusted Supply Gap'!U3*1000/('Current Mix'!D3*8760), 0)</f>
        <v>43.09371607</v>
      </c>
      <c r="V3" s="9">
        <f>IF('Adjusted Supply Gap'!V3&lt;0, -'Adjusted Supply Gap'!V3*1000/('Current Mix'!D3*8760), 0)</f>
        <v>52.67405324</v>
      </c>
      <c r="W3" s="9">
        <f>IF('Adjusted Supply Gap'!W3&lt;0, -'Adjusted Supply Gap'!W3*1000/('Current Mix'!D3*8760), 0)</f>
        <v>62.26049377</v>
      </c>
    </row>
    <row r="4">
      <c r="A4" s="2" t="s">
        <v>10</v>
      </c>
      <c r="B4" s="2" t="s">
        <v>13</v>
      </c>
      <c r="C4" s="9">
        <f>IF('Adjusted Supply Gap'!C4&lt;0, -'Adjusted Supply Gap'!C4*1000/('Current Mix'!D4*8760), 0)</f>
        <v>0</v>
      </c>
      <c r="D4" s="9">
        <f>IF('Adjusted Supply Gap'!D4&lt;0, -'Adjusted Supply Gap'!D4*1000/('Current Mix'!D4*8760), 0)</f>
        <v>0</v>
      </c>
      <c r="E4" s="9">
        <f>IF('Adjusted Supply Gap'!E4&lt;0, -'Adjusted Supply Gap'!E4*1000/('Current Mix'!D4*8760), 0)</f>
        <v>0</v>
      </c>
      <c r="F4" s="9">
        <f>IF('Adjusted Supply Gap'!F4&lt;0, -'Adjusted Supply Gap'!F4*1000/('Current Mix'!D4*8760), 0)</f>
        <v>0</v>
      </c>
      <c r="G4" s="9">
        <f>IF('Adjusted Supply Gap'!G4&lt;0, -'Adjusted Supply Gap'!G4*1000/('Current Mix'!D4*8760), 0)</f>
        <v>0</v>
      </c>
      <c r="H4" s="9">
        <f>IF('Adjusted Supply Gap'!H4&lt;0, -'Adjusted Supply Gap'!H4*1000/('Current Mix'!D4*8760), 0)</f>
        <v>0</v>
      </c>
      <c r="I4" s="9">
        <f>IF('Adjusted Supply Gap'!I4&lt;0, -'Adjusted Supply Gap'!I4*1000/('Current Mix'!D4*8760), 0)</f>
        <v>1.111340476</v>
      </c>
      <c r="J4" s="9">
        <f>IF('Adjusted Supply Gap'!J4&lt;0, -'Adjusted Supply Gap'!J4*1000/('Current Mix'!D4*8760), 0)</f>
        <v>2.485683881</v>
      </c>
      <c r="K4" s="9">
        <f>IF('Adjusted Supply Gap'!K4&lt;0, -'Adjusted Supply Gap'!K4*1000/('Current Mix'!D4*8760), 0)</f>
        <v>3.86255072</v>
      </c>
      <c r="L4" s="9">
        <f>IF('Adjusted Supply Gap'!L4&lt;0, -'Adjusted Supply Gap'!L4*1000/('Current Mix'!D4*8760), 0)</f>
        <v>5.241966227</v>
      </c>
      <c r="M4" s="9">
        <f>IF('Adjusted Supply Gap'!M4&lt;0, -'Adjusted Supply Gap'!M4*1000/('Current Mix'!D4*8760), 0)</f>
        <v>6.623955889</v>
      </c>
      <c r="N4" s="9">
        <f>IF('Adjusted Supply Gap'!N4&lt;0, -'Adjusted Supply Gap'!N4*1000/('Current Mix'!D4*8760), 0)</f>
        <v>8.850045448</v>
      </c>
      <c r="O4" s="9">
        <f>IF('Adjusted Supply Gap'!O4&lt;0, -'Adjusted Supply Gap'!O4*1000/('Current Mix'!D4*8760), 0)</f>
        <v>11.0787609</v>
      </c>
      <c r="P4" s="9">
        <f>IF('Adjusted Supply Gap'!P4&lt;0, -'Adjusted Supply Gap'!P4*1000/('Current Mix'!D4*8760), 0)</f>
        <v>13.31012851</v>
      </c>
      <c r="Q4" s="9">
        <f>IF('Adjusted Supply Gap'!Q4&lt;0, -'Adjusted Supply Gap'!Q4*1000/('Current Mix'!D4*8760), 0)</f>
        <v>15.5441748</v>
      </c>
      <c r="R4" s="9">
        <f>IF('Adjusted Supply Gap'!R4&lt;0, -'Adjusted Supply Gap'!R4*1000/('Current Mix'!D4*8760), 0)</f>
        <v>17.78092654</v>
      </c>
      <c r="S4" s="9">
        <f>IF('Adjusted Supply Gap'!S4&lt;0, -'Adjusted Supply Gap'!S4*1000/('Current Mix'!D4*8760), 0)</f>
        <v>20.02041081</v>
      </c>
      <c r="T4" s="9">
        <f>IF('Adjusted Supply Gap'!T4&lt;0, -'Adjusted Supply Gap'!T4*1000/('Current Mix'!D4*8760), 0)</f>
        <v>22.26265492</v>
      </c>
      <c r="U4" s="9">
        <f>IF('Adjusted Supply Gap'!U4&lt;0, -'Adjusted Supply Gap'!U4*1000/('Current Mix'!D4*8760), 0)</f>
        <v>24.50768647</v>
      </c>
      <c r="V4" s="9">
        <f>IF('Adjusted Supply Gap'!V4&lt;0, -'Adjusted Supply Gap'!V4*1000/('Current Mix'!D4*8760), 0)</f>
        <v>26.75553333</v>
      </c>
      <c r="W4" s="9">
        <f>IF('Adjusted Supply Gap'!W4&lt;0, -'Adjusted Supply Gap'!W4*1000/('Current Mix'!D4*8760), 0)</f>
        <v>29.00622367</v>
      </c>
    </row>
    <row r="5">
      <c r="A5" s="2" t="s">
        <v>10</v>
      </c>
      <c r="B5" s="2" t="s">
        <v>14</v>
      </c>
      <c r="C5" s="9">
        <f>IF('Adjusted Supply Gap'!C5&lt;0, -'Adjusted Supply Gap'!C5*1000/('Current Mix'!D5*8760), 0)</f>
        <v>5.468478637</v>
      </c>
      <c r="D5" s="9">
        <f>IF('Adjusted Supply Gap'!D5&lt;0, -'Adjusted Supply Gap'!D5*1000/('Current Mix'!D5*8760), 0)</f>
        <v>5.967245923</v>
      </c>
      <c r="E5" s="9">
        <f>IF('Adjusted Supply Gap'!E5&lt;0, -'Adjusted Supply Gap'!E5*1000/('Current Mix'!D5*8760), 0)</f>
        <v>6.467558382</v>
      </c>
      <c r="F5" s="9">
        <f>IF('Adjusted Supply Gap'!F5&lt;0, -'Adjusted Supply Gap'!F5*1000/('Current Mix'!D5*8760), 0)</f>
        <v>6.969431466</v>
      </c>
      <c r="G5" s="9">
        <f>IF('Adjusted Supply Gap'!G5&lt;0, -'Adjusted Supply Gap'!G5*1000/('Current Mix'!D5*8760), 0)</f>
        <v>7.472880781</v>
      </c>
      <c r="H5" s="9">
        <f>IF('Adjusted Supply Gap'!H5&lt;0, -'Adjusted Supply Gap'!H5*1000/('Current Mix'!D5*8760), 0)</f>
        <v>7.977922089</v>
      </c>
      <c r="I5" s="9">
        <f>IF('Adjusted Supply Gap'!I5&lt;0, -'Adjusted Supply Gap'!I5*1000/('Current Mix'!D5*8760), 0)</f>
        <v>8.966521309</v>
      </c>
      <c r="J5" s="9">
        <f>IF('Adjusted Supply Gap'!J5&lt;0, -'Adjusted Supply Gap'!J5*1000/('Current Mix'!D5*8760), 0)</f>
        <v>9.956744523</v>
      </c>
      <c r="K5" s="9">
        <f>IF('Adjusted Supply Gap'!K5&lt;0, -'Adjusted Supply Gap'!K5*1000/('Current Mix'!D5*8760), 0)</f>
        <v>10.94860797</v>
      </c>
      <c r="L5" s="9">
        <f>IF('Adjusted Supply Gap'!L5&lt;0, -'Adjusted Supply Gap'!L5*1000/('Current Mix'!D5*8760), 0)</f>
        <v>11.94212805</v>
      </c>
      <c r="M5" s="9">
        <f>IF('Adjusted Supply Gap'!M5&lt;0, -'Adjusted Supply Gap'!M5*1000/('Current Mix'!D5*8760), 0)</f>
        <v>12.93732133</v>
      </c>
      <c r="N5" s="9">
        <f>IF('Adjusted Supply Gap'!N5&lt;0, -'Adjusted Supply Gap'!N5*1000/('Current Mix'!D5*8760), 0)</f>
        <v>13.52110454</v>
      </c>
      <c r="O5" s="9">
        <f>IF('Adjusted Supply Gap'!O5&lt;0, -'Adjusted Supply Gap'!O5*1000/('Current Mix'!D5*8760), 0)</f>
        <v>14.10659459</v>
      </c>
      <c r="P5" s="9">
        <f>IF('Adjusted Supply Gap'!P5&lt;0, -'Adjusted Supply Gap'!P5*1000/('Current Mix'!D5*8760), 0)</f>
        <v>14.69380853</v>
      </c>
      <c r="Q5" s="9">
        <f>IF('Adjusted Supply Gap'!Q5&lt;0, -'Adjusted Supply Gap'!Q5*1000/('Current Mix'!D5*8760), 0)</f>
        <v>15.28276362</v>
      </c>
      <c r="R5" s="9">
        <f>IF('Adjusted Supply Gap'!R5&lt;0, -'Adjusted Supply Gap'!R5*1000/('Current Mix'!D5*8760), 0)</f>
        <v>15.87347725</v>
      </c>
      <c r="S5" s="9">
        <f>IF('Adjusted Supply Gap'!S5&lt;0, -'Adjusted Supply Gap'!S5*1000/('Current Mix'!D5*8760), 0)</f>
        <v>16.46596703</v>
      </c>
      <c r="T5" s="9">
        <f>IF('Adjusted Supply Gap'!T5&lt;0, -'Adjusted Supply Gap'!T5*1000/('Current Mix'!D5*8760), 0)</f>
        <v>17.0602507</v>
      </c>
      <c r="U5" s="9">
        <f>IF('Adjusted Supply Gap'!U5&lt;0, -'Adjusted Supply Gap'!U5*1000/('Current Mix'!D5*8760), 0)</f>
        <v>17.6563462</v>
      </c>
      <c r="V5" s="9">
        <f>IF('Adjusted Supply Gap'!V5&lt;0, -'Adjusted Supply Gap'!V5*1000/('Current Mix'!D5*8760), 0)</f>
        <v>18.25427167</v>
      </c>
      <c r="W5" s="9">
        <f>IF('Adjusted Supply Gap'!W5&lt;0, -'Adjusted Supply Gap'!W5*1000/('Current Mix'!D5*8760), 0)</f>
        <v>18.85404538</v>
      </c>
    </row>
    <row r="6">
      <c r="A6" s="2" t="s">
        <v>10</v>
      </c>
      <c r="B6" s="2" t="s">
        <v>15</v>
      </c>
      <c r="C6" s="9">
        <f>IF('Adjusted Supply Gap'!C6&lt;0, -'Adjusted Supply Gap'!C6*1000/('Current Mix'!D6*8760), 0)</f>
        <v>4.425518836</v>
      </c>
      <c r="D6" s="9">
        <f>IF('Adjusted Supply Gap'!D6&lt;0, -'Adjusted Supply Gap'!D6*1000/('Current Mix'!D6*8760), 0)</f>
        <v>4.653760274</v>
      </c>
      <c r="E6" s="9">
        <f>IF('Adjusted Supply Gap'!E6&lt;0, -'Adjusted Supply Gap'!E6*1000/('Current Mix'!D6*8760), 0)</f>
        <v>4.882857877</v>
      </c>
      <c r="F6" s="9">
        <f>IF('Adjusted Supply Gap'!F6&lt;0, -'Adjusted Supply Gap'!F6*1000/('Current Mix'!D6*8760), 0)</f>
        <v>5.112820205</v>
      </c>
      <c r="G6" s="9">
        <f>IF('Adjusted Supply Gap'!G6&lt;0, -'Adjusted Supply Gap'!G6*1000/('Current Mix'!D6*8760), 0)</f>
        <v>5.343655908</v>
      </c>
      <c r="H6" s="9">
        <f>IF('Adjusted Supply Gap'!H6&lt;0, -'Adjusted Supply Gap'!H6*1000/('Current Mix'!D6*8760), 0)</f>
        <v>5.575373717</v>
      </c>
      <c r="I6" s="9">
        <f>IF('Adjusted Supply Gap'!I6&lt;0, -'Adjusted Supply Gap'!I6*1000/('Current Mix'!D6*8760), 0)</f>
        <v>6.007657454</v>
      </c>
      <c r="J6" s="9">
        <f>IF('Adjusted Supply Gap'!J6&lt;0, -'Adjusted Supply Gap'!J6*1000/('Current Mix'!D6*8760), 0)</f>
        <v>6.440841028</v>
      </c>
      <c r="K6" s="9">
        <f>IF('Adjusted Supply Gap'!K6&lt;0, -'Adjusted Supply Gap'!K6*1000/('Current Mix'!D6*8760), 0)</f>
        <v>6.874933439</v>
      </c>
      <c r="L6" s="9">
        <f>IF('Adjusted Supply Gap'!L6&lt;0, -'Adjusted Supply Gap'!L6*1000/('Current Mix'!D6*8760), 0)</f>
        <v>7.309943773</v>
      </c>
      <c r="M6" s="9">
        <f>IF('Adjusted Supply Gap'!M6&lt;0, -'Adjusted Supply Gap'!M6*1000/('Current Mix'!D6*8760), 0)</f>
        <v>7.745881211</v>
      </c>
      <c r="N6" s="9">
        <f>IF('Adjusted Supply Gap'!N6&lt;0, -'Adjusted Supply Gap'!N6*1000/('Current Mix'!D6*8760), 0)</f>
        <v>8.011605023</v>
      </c>
      <c r="O6" s="9">
        <f>IF('Adjusted Supply Gap'!O6&lt;0, -'Adjusted Supply Gap'!O6*1000/('Current Mix'!D6*8760), 0)</f>
        <v>8.278274573</v>
      </c>
      <c r="P6" s="9">
        <f>IF('Adjusted Supply Gap'!P6&lt;0, -'Adjusted Supply Gap'!P6*1000/('Current Mix'!D6*8760), 0)</f>
        <v>8.545899319</v>
      </c>
      <c r="Q6" s="9">
        <f>IF('Adjusted Supply Gap'!Q6&lt;0, -'Adjusted Supply Gap'!Q6*1000/('Current Mix'!D6*8760), 0)</f>
        <v>8.814488812</v>
      </c>
      <c r="R6" s="9">
        <f>IF('Adjusted Supply Gap'!R6&lt;0, -'Adjusted Supply Gap'!R6*1000/('Current Mix'!D6*8760), 0)</f>
        <v>9.0840527</v>
      </c>
      <c r="S6" s="9">
        <f>IF('Adjusted Supply Gap'!S6&lt;0, -'Adjusted Supply Gap'!S6*1000/('Current Mix'!D6*8760), 0)</f>
        <v>9.354600727</v>
      </c>
      <c r="T6" s="9">
        <f>IF('Adjusted Supply Gap'!T6&lt;0, -'Adjusted Supply Gap'!T6*1000/('Current Mix'!D6*8760), 0)</f>
        <v>9.626142734</v>
      </c>
      <c r="U6" s="9">
        <f>IF('Adjusted Supply Gap'!U6&lt;0, -'Adjusted Supply Gap'!U6*1000/('Current Mix'!D6*8760), 0)</f>
        <v>9.898688662</v>
      </c>
      <c r="V6" s="9">
        <f>IF('Adjusted Supply Gap'!V6&lt;0, -'Adjusted Supply Gap'!V6*1000/('Current Mix'!D6*8760), 0)</f>
        <v>10.17224855</v>
      </c>
      <c r="W6" s="9">
        <f>IF('Adjusted Supply Gap'!W6&lt;0, -'Adjusted Supply Gap'!W6*1000/('Current Mix'!D6*8760), 0)</f>
        <v>10.44683253</v>
      </c>
    </row>
    <row r="7">
      <c r="A7" s="2" t="s">
        <v>16</v>
      </c>
      <c r="B7" s="2" t="s">
        <v>11</v>
      </c>
      <c r="C7" s="9">
        <f>IF('Adjusted Supply Gap'!C7&lt;0, -'Adjusted Supply Gap'!C7*1000/('Current Mix'!D7*8760), 0)</f>
        <v>11.7334069</v>
      </c>
      <c r="D7" s="9">
        <f>IF('Adjusted Supply Gap'!D7&lt;0, -'Adjusted Supply Gap'!D7*1000/('Current Mix'!D7*8760), 0)</f>
        <v>13.02179097</v>
      </c>
      <c r="E7" s="9">
        <f>IF('Adjusted Supply Gap'!E7&lt;0, -'Adjusted Supply Gap'!E7*1000/('Current Mix'!D7*8760), 0)</f>
        <v>14.31250888</v>
      </c>
      <c r="F7" s="9">
        <f>IF('Adjusted Supply Gap'!F7&lt;0, -'Adjusted Supply Gap'!F7*1000/('Current Mix'!D7*8760), 0)</f>
        <v>15.60558397</v>
      </c>
      <c r="G7" s="9">
        <f>IF('Adjusted Supply Gap'!G7&lt;0, -'Adjusted Supply Gap'!G7*1000/('Current Mix'!D7*8760), 0)</f>
        <v>16.90103981</v>
      </c>
      <c r="H7" s="9">
        <f>IF('Adjusted Supply Gap'!H7&lt;0, -'Adjusted Supply Gap'!H7*1000/('Current Mix'!D7*8760), 0)</f>
        <v>18.19890021</v>
      </c>
      <c r="I7" s="9">
        <f>IF('Adjusted Supply Gap'!I7&lt;0, -'Adjusted Supply Gap'!I7*1000/('Current Mix'!D7*8760), 0)</f>
        <v>19.20378921</v>
      </c>
      <c r="J7" s="9">
        <f>IF('Adjusted Supply Gap'!J7&lt;0, -'Adjusted Supply Gap'!J7*1000/('Current Mix'!D7*8760), 0)</f>
        <v>20.2111311</v>
      </c>
      <c r="K7" s="9">
        <f>IF('Adjusted Supply Gap'!K7&lt;0, -'Adjusted Supply Gap'!K7*1000/('Current Mix'!D7*8760), 0)</f>
        <v>21.22095041</v>
      </c>
      <c r="L7" s="9">
        <f>IF('Adjusted Supply Gap'!L7&lt;0, -'Adjusted Supply Gap'!L7*1000/('Current Mix'!D7*8760), 0)</f>
        <v>22.23327191</v>
      </c>
      <c r="M7" s="9">
        <f>IF('Adjusted Supply Gap'!M7&lt;0, -'Adjusted Supply Gap'!M7*1000/('Current Mix'!D7*8760), 0)</f>
        <v>23.24812063</v>
      </c>
      <c r="N7" s="9">
        <f>IF('Adjusted Supply Gap'!N7&lt;0, -'Adjusted Supply Gap'!N7*1000/('Current Mix'!D7*8760), 0)</f>
        <v>23.75912184</v>
      </c>
      <c r="O7" s="9">
        <f>IF('Adjusted Supply Gap'!O7&lt;0, -'Adjusted Supply Gap'!O7*1000/('Current Mix'!D7*8760), 0)</f>
        <v>24.27270106</v>
      </c>
      <c r="P7" s="9">
        <f>IF('Adjusted Supply Gap'!P7&lt;0, -'Adjusted Supply Gap'!P7*1000/('Current Mix'!D7*8760), 0)</f>
        <v>24.78888407</v>
      </c>
      <c r="Q7" s="9">
        <f>IF('Adjusted Supply Gap'!Q7&lt;0, -'Adjusted Supply Gap'!Q7*1000/('Current Mix'!D7*8760), 0)</f>
        <v>25.30769691</v>
      </c>
      <c r="R7" s="9">
        <f>IF('Adjusted Supply Gap'!R7&lt;0, -'Adjusted Supply Gap'!R7*1000/('Current Mix'!D7*8760), 0)</f>
        <v>25.82916588</v>
      </c>
      <c r="S7" s="9">
        <f>IF('Adjusted Supply Gap'!S7&lt;0, -'Adjusted Supply Gap'!S7*1000/('Current Mix'!D7*8760), 0)</f>
        <v>26.35331754</v>
      </c>
      <c r="T7" s="9">
        <f>IF('Adjusted Supply Gap'!T7&lt;0, -'Adjusted Supply Gap'!T7*1000/('Current Mix'!D7*8760), 0)</f>
        <v>26.88017871</v>
      </c>
      <c r="U7" s="9">
        <f>IF('Adjusted Supply Gap'!U7&lt;0, -'Adjusted Supply Gap'!U7*1000/('Current Mix'!D7*8760), 0)</f>
        <v>27.4097765</v>
      </c>
      <c r="V7" s="9">
        <f>IF('Adjusted Supply Gap'!V7&lt;0, -'Adjusted Supply Gap'!V7*1000/('Current Mix'!D7*8760), 0)</f>
        <v>27.94213827</v>
      </c>
      <c r="W7" s="9">
        <f>IF('Adjusted Supply Gap'!W7&lt;0, -'Adjusted Supply Gap'!W7*1000/('Current Mix'!D7*8760), 0)</f>
        <v>28.47729165</v>
      </c>
    </row>
    <row r="8">
      <c r="A8" s="2" t="s">
        <v>16</v>
      </c>
      <c r="B8" s="2" t="s">
        <v>12</v>
      </c>
      <c r="C8" s="9">
        <f>IF('Adjusted Supply Gap'!C8&lt;0, -'Adjusted Supply Gap'!C8*1000/('Current Mix'!D8*8760), 0)</f>
        <v>0</v>
      </c>
      <c r="D8" s="9">
        <f>IF('Adjusted Supply Gap'!D8&lt;0, -'Adjusted Supply Gap'!D8*1000/('Current Mix'!D8*8760), 0)</f>
        <v>0</v>
      </c>
      <c r="E8" s="9">
        <f>IF('Adjusted Supply Gap'!E8&lt;0, -'Adjusted Supply Gap'!E8*1000/('Current Mix'!D8*8760), 0)</f>
        <v>0</v>
      </c>
      <c r="F8" s="9">
        <f>IF('Adjusted Supply Gap'!F8&lt;0, -'Adjusted Supply Gap'!F8*1000/('Current Mix'!D8*8760), 0)</f>
        <v>0</v>
      </c>
      <c r="G8" s="9">
        <f>IF('Adjusted Supply Gap'!G8&lt;0, -'Adjusted Supply Gap'!G8*1000/('Current Mix'!D8*8760), 0)</f>
        <v>0</v>
      </c>
      <c r="H8" s="9">
        <f>IF('Adjusted Supply Gap'!H8&lt;0, -'Adjusted Supply Gap'!H8*1000/('Current Mix'!D8*8760), 0)</f>
        <v>0</v>
      </c>
      <c r="I8" s="9">
        <f>IF('Adjusted Supply Gap'!I8&lt;0, -'Adjusted Supply Gap'!I8*1000/('Current Mix'!D8*8760), 0)</f>
        <v>0</v>
      </c>
      <c r="J8" s="9">
        <f>IF('Adjusted Supply Gap'!J8&lt;0, -'Adjusted Supply Gap'!J8*1000/('Current Mix'!D8*8760), 0)</f>
        <v>0</v>
      </c>
      <c r="K8" s="9">
        <f>IF('Adjusted Supply Gap'!K8&lt;0, -'Adjusted Supply Gap'!K8*1000/('Current Mix'!D8*8760), 0)</f>
        <v>0</v>
      </c>
      <c r="L8" s="9">
        <f>IF('Adjusted Supply Gap'!L8&lt;0, -'Adjusted Supply Gap'!L8*1000/('Current Mix'!D8*8760), 0)</f>
        <v>0</v>
      </c>
      <c r="M8" s="9">
        <f>IF('Adjusted Supply Gap'!M8&lt;0, -'Adjusted Supply Gap'!M8*1000/('Current Mix'!D8*8760), 0)</f>
        <v>5.582503813</v>
      </c>
      <c r="N8" s="9">
        <f>IF('Adjusted Supply Gap'!N8&lt;0, -'Adjusted Supply Gap'!N8*1000/('Current Mix'!D8*8760), 0)</f>
        <v>13.98732885</v>
      </c>
      <c r="O8" s="9">
        <f>IF('Adjusted Supply Gap'!O8&lt;0, -'Adjusted Supply Gap'!O8*1000/('Current Mix'!D8*8760), 0)</f>
        <v>22.40030214</v>
      </c>
      <c r="P8" s="9">
        <f>IF('Adjusted Supply Gap'!P8&lt;0, -'Adjusted Supply Gap'!P8*1000/('Current Mix'!D8*8760), 0)</f>
        <v>30.82150516</v>
      </c>
      <c r="Q8" s="9">
        <f>IF('Adjusted Supply Gap'!Q8&lt;0, -'Adjusted Supply Gap'!Q8*1000/('Current Mix'!D8*8760), 0)</f>
        <v>39.25102021</v>
      </c>
      <c r="R8" s="9">
        <f>IF('Adjusted Supply Gap'!R8&lt;0, -'Adjusted Supply Gap'!R8*1000/('Current Mix'!D8*8760), 0)</f>
        <v>47.68893041</v>
      </c>
      <c r="S8" s="9">
        <f>IF('Adjusted Supply Gap'!S8&lt;0, -'Adjusted Supply Gap'!S8*1000/('Current Mix'!D8*8760), 0)</f>
        <v>56.13531972</v>
      </c>
      <c r="T8" s="9">
        <f>IF('Adjusted Supply Gap'!T8&lt;0, -'Adjusted Supply Gap'!T8*1000/('Current Mix'!D8*8760), 0)</f>
        <v>64.59027292</v>
      </c>
      <c r="U8" s="9">
        <f>IF('Adjusted Supply Gap'!U8&lt;0, -'Adjusted Supply Gap'!U8*1000/('Current Mix'!D8*8760), 0)</f>
        <v>73.05387565</v>
      </c>
      <c r="V8" s="9">
        <f>IF('Adjusted Supply Gap'!V8&lt;0, -'Adjusted Supply Gap'!V8*1000/('Current Mix'!D8*8760), 0)</f>
        <v>81.5262144</v>
      </c>
      <c r="W8" s="9">
        <f>IF('Adjusted Supply Gap'!W8&lt;0, -'Adjusted Supply Gap'!W8*1000/('Current Mix'!D8*8760), 0)</f>
        <v>90.00737655</v>
      </c>
    </row>
    <row r="9">
      <c r="A9" s="2" t="s">
        <v>16</v>
      </c>
      <c r="B9" s="2" t="s">
        <v>13</v>
      </c>
      <c r="C9" s="9">
        <f>IF('Adjusted Supply Gap'!C9&lt;0, -'Adjusted Supply Gap'!C9*1000/('Current Mix'!D9*8760), 0)</f>
        <v>35.79276884</v>
      </c>
      <c r="D9" s="9">
        <f>IF('Adjusted Supply Gap'!D9&lt;0, -'Adjusted Supply Gap'!D9*1000/('Current Mix'!D9*8760), 0)</f>
        <v>36.75887153</v>
      </c>
      <c r="E9" s="9">
        <f>IF('Adjusted Supply Gap'!E9&lt;0, -'Adjusted Supply Gap'!E9*1000/('Current Mix'!D9*8760), 0)</f>
        <v>37.73081025</v>
      </c>
      <c r="F9" s="9">
        <f>IF('Adjusted Supply Gap'!F9&lt;0, -'Adjusted Supply Gap'!F9*1000/('Current Mix'!D9*8760), 0)</f>
        <v>38.70864335</v>
      </c>
      <c r="G9" s="9">
        <f>IF('Adjusted Supply Gap'!G9&lt;0, -'Adjusted Supply Gap'!G9*1000/('Current Mix'!D9*8760), 0)</f>
        <v>39.69242978</v>
      </c>
      <c r="H9" s="9">
        <f>IF('Adjusted Supply Gap'!H9&lt;0, -'Adjusted Supply Gap'!H9*1000/('Current Mix'!D9*8760), 0)</f>
        <v>40.68222908</v>
      </c>
      <c r="I9" s="9">
        <f>IF('Adjusted Supply Gap'!I9&lt;0, -'Adjusted Supply Gap'!I9*1000/('Current Mix'!D9*8760), 0)</f>
        <v>42.21360137</v>
      </c>
      <c r="J9" s="9">
        <f>IF('Adjusted Supply Gap'!J9&lt;0, -'Adjusted Supply Gap'!J9*1000/('Current Mix'!D9*8760), 0)</f>
        <v>43.75110738</v>
      </c>
      <c r="K9" s="9">
        <f>IF('Adjusted Supply Gap'!K9&lt;0, -'Adjusted Supply Gap'!K9*1000/('Current Mix'!D9*8760), 0)</f>
        <v>45.29480846</v>
      </c>
      <c r="L9" s="9">
        <f>IF('Adjusted Supply Gap'!L9&lt;0, -'Adjusted Supply Gap'!L9*1000/('Current Mix'!D9*8760), 0)</f>
        <v>46.84476654</v>
      </c>
      <c r="M9" s="9">
        <f>IF('Adjusted Supply Gap'!M9&lt;0, -'Adjusted Supply Gap'!M9*1000/('Current Mix'!D9*8760), 0)</f>
        <v>48.40104421</v>
      </c>
      <c r="N9" s="9">
        <f>IF('Adjusted Supply Gap'!N9&lt;0, -'Adjusted Supply Gap'!N9*1000/('Current Mix'!D9*8760), 0)</f>
        <v>50.65220465</v>
      </c>
      <c r="O9" s="9">
        <f>IF('Adjusted Supply Gap'!O9&lt;0, -'Adjusted Supply Gap'!O9*1000/('Current Mix'!D9*8760), 0)</f>
        <v>52.9098117</v>
      </c>
      <c r="P9" s="9">
        <f>IF('Adjusted Supply Gap'!P9&lt;0, -'Adjusted Supply Gap'!P9*1000/('Current Mix'!D9*8760), 0)</f>
        <v>55.17392981</v>
      </c>
      <c r="Q9" s="9">
        <f>IF('Adjusted Supply Gap'!Q9&lt;0, -'Adjusted Supply Gap'!Q9*1000/('Current Mix'!D9*8760), 0)</f>
        <v>57.44462411</v>
      </c>
      <c r="R9" s="9">
        <f>IF('Adjusted Supply Gap'!R9&lt;0, -'Adjusted Supply Gap'!R9*1000/('Current Mix'!D9*8760), 0)</f>
        <v>59.72196035</v>
      </c>
      <c r="S9" s="9">
        <f>IF('Adjusted Supply Gap'!S9&lt;0, -'Adjusted Supply Gap'!S9*1000/('Current Mix'!D9*8760), 0)</f>
        <v>62.00600496</v>
      </c>
      <c r="T9" s="9">
        <f>IF('Adjusted Supply Gap'!T9&lt;0, -'Adjusted Supply Gap'!T9*1000/('Current Mix'!D9*8760), 0)</f>
        <v>64.29682501</v>
      </c>
      <c r="U9" s="9">
        <f>IF('Adjusted Supply Gap'!U9&lt;0, -'Adjusted Supply Gap'!U9*1000/('Current Mix'!D9*8760), 0)</f>
        <v>66.59448826</v>
      </c>
      <c r="V9" s="9">
        <f>IF('Adjusted Supply Gap'!V9&lt;0, -'Adjusted Supply Gap'!V9*1000/('Current Mix'!D9*8760), 0)</f>
        <v>68.89906314</v>
      </c>
      <c r="W9" s="9">
        <f>IF('Adjusted Supply Gap'!W9&lt;0, -'Adjusted Supply Gap'!W9*1000/('Current Mix'!D9*8760), 0)</f>
        <v>71.21061877</v>
      </c>
    </row>
    <row r="10">
      <c r="A10" s="2" t="s">
        <v>16</v>
      </c>
      <c r="B10" s="2" t="s">
        <v>14</v>
      </c>
      <c r="C10" s="9">
        <f>IF('Adjusted Supply Gap'!C10&lt;0, -'Adjusted Supply Gap'!C10*1000/('Current Mix'!D10*8760), 0)</f>
        <v>9.828269569</v>
      </c>
      <c r="D10" s="9">
        <f>IF('Adjusted Supply Gap'!D10&lt;0, -'Adjusted Supply Gap'!D10*1000/('Current Mix'!D10*8760), 0)</f>
        <v>10.00491977</v>
      </c>
      <c r="E10" s="9">
        <f>IF('Adjusted Supply Gap'!E10&lt;0, -'Adjusted Supply Gap'!E10*1000/('Current Mix'!D10*8760), 0)</f>
        <v>10.18272896</v>
      </c>
      <c r="F10" s="9">
        <f>IF('Adjusted Supply Gap'!F10&lt;0, -'Adjusted Supply Gap'!F10*1000/('Current Mix'!D10*8760), 0)</f>
        <v>10.36170875</v>
      </c>
      <c r="G10" s="9">
        <f>IF('Adjusted Supply Gap'!G10&lt;0, -'Adjusted Supply Gap'!G10*1000/('Current Mix'!D10*8760), 0)</f>
        <v>10.54187084</v>
      </c>
      <c r="H10" s="9">
        <f>IF('Adjusted Supply Gap'!H10&lt;0, -'Adjusted Supply Gap'!H10*1000/('Current Mix'!D10*8760), 0)</f>
        <v>10.72322705</v>
      </c>
      <c r="I10" s="9">
        <f>IF('Adjusted Supply Gap'!I10&lt;0, -'Adjusted Supply Gap'!I10*1000/('Current Mix'!D10*8760), 0)</f>
        <v>10.99083932</v>
      </c>
      <c r="J10" s="9">
        <f>IF('Adjusted Supply Gap'!J10&lt;0, -'Adjusted Supply Gap'!J10*1000/('Current Mix'!D10*8760), 0)</f>
        <v>11.25966971</v>
      </c>
      <c r="K10" s="9">
        <f>IF('Adjusted Supply Gap'!K10&lt;0, -'Adjusted Supply Gap'!K10*1000/('Current Mix'!D10*8760), 0)</f>
        <v>11.52973041</v>
      </c>
      <c r="L10" s="9">
        <f>IF('Adjusted Supply Gap'!L10&lt;0, -'Adjusted Supply Gap'!L10*1000/('Current Mix'!D10*8760), 0)</f>
        <v>11.80103371</v>
      </c>
      <c r="M10" s="9">
        <f>IF('Adjusted Supply Gap'!M10&lt;0, -'Adjusted Supply Gap'!M10*1000/('Current Mix'!D10*8760), 0)</f>
        <v>12.07359205</v>
      </c>
      <c r="N10" s="9">
        <f>IF('Adjusted Supply Gap'!N10&lt;0, -'Adjusted Supply Gap'!N10*1000/('Current Mix'!D10*8760), 0)</f>
        <v>12.27451797</v>
      </c>
      <c r="O10" s="9">
        <f>IF('Adjusted Supply Gap'!O10&lt;0, -'Adjusted Supply Gap'!O10*1000/('Current Mix'!D10*8760), 0)</f>
        <v>12.47672415</v>
      </c>
      <c r="P10" s="9">
        <f>IF('Adjusted Supply Gap'!P10&lt;0, -'Adjusted Supply Gap'!P10*1000/('Current Mix'!D10*8760), 0)</f>
        <v>12.68022339</v>
      </c>
      <c r="Q10" s="9">
        <f>IF('Adjusted Supply Gap'!Q10&lt;0, -'Adjusted Supply Gap'!Q10*1000/('Current Mix'!D10*8760), 0)</f>
        <v>12.88502863</v>
      </c>
      <c r="R10" s="9">
        <f>IF('Adjusted Supply Gap'!R10&lt;0, -'Adjusted Supply Gap'!R10*1000/('Current Mix'!D10*8760), 0)</f>
        <v>13.09115291</v>
      </c>
      <c r="S10" s="9">
        <f>IF('Adjusted Supply Gap'!S10&lt;0, -'Adjusted Supply Gap'!S10*1000/('Current Mix'!D10*8760), 0)</f>
        <v>13.29860944</v>
      </c>
      <c r="T10" s="9">
        <f>IF('Adjusted Supply Gap'!T10&lt;0, -'Adjusted Supply Gap'!T10*1000/('Current Mix'!D10*8760), 0)</f>
        <v>13.50741154</v>
      </c>
      <c r="U10" s="9">
        <f>IF('Adjusted Supply Gap'!U10&lt;0, -'Adjusted Supply Gap'!U10*1000/('Current Mix'!D10*8760), 0)</f>
        <v>13.71757265</v>
      </c>
      <c r="V10" s="9">
        <f>IF('Adjusted Supply Gap'!V10&lt;0, -'Adjusted Supply Gap'!V10*1000/('Current Mix'!D10*8760), 0)</f>
        <v>13.92910638</v>
      </c>
      <c r="W10" s="9">
        <f>IF('Adjusted Supply Gap'!W10&lt;0, -'Adjusted Supply Gap'!W10*1000/('Current Mix'!D10*8760), 0)</f>
        <v>14.14202644</v>
      </c>
    </row>
    <row r="11">
      <c r="A11" s="2" t="s">
        <v>16</v>
      </c>
      <c r="B11" s="2" t="s">
        <v>15</v>
      </c>
      <c r="C11" s="9">
        <f>IF('Adjusted Supply Gap'!C11&lt;0, -'Adjusted Supply Gap'!C11*1000/('Current Mix'!D11*8760), 0)</f>
        <v>6.268850405</v>
      </c>
      <c r="D11" s="9">
        <f>IF('Adjusted Supply Gap'!D11&lt;0, -'Adjusted Supply Gap'!D11*1000/('Current Mix'!D11*8760), 0)</f>
        <v>6.462957659</v>
      </c>
      <c r="E11" s="9">
        <f>IF('Adjusted Supply Gap'!E11&lt;0, -'Adjusted Supply Gap'!E11*1000/('Current Mix'!D11*8760), 0)</f>
        <v>6.657987235</v>
      </c>
      <c r="F11" s="9">
        <f>IF('Adjusted Supply Gap'!F11&lt;0, -'Adjusted Supply Gap'!F11*1000/('Current Mix'!D11*8760), 0)</f>
        <v>6.853948358</v>
      </c>
      <c r="G11" s="9">
        <f>IF('Adjusted Supply Gap'!G11&lt;0, -'Adjusted Supply Gap'!G11*1000/('Current Mix'!D11*8760), 0)</f>
        <v>7.050850341</v>
      </c>
      <c r="H11" s="9">
        <f>IF('Adjusted Supply Gap'!H11&lt;0, -'Adjusted Supply Gap'!H11*1000/('Current Mix'!D11*8760), 0)</f>
        <v>7.248702595</v>
      </c>
      <c r="I11" s="9">
        <f>IF('Adjusted Supply Gap'!I11&lt;0, -'Adjusted Supply Gap'!I11*1000/('Current Mix'!D11*8760), 0)</f>
        <v>7.590139621</v>
      </c>
      <c r="J11" s="9">
        <f>IF('Adjusted Supply Gap'!J11&lt;0, -'Adjusted Supply Gap'!J11*1000/('Current Mix'!D11*8760), 0)</f>
        <v>7.932546017</v>
      </c>
      <c r="K11" s="9">
        <f>IF('Adjusted Supply Gap'!K11&lt;0, -'Adjusted Supply Gap'!K11*1000/('Current Mix'!D11*8760), 0)</f>
        <v>8.275931477</v>
      </c>
      <c r="L11" s="9">
        <f>IF('Adjusted Supply Gap'!L11&lt;0, -'Adjusted Supply Gap'!L11*1000/('Current Mix'!D11*8760), 0)</f>
        <v>8.620305792</v>
      </c>
      <c r="M11" s="9">
        <f>IF('Adjusted Supply Gap'!M11&lt;0, -'Adjusted Supply Gap'!M11*1000/('Current Mix'!D11*8760), 0)</f>
        <v>8.96567885</v>
      </c>
      <c r="N11" s="9">
        <f>IF('Adjusted Supply Gap'!N11&lt;0, -'Adjusted Supply Gap'!N11*1000/('Current Mix'!D11*8760), 0)</f>
        <v>9.189810638</v>
      </c>
      <c r="O11" s="9">
        <f>IF('Adjusted Supply Gap'!O11&lt;0, -'Adjusted Supply Gap'!O11*1000/('Current Mix'!D11*8760), 0)</f>
        <v>9.414961245</v>
      </c>
      <c r="P11" s="9">
        <f>IF('Adjusted Supply Gap'!P11&lt;0, -'Adjusted Supply Gap'!P11*1000/('Current Mix'!D11*8760), 0)</f>
        <v>9.641140857</v>
      </c>
      <c r="Q11" s="9">
        <f>IF('Adjusted Supply Gap'!Q11&lt;0, -'Adjusted Supply Gap'!Q11*1000/('Current Mix'!D11*8760), 0)</f>
        <v>9.868359766</v>
      </c>
      <c r="R11" s="9">
        <f>IF('Adjusted Supply Gap'!R11&lt;0, -'Adjusted Supply Gap'!R11*1000/('Current Mix'!D11*8760), 0)</f>
        <v>10.09662836</v>
      </c>
      <c r="S11" s="9">
        <f>IF('Adjusted Supply Gap'!S11&lt;0, -'Adjusted Supply Gap'!S11*1000/('Current Mix'!D11*8760), 0)</f>
        <v>10.32595715</v>
      </c>
      <c r="T11" s="9">
        <f>IF('Adjusted Supply Gap'!T11&lt;0, -'Adjusted Supply Gap'!T11*1000/('Current Mix'!D11*8760), 0)</f>
        <v>10.55635672</v>
      </c>
      <c r="U11" s="9">
        <f>IF('Adjusted Supply Gap'!U11&lt;0, -'Adjusted Supply Gap'!U11*1000/('Current Mix'!D11*8760), 0)</f>
        <v>10.78783779</v>
      </c>
      <c r="V11" s="9">
        <f>IF('Adjusted Supply Gap'!V11&lt;0, -'Adjusted Supply Gap'!V11*1000/('Current Mix'!D11*8760), 0)</f>
        <v>11.02041116</v>
      </c>
      <c r="W11" s="9">
        <f>IF('Adjusted Supply Gap'!W11&lt;0, -'Adjusted Supply Gap'!W11*1000/('Current Mix'!D11*8760), 0)</f>
        <v>11.25408778</v>
      </c>
    </row>
    <row r="12">
      <c r="A12" s="2" t="s">
        <v>17</v>
      </c>
      <c r="B12" s="2" t="s">
        <v>11</v>
      </c>
      <c r="C12" s="9">
        <f>IF('Adjusted Supply Gap'!C12&lt;0, -'Adjusted Supply Gap'!C12*1000/('Current Mix'!D12*8760), 0)</f>
        <v>30.55159993</v>
      </c>
      <c r="D12" s="9">
        <f>IF('Adjusted Supply Gap'!D12&lt;0, -'Adjusted Supply Gap'!D12*1000/('Current Mix'!D12*8760), 0)</f>
        <v>35.15096593</v>
      </c>
      <c r="E12" s="9">
        <f>IF('Adjusted Supply Gap'!E12&lt;0, -'Adjusted Supply Gap'!E12*1000/('Current Mix'!D12*8760), 0)</f>
        <v>39.75764226</v>
      </c>
      <c r="F12" s="9">
        <f>IF('Adjusted Supply Gap'!F12&lt;0, -'Adjusted Supply Gap'!F12*1000/('Current Mix'!D12*8760), 0)</f>
        <v>44.37170201</v>
      </c>
      <c r="G12" s="9">
        <f>IF('Adjusted Supply Gap'!G12&lt;0, -'Adjusted Supply Gap'!G12*1000/('Current Mix'!D12*8760), 0)</f>
        <v>48.99321903</v>
      </c>
      <c r="H12" s="9">
        <f>IF('Adjusted Supply Gap'!H12&lt;0, -'Adjusted Supply Gap'!H12*1000/('Current Mix'!D12*8760), 0)</f>
        <v>53.62226789</v>
      </c>
      <c r="I12" s="9">
        <f>IF('Adjusted Supply Gap'!I12&lt;0, -'Adjusted Supply Gap'!I12*1000/('Current Mix'!D12*8760), 0)</f>
        <v>57.17579057</v>
      </c>
      <c r="J12" s="9">
        <f>IF('Adjusted Supply Gap'!J12&lt;0, -'Adjusted Supply Gap'!J12*1000/('Current Mix'!D12*8760), 0)</f>
        <v>60.73699647</v>
      </c>
      <c r="K12" s="9">
        <f>IF('Adjusted Supply Gap'!K12&lt;0, -'Adjusted Supply Gap'!K12*1000/('Current Mix'!D12*8760), 0)</f>
        <v>64.30596244</v>
      </c>
      <c r="L12" s="9">
        <f>IF('Adjusted Supply Gap'!L12&lt;0, -'Adjusted Supply Gap'!L12*1000/('Current Mix'!D12*8760), 0)</f>
        <v>67.88276606</v>
      </c>
      <c r="M12" s="9">
        <f>IF('Adjusted Supply Gap'!M12&lt;0, -'Adjusted Supply Gap'!M12*1000/('Current Mix'!D12*8760), 0)</f>
        <v>71.46748572</v>
      </c>
      <c r="N12" s="9">
        <f>IF('Adjusted Supply Gap'!N12&lt;0, -'Adjusted Supply Gap'!N12*1000/('Current Mix'!D12*8760), 0)</f>
        <v>73.20340058</v>
      </c>
      <c r="O12" s="9">
        <f>IF('Adjusted Supply Gap'!O12&lt;0, -'Adjusted Supply Gap'!O12*1000/('Current Mix'!D12*8760), 0)</f>
        <v>74.94739059</v>
      </c>
      <c r="P12" s="9">
        <f>IF('Adjusted Supply Gap'!P12&lt;0, -'Adjusted Supply Gap'!P12*1000/('Current Mix'!D12*8760), 0)</f>
        <v>76.69953649</v>
      </c>
      <c r="Q12" s="9">
        <f>IF('Adjusted Supply Gap'!Q12&lt;0, -'Adjusted Supply Gap'!Q12*1000/('Current Mix'!D12*8760), 0)</f>
        <v>78.45991986</v>
      </c>
      <c r="R12" s="9">
        <f>IF('Adjusted Supply Gap'!R12&lt;0, -'Adjusted Supply Gap'!R12*1000/('Current Mix'!D12*8760), 0)</f>
        <v>80.22862305</v>
      </c>
      <c r="S12" s="9">
        <f>IF('Adjusted Supply Gap'!S12&lt;0, -'Adjusted Supply Gap'!S12*1000/('Current Mix'!D12*8760), 0)</f>
        <v>82.00572929</v>
      </c>
      <c r="T12" s="9">
        <f>IF('Adjusted Supply Gap'!T12&lt;0, -'Adjusted Supply Gap'!T12*1000/('Current Mix'!D12*8760), 0)</f>
        <v>83.79132258</v>
      </c>
      <c r="U12" s="9">
        <f>IF('Adjusted Supply Gap'!U12&lt;0, -'Adjusted Supply Gap'!U12*1000/('Current Mix'!D12*8760), 0)</f>
        <v>85.5854878</v>
      </c>
      <c r="V12" s="9">
        <f>IF('Adjusted Supply Gap'!V12&lt;0, -'Adjusted Supply Gap'!V12*1000/('Current Mix'!D12*8760), 0)</f>
        <v>87.38831068</v>
      </c>
      <c r="W12" s="9">
        <f>IF('Adjusted Supply Gap'!W12&lt;0, -'Adjusted Supply Gap'!W12*1000/('Current Mix'!D12*8760), 0)</f>
        <v>89.19987779</v>
      </c>
    </row>
    <row r="13">
      <c r="A13" s="2" t="s">
        <v>17</v>
      </c>
      <c r="B13" s="2" t="s">
        <v>12</v>
      </c>
      <c r="C13" s="9">
        <f>IF('Adjusted Supply Gap'!C13&lt;0, -'Adjusted Supply Gap'!C13*1000/('Current Mix'!D13*8760), 0)</f>
        <v>0</v>
      </c>
      <c r="D13" s="9">
        <f>IF('Adjusted Supply Gap'!D13&lt;0, -'Adjusted Supply Gap'!D13*1000/('Current Mix'!D13*8760), 0)</f>
        <v>0</v>
      </c>
      <c r="E13" s="9">
        <f>IF('Adjusted Supply Gap'!E13&lt;0, -'Adjusted Supply Gap'!E13*1000/('Current Mix'!D13*8760), 0)</f>
        <v>0</v>
      </c>
      <c r="F13" s="9">
        <f>IF('Adjusted Supply Gap'!F13&lt;0, -'Adjusted Supply Gap'!F13*1000/('Current Mix'!D13*8760), 0)</f>
        <v>0</v>
      </c>
      <c r="G13" s="9">
        <f>IF('Adjusted Supply Gap'!G13&lt;0, -'Adjusted Supply Gap'!G13*1000/('Current Mix'!D13*8760), 0)</f>
        <v>0</v>
      </c>
      <c r="H13" s="9">
        <f>IF('Adjusted Supply Gap'!H13&lt;0, -'Adjusted Supply Gap'!H13*1000/('Current Mix'!D13*8760), 0)</f>
        <v>0</v>
      </c>
      <c r="I13" s="9">
        <f>IF('Adjusted Supply Gap'!I13&lt;0, -'Adjusted Supply Gap'!I13*1000/('Current Mix'!D13*8760), 0)</f>
        <v>0</v>
      </c>
      <c r="J13" s="9">
        <f>IF('Adjusted Supply Gap'!J13&lt;0, -'Adjusted Supply Gap'!J13*1000/('Current Mix'!D13*8760), 0)</f>
        <v>0</v>
      </c>
      <c r="K13" s="9">
        <f>IF('Adjusted Supply Gap'!K13&lt;0, -'Adjusted Supply Gap'!K13*1000/('Current Mix'!D13*8760), 0)</f>
        <v>0</v>
      </c>
      <c r="L13" s="9">
        <f>IF('Adjusted Supply Gap'!L13&lt;0, -'Adjusted Supply Gap'!L13*1000/('Current Mix'!D13*8760), 0)</f>
        <v>0</v>
      </c>
      <c r="M13" s="9">
        <f>IF('Adjusted Supply Gap'!M13&lt;0, -'Adjusted Supply Gap'!M13*1000/('Current Mix'!D13*8760), 0)</f>
        <v>0</v>
      </c>
      <c r="N13" s="9">
        <f>IF('Adjusted Supply Gap'!N13&lt;0, -'Adjusted Supply Gap'!N13*1000/('Current Mix'!D13*8760), 0)</f>
        <v>0</v>
      </c>
      <c r="O13" s="9">
        <f>IF('Adjusted Supply Gap'!O13&lt;0, -'Adjusted Supply Gap'!O13*1000/('Current Mix'!D13*8760), 0)</f>
        <v>8.622833397</v>
      </c>
      <c r="P13" s="9">
        <f>IF('Adjusted Supply Gap'!P13&lt;0, -'Adjusted Supply Gap'!P13*1000/('Current Mix'!D13*8760), 0)</f>
        <v>21.37746173</v>
      </c>
      <c r="Q13" s="9">
        <f>IF('Adjusted Supply Gap'!Q13&lt;0, -'Adjusted Supply Gap'!Q13*1000/('Current Mix'!D13*8760), 0)</f>
        <v>34.14233635</v>
      </c>
      <c r="R13" s="9">
        <f>IF('Adjusted Supply Gap'!R13&lt;0, -'Adjusted Supply Gap'!R13*1000/('Current Mix'!D13*8760), 0)</f>
        <v>46.91755971</v>
      </c>
      <c r="S13" s="9">
        <f>IF('Adjusted Supply Gap'!S13&lt;0, -'Adjusted Supply Gap'!S13*1000/('Current Mix'!D13*8760), 0)</f>
        <v>59.70323531</v>
      </c>
      <c r="T13" s="9">
        <f>IF('Adjusted Supply Gap'!T13&lt;0, -'Adjusted Supply Gap'!T13*1000/('Current Mix'!D13*8760), 0)</f>
        <v>72.49946766</v>
      </c>
      <c r="U13" s="9">
        <f>IF('Adjusted Supply Gap'!U13&lt;0, -'Adjusted Supply Gap'!U13*1000/('Current Mix'!D13*8760), 0)</f>
        <v>85.30636234</v>
      </c>
      <c r="V13" s="9">
        <f>IF('Adjusted Supply Gap'!V13&lt;0, -'Adjusted Supply Gap'!V13*1000/('Current Mix'!D13*8760), 0)</f>
        <v>98.12402596</v>
      </c>
      <c r="W13" s="9">
        <f>IF('Adjusted Supply Gap'!W13&lt;0, -'Adjusted Supply Gap'!W13*1000/('Current Mix'!D13*8760), 0)</f>
        <v>110.9525662</v>
      </c>
    </row>
    <row r="14">
      <c r="A14" s="2" t="s">
        <v>17</v>
      </c>
      <c r="B14" s="2" t="s">
        <v>13</v>
      </c>
      <c r="C14" s="9">
        <f>IF('Adjusted Supply Gap'!C14&lt;0, -'Adjusted Supply Gap'!C14*1000/('Current Mix'!D14*8760), 0)</f>
        <v>27.87608316</v>
      </c>
      <c r="D14" s="9">
        <f>IF('Adjusted Supply Gap'!D14&lt;0, -'Adjusted Supply Gap'!D14*1000/('Current Mix'!D14*8760), 0)</f>
        <v>28.49271899</v>
      </c>
      <c r="E14" s="9">
        <f>IF('Adjusted Supply Gap'!E14&lt;0, -'Adjusted Supply Gap'!E14*1000/('Current Mix'!D14*8760), 0)</f>
        <v>29.11339618</v>
      </c>
      <c r="F14" s="9">
        <f>IF('Adjusted Supply Gap'!F14&lt;0, -'Adjusted Supply Gap'!F14*1000/('Current Mix'!D14*8760), 0)</f>
        <v>29.73815515</v>
      </c>
      <c r="G14" s="9">
        <f>IF('Adjusted Supply Gap'!G14&lt;0, -'Adjusted Supply Gap'!G14*1000/('Current Mix'!D14*8760), 0)</f>
        <v>30.3670367</v>
      </c>
      <c r="H14" s="9">
        <f>IF('Adjusted Supply Gap'!H14&lt;0, -'Adjusted Supply Gap'!H14*1000/('Current Mix'!D14*8760), 0)</f>
        <v>31.00008206</v>
      </c>
      <c r="I14" s="9">
        <f>IF('Adjusted Supply Gap'!I14&lt;0, -'Adjusted Supply Gap'!I14*1000/('Current Mix'!D14*8760), 0)</f>
        <v>31.93483289</v>
      </c>
      <c r="J14" s="9">
        <f>IF('Adjusted Supply Gap'!J14&lt;0, -'Adjusted Supply Gap'!J14*1000/('Current Mix'!D14*8760), 0)</f>
        <v>32.87383121</v>
      </c>
      <c r="K14" s="9">
        <f>IF('Adjusted Supply Gap'!K14&lt;0, -'Adjusted Supply Gap'!K14*1000/('Current Mix'!D14*8760), 0)</f>
        <v>33.81711953</v>
      </c>
      <c r="L14" s="9">
        <f>IF('Adjusted Supply Gap'!L14&lt;0, -'Adjusted Supply Gap'!L14*1000/('Current Mix'!D14*8760), 0)</f>
        <v>34.76474072</v>
      </c>
      <c r="M14" s="9">
        <f>IF('Adjusted Supply Gap'!M14&lt;0, -'Adjusted Supply Gap'!M14*1000/('Current Mix'!D14*8760), 0)</f>
        <v>35.71673813</v>
      </c>
      <c r="N14" s="9">
        <f>IF('Adjusted Supply Gap'!N14&lt;0, -'Adjusted Supply Gap'!N14*1000/('Current Mix'!D14*8760), 0)</f>
        <v>37.05565551</v>
      </c>
      <c r="O14" s="9">
        <f>IF('Adjusted Supply Gap'!O14&lt;0, -'Adjusted Supply Gap'!O14*1000/('Current Mix'!D14*8760), 0)</f>
        <v>38.39903707</v>
      </c>
      <c r="P14" s="9">
        <f>IF('Adjusted Supply Gap'!P14&lt;0, -'Adjusted Supply Gap'!P14*1000/('Current Mix'!D14*8760), 0)</f>
        <v>39.74692744</v>
      </c>
      <c r="Q14" s="9">
        <f>IF('Adjusted Supply Gap'!Q14&lt;0, -'Adjusted Supply Gap'!Q14*1000/('Current Mix'!D14*8760), 0)</f>
        <v>41.09937171</v>
      </c>
      <c r="R14" s="9">
        <f>IF('Adjusted Supply Gap'!R14&lt;0, -'Adjusted Supply Gap'!R14*1000/('Current Mix'!D14*8760), 0)</f>
        <v>42.45641543</v>
      </c>
      <c r="S14" s="9">
        <f>IF('Adjusted Supply Gap'!S14&lt;0, -'Adjusted Supply Gap'!S14*1000/('Current Mix'!D14*8760), 0)</f>
        <v>43.81810458</v>
      </c>
      <c r="T14" s="9">
        <f>IF('Adjusted Supply Gap'!T14&lt;0, -'Adjusted Supply Gap'!T14*1000/('Current Mix'!D14*8760), 0)</f>
        <v>45.18448563</v>
      </c>
      <c r="U14" s="9">
        <f>IF('Adjusted Supply Gap'!U14&lt;0, -'Adjusted Supply Gap'!U14*1000/('Current Mix'!D14*8760), 0)</f>
        <v>46.55560548</v>
      </c>
      <c r="V14" s="9">
        <f>IF('Adjusted Supply Gap'!V14&lt;0, -'Adjusted Supply Gap'!V14*1000/('Current Mix'!D14*8760), 0)</f>
        <v>47.93151154</v>
      </c>
      <c r="W14" s="9">
        <f>IF('Adjusted Supply Gap'!W14&lt;0, -'Adjusted Supply Gap'!W14*1000/('Current Mix'!D14*8760), 0)</f>
        <v>49.31225165</v>
      </c>
    </row>
    <row r="15">
      <c r="A15" s="2" t="s">
        <v>17</v>
      </c>
      <c r="B15" s="2" t="s">
        <v>14</v>
      </c>
      <c r="C15" s="9">
        <f>IF('Adjusted Supply Gap'!C15&lt;0, -'Adjusted Supply Gap'!C15*1000/('Current Mix'!D15*8760), 0)</f>
        <v>7.41912527</v>
      </c>
      <c r="D15" s="9">
        <f>IF('Adjusted Supply Gap'!D15&lt;0, -'Adjusted Supply Gap'!D15*1000/('Current Mix'!D15*8760), 0)</f>
        <v>7.780664023</v>
      </c>
      <c r="E15" s="9">
        <f>IF('Adjusted Supply Gap'!E15&lt;0, -'Adjusted Supply Gap'!E15*1000/('Current Mix'!D15*8760), 0)</f>
        <v>8.143590663</v>
      </c>
      <c r="F15" s="9">
        <f>IF('Adjusted Supply Gap'!F15&lt;0, -'Adjusted Supply Gap'!F15*1000/('Current Mix'!D15*8760), 0)</f>
        <v>8.50791907</v>
      </c>
      <c r="G15" s="9">
        <f>IF('Adjusted Supply Gap'!G15&lt;0, -'Adjusted Supply Gap'!G15*1000/('Current Mix'!D15*8760), 0)</f>
        <v>8.873663261</v>
      </c>
      <c r="H15" s="9">
        <f>IF('Adjusted Supply Gap'!H15&lt;0, -'Adjusted Supply Gap'!H15*1000/('Current Mix'!D15*8760), 0)</f>
        <v>9.240837393</v>
      </c>
      <c r="I15" s="9">
        <f>IF('Adjusted Supply Gap'!I15&lt;0, -'Adjusted Supply Gap'!I15*1000/('Current Mix'!D15*8760), 0)</f>
        <v>9.921305767</v>
      </c>
      <c r="J15" s="9">
        <f>IF('Adjusted Supply Gap'!J15&lt;0, -'Adjusted Supply Gap'!J15*1000/('Current Mix'!D15*8760), 0)</f>
        <v>10.60323282</v>
      </c>
      <c r="K15" s="9">
        <f>IF('Adjusted Supply Gap'!K15&lt;0, -'Adjusted Supply Gap'!K15*1000/('Current Mix'!D15*8760), 0)</f>
        <v>11.28663315</v>
      </c>
      <c r="L15" s="9">
        <f>IF('Adjusted Supply Gap'!L15&lt;0, -'Adjusted Supply Gap'!L15*1000/('Current Mix'!D15*8760), 0)</f>
        <v>11.97152148</v>
      </c>
      <c r="M15" s="9">
        <f>IF('Adjusted Supply Gap'!M15&lt;0, -'Adjusted Supply Gap'!M15*1000/('Current Mix'!D15*8760), 0)</f>
        <v>12.6579127</v>
      </c>
      <c r="N15" s="9">
        <f>IF('Adjusted Supply Gap'!N15&lt;0, -'Adjusted Supply Gap'!N15*1000/('Current Mix'!D15*8760), 0)</f>
        <v>13.07852183</v>
      </c>
      <c r="O15" s="9">
        <f>IF('Adjusted Supply Gap'!O15&lt;0, -'Adjusted Supply Gap'!O15*1000/('Current Mix'!D15*8760), 0)</f>
        <v>13.50066404</v>
      </c>
      <c r="P15" s="9">
        <f>IF('Adjusted Supply Gap'!P15&lt;0, -'Adjusted Supply Gap'!P15*1000/('Current Mix'!D15*8760), 0)</f>
        <v>13.92435469</v>
      </c>
      <c r="Q15" s="9">
        <f>IF('Adjusted Supply Gap'!Q15&lt;0, -'Adjusted Supply Gap'!Q15*1000/('Current Mix'!D15*8760), 0)</f>
        <v>14.34960923</v>
      </c>
      <c r="R15" s="9">
        <f>IF('Adjusted Supply Gap'!R15&lt;0, -'Adjusted Supply Gap'!R15*1000/('Current Mix'!D15*8760), 0)</f>
        <v>14.77644332</v>
      </c>
      <c r="S15" s="9">
        <f>IF('Adjusted Supply Gap'!S15&lt;0, -'Adjusted Supply Gap'!S15*1000/('Current Mix'!D15*8760), 0)</f>
        <v>15.20487276</v>
      </c>
      <c r="T15" s="9">
        <f>IF('Adjusted Supply Gap'!T15&lt;0, -'Adjusted Supply Gap'!T15*1000/('Current Mix'!D15*8760), 0)</f>
        <v>15.63491349</v>
      </c>
      <c r="U15" s="9">
        <f>IF('Adjusted Supply Gap'!U15&lt;0, -'Adjusted Supply Gap'!U15*1000/('Current Mix'!D15*8760), 0)</f>
        <v>16.06658162</v>
      </c>
      <c r="V15" s="9">
        <f>IF('Adjusted Supply Gap'!V15&lt;0, -'Adjusted Supply Gap'!V15*1000/('Current Mix'!D15*8760), 0)</f>
        <v>16.49989344</v>
      </c>
      <c r="W15" s="9">
        <f>IF('Adjusted Supply Gap'!W15&lt;0, -'Adjusted Supply Gap'!W15*1000/('Current Mix'!D15*8760), 0)</f>
        <v>16.93486537</v>
      </c>
    </row>
    <row r="16">
      <c r="A16" s="2" t="s">
        <v>17</v>
      </c>
      <c r="B16" s="2" t="s">
        <v>15</v>
      </c>
      <c r="C16" s="9">
        <f>IF('Adjusted Supply Gap'!C16&lt;0, -'Adjusted Supply Gap'!C16*1000/('Current Mix'!D16*8760), 0)</f>
        <v>22.44292738</v>
      </c>
      <c r="D16" s="9">
        <f>IF('Adjusted Supply Gap'!D16&lt;0, -'Adjusted Supply Gap'!D16*1000/('Current Mix'!D16*8760), 0)</f>
        <v>23.00904541</v>
      </c>
      <c r="E16" s="9">
        <f>IF('Adjusted Supply Gap'!E16&lt;0, -'Adjusted Supply Gap'!E16*1000/('Current Mix'!D16*8760), 0)</f>
        <v>23.57817586</v>
      </c>
      <c r="F16" s="9">
        <f>IF('Adjusted Supply Gap'!F16&lt;0, -'Adjusted Supply Gap'!F16*1000/('Current Mix'!D16*8760), 0)</f>
        <v>24.15034887</v>
      </c>
      <c r="G16" s="9">
        <f>IF('Adjusted Supply Gap'!G16&lt;0, -'Adjusted Supply Gap'!G16*1000/('Current Mix'!D16*8760), 0)</f>
        <v>24.72559486</v>
      </c>
      <c r="H16" s="9">
        <f>IF('Adjusted Supply Gap'!H16&lt;0, -'Adjusted Supply Gap'!H16*1000/('Current Mix'!D16*8760), 0)</f>
        <v>25.30394456</v>
      </c>
      <c r="I16" s="9">
        <f>IF('Adjusted Supply Gap'!I16&lt;0, -'Adjusted Supply Gap'!I16*1000/('Current Mix'!D16*8760), 0)</f>
        <v>26.256254</v>
      </c>
      <c r="J16" s="9">
        <f>IF('Adjusted Supply Gap'!J16&lt;0, -'Adjusted Supply Gap'!J16*1000/('Current Mix'!D16*8760), 0)</f>
        <v>27.21172954</v>
      </c>
      <c r="K16" s="9">
        <f>IF('Adjusted Supply Gap'!K16&lt;0, -'Adjusted Supply Gap'!K16*1000/('Current Mix'!D16*8760), 0)</f>
        <v>28.17040284</v>
      </c>
      <c r="L16" s="9">
        <f>IF('Adjusted Supply Gap'!L16&lt;0, -'Adjusted Supply Gap'!L16*1000/('Current Mix'!D16*8760), 0)</f>
        <v>29.13230587</v>
      </c>
      <c r="M16" s="9">
        <f>IF('Adjusted Supply Gap'!M16&lt;0, -'Adjusted Supply Gap'!M16*1000/('Current Mix'!D16*8760), 0)</f>
        <v>30.09747093</v>
      </c>
      <c r="N16" s="9">
        <f>IF('Adjusted Supply Gap'!N16&lt;0, -'Adjusted Supply Gap'!N16*1000/('Current Mix'!D16*8760), 0)</f>
        <v>30.74808064</v>
      </c>
      <c r="O16" s="9">
        <f>IF('Adjusted Supply Gap'!O16&lt;0, -'Adjusted Supply Gap'!O16*1000/('Current Mix'!D16*8760), 0)</f>
        <v>31.40201794</v>
      </c>
      <c r="P16" s="9">
        <f>IF('Adjusted Supply Gap'!P16&lt;0, -'Adjusted Supply Gap'!P16*1000/('Current Mix'!D16*8760), 0)</f>
        <v>32.05931612</v>
      </c>
      <c r="Q16" s="9">
        <f>IF('Adjusted Supply Gap'!Q16&lt;0, -'Adjusted Supply Gap'!Q16*1000/('Current Mix'!D16*8760), 0)</f>
        <v>32.72000878</v>
      </c>
      <c r="R16" s="9">
        <f>IF('Adjusted Supply Gap'!R16&lt;0, -'Adjusted Supply Gap'!R16*1000/('Current Mix'!D16*8760), 0)</f>
        <v>33.38412987</v>
      </c>
      <c r="S16" s="9">
        <f>IF('Adjusted Supply Gap'!S16&lt;0, -'Adjusted Supply Gap'!S16*1000/('Current Mix'!D16*8760), 0)</f>
        <v>34.05171367</v>
      </c>
      <c r="T16" s="9">
        <f>IF('Adjusted Supply Gap'!T16&lt;0, -'Adjusted Supply Gap'!T16*1000/('Current Mix'!D16*8760), 0)</f>
        <v>34.72279481</v>
      </c>
      <c r="U16" s="9">
        <f>IF('Adjusted Supply Gap'!U16&lt;0, -'Adjusted Supply Gap'!U16*1000/('Current Mix'!D16*8760), 0)</f>
        <v>35.39740825</v>
      </c>
      <c r="V16" s="9">
        <f>IF('Adjusted Supply Gap'!V16&lt;0, -'Adjusted Supply Gap'!V16*1000/('Current Mix'!D16*8760), 0)</f>
        <v>36.07558934</v>
      </c>
      <c r="W16" s="9">
        <f>IF('Adjusted Supply Gap'!W16&lt;0, -'Adjusted Supply Gap'!W16*1000/('Current Mix'!D16*8760), 0)</f>
        <v>36.75737373</v>
      </c>
    </row>
    <row r="17">
      <c r="A17" s="2" t="s">
        <v>18</v>
      </c>
      <c r="B17" s="2" t="s">
        <v>11</v>
      </c>
      <c r="C17" s="9">
        <f>IF('Adjusted Supply Gap'!C17&lt;0, -'Adjusted Supply Gap'!C17*1000/('Current Mix'!D17*8760), 0)</f>
        <v>1.475289193</v>
      </c>
      <c r="D17" s="9">
        <f>IF('Adjusted Supply Gap'!D17&lt;0, -'Adjusted Supply Gap'!D17*1000/('Current Mix'!D17*8760), 0)</f>
        <v>2.661092085</v>
      </c>
      <c r="E17" s="9">
        <f>IF('Adjusted Supply Gap'!E17&lt;0, -'Adjusted Supply Gap'!E17*1000/('Current Mix'!D17*8760), 0)</f>
        <v>3.848203006</v>
      </c>
      <c r="F17" s="9">
        <f>IF('Adjusted Supply Gap'!F17&lt;0, -'Adjusted Supply Gap'!F17*1000/('Current Mix'!D17*8760), 0)</f>
        <v>5.036635036</v>
      </c>
      <c r="G17" s="9">
        <f>IF('Adjusted Supply Gap'!G17&lt;0, -'Adjusted Supply Gap'!G17*1000/('Current Mix'!D17*8760), 0)</f>
        <v>6.226401387</v>
      </c>
      <c r="H17" s="9">
        <f>IF('Adjusted Supply Gap'!H17&lt;0, -'Adjusted Supply Gap'!H17*1000/('Current Mix'!D17*8760), 0)</f>
        <v>7.4175154</v>
      </c>
      <c r="I17" s="9">
        <f>IF('Adjusted Supply Gap'!I17&lt;0, -'Adjusted Supply Gap'!I17*1000/('Current Mix'!D17*8760), 0)</f>
        <v>8.314590554</v>
      </c>
      <c r="J17" s="9">
        <f>IF('Adjusted Supply Gap'!J17&lt;0, -'Adjusted Supply Gap'!J17*1000/('Current Mix'!D17*8760), 0)</f>
        <v>9.21304046</v>
      </c>
      <c r="K17" s="9">
        <f>IF('Adjusted Supply Gap'!K17&lt;0, -'Adjusted Supply Gap'!K17*1000/('Current Mix'!D17*8760), 0)</f>
        <v>10.11287886</v>
      </c>
      <c r="L17" s="9">
        <f>IF('Adjusted Supply Gap'!L17&lt;0, -'Adjusted Supply Gap'!L17*1000/('Current Mix'!D17*8760), 0)</f>
        <v>11.01411965</v>
      </c>
      <c r="M17" s="9">
        <f>IF('Adjusted Supply Gap'!M17&lt;0, -'Adjusted Supply Gap'!M17*1000/('Current Mix'!D17*8760), 0)</f>
        <v>11.91677685</v>
      </c>
      <c r="N17" s="9">
        <f>IF('Adjusted Supply Gap'!N17&lt;0, -'Adjusted Supply Gap'!N17*1000/('Current Mix'!D17*8760), 0)</f>
        <v>12.31446462</v>
      </c>
      <c r="O17" s="9">
        <f>IF('Adjusted Supply Gap'!O17&lt;0, -'Adjusted Supply Gap'!O17*1000/('Current Mix'!D17*8760), 0)</f>
        <v>12.71359726</v>
      </c>
      <c r="P17" s="9">
        <f>IF('Adjusted Supply Gap'!P17&lt;0, -'Adjusted Supply Gap'!P17*1000/('Current Mix'!D17*8760), 0)</f>
        <v>13.11418924</v>
      </c>
      <c r="Q17" s="9">
        <f>IF('Adjusted Supply Gap'!Q17&lt;0, -'Adjusted Supply Gap'!Q17*1000/('Current Mix'!D17*8760), 0)</f>
        <v>13.51625513</v>
      </c>
      <c r="R17" s="9">
        <f>IF('Adjusted Supply Gap'!R17&lt;0, -'Adjusted Supply Gap'!R17*1000/('Current Mix'!D17*8760), 0)</f>
        <v>13.91980968</v>
      </c>
      <c r="S17" s="9">
        <f>IF('Adjusted Supply Gap'!S17&lt;0, -'Adjusted Supply Gap'!S17*1000/('Current Mix'!D17*8760), 0)</f>
        <v>14.32486778</v>
      </c>
      <c r="T17" s="9">
        <f>IF('Adjusted Supply Gap'!T17&lt;0, -'Adjusted Supply Gap'!T17*1000/('Current Mix'!D17*8760), 0)</f>
        <v>14.73144446</v>
      </c>
      <c r="U17" s="9">
        <f>IF('Adjusted Supply Gap'!U17&lt;0, -'Adjusted Supply Gap'!U17*1000/('Current Mix'!D17*8760), 0)</f>
        <v>15.1395549</v>
      </c>
      <c r="V17" s="9">
        <f>IF('Adjusted Supply Gap'!V17&lt;0, -'Adjusted Supply Gap'!V17*1000/('Current Mix'!D17*8760), 0)</f>
        <v>15.54921445</v>
      </c>
      <c r="W17" s="9">
        <f>IF('Adjusted Supply Gap'!W17&lt;0, -'Adjusted Supply Gap'!W17*1000/('Current Mix'!D17*8760), 0)</f>
        <v>15.96043859</v>
      </c>
    </row>
    <row r="18">
      <c r="A18" s="2" t="s">
        <v>18</v>
      </c>
      <c r="B18" s="2" t="s">
        <v>12</v>
      </c>
      <c r="C18" s="9">
        <f>IF('Adjusted Supply Gap'!C18&lt;0, -'Adjusted Supply Gap'!C18*1000/('Current Mix'!D18*8760), 0)</f>
        <v>0</v>
      </c>
      <c r="D18" s="9">
        <f>IF('Adjusted Supply Gap'!D18&lt;0, -'Adjusted Supply Gap'!D18*1000/('Current Mix'!D18*8760), 0)</f>
        <v>0</v>
      </c>
      <c r="E18" s="9">
        <f>IF('Adjusted Supply Gap'!E18&lt;0, -'Adjusted Supply Gap'!E18*1000/('Current Mix'!D18*8760), 0)</f>
        <v>0</v>
      </c>
      <c r="F18" s="9">
        <f>IF('Adjusted Supply Gap'!F18&lt;0, -'Adjusted Supply Gap'!F18*1000/('Current Mix'!D18*8760), 0)</f>
        <v>0</v>
      </c>
      <c r="G18" s="9">
        <f>IF('Adjusted Supply Gap'!G18&lt;0, -'Adjusted Supply Gap'!G18*1000/('Current Mix'!D18*8760), 0)</f>
        <v>0</v>
      </c>
      <c r="H18" s="9">
        <f>IF('Adjusted Supply Gap'!H18&lt;0, -'Adjusted Supply Gap'!H18*1000/('Current Mix'!D18*8760), 0)</f>
        <v>0</v>
      </c>
      <c r="I18" s="9">
        <f>IF('Adjusted Supply Gap'!I18&lt;0, -'Adjusted Supply Gap'!I18*1000/('Current Mix'!D18*8760), 0)</f>
        <v>0</v>
      </c>
      <c r="J18" s="9">
        <f>IF('Adjusted Supply Gap'!J18&lt;0, -'Adjusted Supply Gap'!J18*1000/('Current Mix'!D18*8760), 0)</f>
        <v>0</v>
      </c>
      <c r="K18" s="9">
        <f>IF('Adjusted Supply Gap'!K18&lt;0, -'Adjusted Supply Gap'!K18*1000/('Current Mix'!D18*8760), 0)</f>
        <v>0</v>
      </c>
      <c r="L18" s="9">
        <f>IF('Adjusted Supply Gap'!L18&lt;0, -'Adjusted Supply Gap'!L18*1000/('Current Mix'!D18*8760), 0)</f>
        <v>0</v>
      </c>
      <c r="M18" s="9">
        <f>IF('Adjusted Supply Gap'!M18&lt;0, -'Adjusted Supply Gap'!M18*1000/('Current Mix'!D18*8760), 0)</f>
        <v>0.1319035223</v>
      </c>
      <c r="N18" s="9">
        <f>IF('Adjusted Supply Gap'!N18&lt;0, -'Adjusted Supply Gap'!N18*1000/('Current Mix'!D18*8760), 0)</f>
        <v>6.964222558</v>
      </c>
      <c r="O18" s="9">
        <f>IF('Adjusted Supply Gap'!O18&lt;0, -'Adjusted Supply Gap'!O18*1000/('Current Mix'!D18*8760), 0)</f>
        <v>13.80276478</v>
      </c>
      <c r="P18" s="9">
        <f>IF('Adjusted Supply Gap'!P18&lt;0, -'Adjusted Supply Gap'!P18*1000/('Current Mix'!D18*8760), 0)</f>
        <v>20.64759243</v>
      </c>
      <c r="Q18" s="9">
        <f>IF('Adjusted Supply Gap'!Q18&lt;0, -'Adjusted Supply Gap'!Q18*1000/('Current Mix'!D18*8760), 0)</f>
        <v>27.49876836</v>
      </c>
      <c r="R18" s="9">
        <f>IF('Adjusted Supply Gap'!R18&lt;0, -'Adjusted Supply Gap'!R18*1000/('Current Mix'!D18*8760), 0)</f>
        <v>34.35635604</v>
      </c>
      <c r="S18" s="9">
        <f>IF('Adjusted Supply Gap'!S18&lt;0, -'Adjusted Supply Gap'!S18*1000/('Current Mix'!D18*8760), 0)</f>
        <v>41.2204196</v>
      </c>
      <c r="T18" s="9">
        <f>IF('Adjusted Supply Gap'!T18&lt;0, -'Adjusted Supply Gap'!T18*1000/('Current Mix'!D18*8760), 0)</f>
        <v>48.0910238</v>
      </c>
      <c r="U18" s="9">
        <f>IF('Adjusted Supply Gap'!U18&lt;0, -'Adjusted Supply Gap'!U18*1000/('Current Mix'!D18*8760), 0)</f>
        <v>54.96823403</v>
      </c>
      <c r="V18" s="9">
        <f>IF('Adjusted Supply Gap'!V18&lt;0, -'Adjusted Supply Gap'!V18*1000/('Current Mix'!D18*8760), 0)</f>
        <v>61.85211637</v>
      </c>
      <c r="W18" s="9">
        <f>IF('Adjusted Supply Gap'!W18&lt;0, -'Adjusted Supply Gap'!W18*1000/('Current Mix'!D18*8760), 0)</f>
        <v>68.74273754</v>
      </c>
    </row>
    <row r="19">
      <c r="A19" s="2" t="s">
        <v>18</v>
      </c>
      <c r="B19" s="2" t="s">
        <v>13</v>
      </c>
      <c r="C19" s="9">
        <f>IF('Adjusted Supply Gap'!C19&lt;0, -'Adjusted Supply Gap'!C19*1000/('Current Mix'!D19*8760), 0)</f>
        <v>6.793911496</v>
      </c>
      <c r="D19" s="9">
        <f>IF('Adjusted Supply Gap'!D19&lt;0, -'Adjusted Supply Gap'!D19*1000/('Current Mix'!D19*8760), 0)</f>
        <v>7.064575611</v>
      </c>
      <c r="E19" s="9">
        <f>IF('Adjusted Supply Gap'!E19&lt;0, -'Adjusted Supply Gap'!E19*1000/('Current Mix'!D19*8760), 0)</f>
        <v>7.336671367</v>
      </c>
      <c r="F19" s="9">
        <f>IF('Adjusted Supply Gap'!F19&lt;0, -'Adjusted Supply Gap'!F19*1000/('Current Mix'!D19*8760), 0)</f>
        <v>7.610213081</v>
      </c>
      <c r="G19" s="9">
        <f>IF('Adjusted Supply Gap'!G19&lt;0, -'Adjusted Supply Gap'!G19*1000/('Current Mix'!D19*8760), 0)</f>
        <v>7.885215212</v>
      </c>
      <c r="H19" s="9">
        <f>IF('Adjusted Supply Gap'!H19&lt;0, -'Adjusted Supply Gap'!H19*1000/('Current Mix'!D19*8760), 0)</f>
        <v>8.161692364</v>
      </c>
      <c r="I19" s="9">
        <f>IF('Adjusted Supply Gap'!I19&lt;0, -'Adjusted Supply Gap'!I19*1000/('Current Mix'!D19*8760), 0)</f>
        <v>8.618159287</v>
      </c>
      <c r="J19" s="9">
        <f>IF('Adjusted Supply Gap'!J19&lt;0, -'Adjusted Supply Gap'!J19*1000/('Current Mix'!D19*8760), 0)</f>
        <v>9.07613088</v>
      </c>
      <c r="K19" s="9">
        <f>IF('Adjusted Supply Gap'!K19&lt;0, -'Adjusted Supply Gap'!K19*1000/('Current Mix'!D19*8760), 0)</f>
        <v>9.535622189</v>
      </c>
      <c r="L19" s="9">
        <f>IF('Adjusted Supply Gap'!L19&lt;0, -'Adjusted Supply Gap'!L19*1000/('Current Mix'!D19*8760), 0)</f>
        <v>9.996648411</v>
      </c>
      <c r="M19" s="9">
        <f>IF('Adjusted Supply Gap'!M19&lt;0, -'Adjusted Supply Gap'!M19*1000/('Current Mix'!D19*8760), 0)</f>
        <v>10.4592249</v>
      </c>
      <c r="N19" s="9">
        <f>IF('Adjusted Supply Gap'!N19&lt;0, -'Adjusted Supply Gap'!N19*1000/('Current Mix'!D19*8760), 0)</f>
        <v>11.15286714</v>
      </c>
      <c r="O19" s="9">
        <f>IF('Adjusted Supply Gap'!O19&lt;0, -'Adjusted Supply Gap'!O19*1000/('Current Mix'!D19*8760), 0)</f>
        <v>11.84809082</v>
      </c>
      <c r="P19" s="9">
        <f>IF('Adjusted Supply Gap'!P19&lt;0, -'Adjusted Supply Gap'!P19*1000/('Current Mix'!D19*8760), 0)</f>
        <v>12.54491172</v>
      </c>
      <c r="Q19" s="9">
        <f>IF('Adjusted Supply Gap'!Q19&lt;0, -'Adjusted Supply Gap'!Q19*1000/('Current Mix'!D19*8760), 0)</f>
        <v>13.24334584</v>
      </c>
      <c r="R19" s="9">
        <f>IF('Adjusted Supply Gap'!R19&lt;0, -'Adjusted Supply Gap'!R19*1000/('Current Mix'!D19*8760), 0)</f>
        <v>13.9434093</v>
      </c>
      <c r="S19" s="9">
        <f>IF('Adjusted Supply Gap'!S19&lt;0, -'Adjusted Supply Gap'!S19*1000/('Current Mix'!D19*8760), 0)</f>
        <v>14.64511839</v>
      </c>
      <c r="T19" s="9">
        <f>IF('Adjusted Supply Gap'!T19&lt;0, -'Adjusted Supply Gap'!T19*1000/('Current Mix'!D19*8760), 0)</f>
        <v>15.34848958</v>
      </c>
      <c r="U19" s="9">
        <f>IF('Adjusted Supply Gap'!U19&lt;0, -'Adjusted Supply Gap'!U19*1000/('Current Mix'!D19*8760), 0)</f>
        <v>16.05353947</v>
      </c>
      <c r="V19" s="9">
        <f>IF('Adjusted Supply Gap'!V19&lt;0, -'Adjusted Supply Gap'!V19*1000/('Current Mix'!D19*8760), 0)</f>
        <v>16.76028487</v>
      </c>
      <c r="W19" s="9">
        <f>IF('Adjusted Supply Gap'!W19&lt;0, -'Adjusted Supply Gap'!W19*1000/('Current Mix'!D19*8760), 0)</f>
        <v>17.46874272</v>
      </c>
    </row>
    <row r="20">
      <c r="A20" s="2" t="s">
        <v>18</v>
      </c>
      <c r="B20" s="2" t="s">
        <v>14</v>
      </c>
      <c r="C20" s="9">
        <f>IF('Adjusted Supply Gap'!C20&lt;0, -'Adjusted Supply Gap'!C20*1000/('Current Mix'!D20*8760), 0)</f>
        <v>8.472140411</v>
      </c>
      <c r="D20" s="9">
        <f>IF('Adjusted Supply Gap'!D20&lt;0, -'Adjusted Supply Gap'!D20*1000/('Current Mix'!D20*8760), 0)</f>
        <v>8.687474315</v>
      </c>
      <c r="E20" s="9">
        <f>IF('Adjusted Supply Gap'!E20&lt;0, -'Adjusted Supply Gap'!E20*1000/('Current Mix'!D20*8760), 0)</f>
        <v>8.903949058</v>
      </c>
      <c r="F20" s="9">
        <f>IF('Adjusted Supply Gap'!F20&lt;0, -'Adjusted Supply Gap'!F20*1000/('Current Mix'!D20*8760), 0)</f>
        <v>9.121576049</v>
      </c>
      <c r="G20" s="9">
        <f>IF('Adjusted Supply Gap'!G20&lt;0, -'Adjusted Supply Gap'!G20*1000/('Current Mix'!D20*8760), 0)</f>
        <v>9.340366809</v>
      </c>
      <c r="H20" s="9">
        <f>IF('Adjusted Supply Gap'!H20&lt;0, -'Adjusted Supply Gap'!H20*1000/('Current Mix'!D20*8760), 0)</f>
        <v>9.560332977</v>
      </c>
      <c r="I20" s="9">
        <f>IF('Adjusted Supply Gap'!I20&lt;0, -'Adjusted Supply Gap'!I20*1000/('Current Mix'!D20*8760), 0)</f>
        <v>9.923236307</v>
      </c>
      <c r="J20" s="9">
        <f>IF('Adjusted Supply Gap'!J20&lt;0, -'Adjusted Supply Gap'!J20*1000/('Current Mix'!D20*8760), 0)</f>
        <v>10.28733867</v>
      </c>
      <c r="K20" s="9">
        <f>IF('Adjusted Supply Gap'!K20&lt;0, -'Adjusted Supply Gap'!K20*1000/('Current Mix'!D20*8760), 0)</f>
        <v>10.65265206</v>
      </c>
      <c r="L20" s="9">
        <f>IF('Adjusted Supply Gap'!L20&lt;0, -'Adjusted Supply Gap'!L20*1000/('Current Mix'!D20*8760), 0)</f>
        <v>11.01918858</v>
      </c>
      <c r="M20" s="9">
        <f>IF('Adjusted Supply Gap'!M20&lt;0, -'Adjusted Supply Gap'!M20*1000/('Current Mix'!D20*8760), 0)</f>
        <v>11.38696046</v>
      </c>
      <c r="N20" s="9">
        <f>IF('Adjusted Supply Gap'!N20&lt;0, -'Adjusted Supply Gap'!N20*1000/('Current Mix'!D20*8760), 0)</f>
        <v>11.63448007</v>
      </c>
      <c r="O20" s="9">
        <f>IF('Adjusted Supply Gap'!O20&lt;0, -'Adjusted Supply Gap'!O20*1000/('Current Mix'!D20*8760), 0)</f>
        <v>11.88325987</v>
      </c>
      <c r="P20" s="9">
        <f>IF('Adjusted Supply Gap'!P20&lt;0, -'Adjusted Supply Gap'!P20*1000/('Current Mix'!D20*8760), 0)</f>
        <v>12.13331247</v>
      </c>
      <c r="Q20" s="9">
        <f>IF('Adjusted Supply Gap'!Q20&lt;0, -'Adjusted Supply Gap'!Q20*1000/('Current Mix'!D20*8760), 0)</f>
        <v>12.38465059</v>
      </c>
      <c r="R20" s="9">
        <f>IF('Adjusted Supply Gap'!R20&lt;0, -'Adjusted Supply Gap'!R20*1000/('Current Mix'!D20*8760), 0)</f>
        <v>12.6372871</v>
      </c>
      <c r="S20" s="9">
        <f>IF('Adjusted Supply Gap'!S20&lt;0, -'Adjusted Supply Gap'!S20*1000/('Current Mix'!D20*8760), 0)</f>
        <v>12.89123497</v>
      </c>
      <c r="T20" s="9">
        <f>IF('Adjusted Supply Gap'!T20&lt;0, -'Adjusted Supply Gap'!T20*1000/('Current Mix'!D20*8760), 0)</f>
        <v>13.14650732</v>
      </c>
      <c r="U20" s="9">
        <f>IF('Adjusted Supply Gap'!U20&lt;0, -'Adjusted Supply Gap'!U20*1000/('Current Mix'!D20*8760), 0)</f>
        <v>13.40311739</v>
      </c>
      <c r="V20" s="9">
        <f>IF('Adjusted Supply Gap'!V20&lt;0, -'Adjusted Supply Gap'!V20*1000/('Current Mix'!D20*8760), 0)</f>
        <v>13.66107857</v>
      </c>
      <c r="W20" s="9">
        <f>IF('Adjusted Supply Gap'!W20&lt;0, -'Adjusted Supply Gap'!W20*1000/('Current Mix'!D20*8760), 0)</f>
        <v>13.92040435</v>
      </c>
    </row>
    <row r="21" ht="15.75" customHeight="1">
      <c r="A21" s="2" t="s">
        <v>18</v>
      </c>
      <c r="B21" s="2" t="s">
        <v>15</v>
      </c>
      <c r="C21" s="9">
        <f>IF('Adjusted Supply Gap'!C21&lt;0, -'Adjusted Supply Gap'!C21*1000/('Current Mix'!D21*8760), 0)</f>
        <v>15.47477454</v>
      </c>
      <c r="D21" s="9">
        <f>IF('Adjusted Supply Gap'!D21&lt;0, -'Adjusted Supply Gap'!D21*1000/('Current Mix'!D21*8760), 0)</f>
        <v>16.02377854</v>
      </c>
      <c r="E21" s="9">
        <f>IF('Adjusted Supply Gap'!E21&lt;0, -'Adjusted Supply Gap'!E21*1000/('Current Mix'!D21*8760), 0)</f>
        <v>16.57521632</v>
      </c>
      <c r="F21" s="9">
        <f>IF('Adjusted Supply Gap'!F21&lt;0, -'Adjusted Supply Gap'!F21*1000/('Current Mix'!D21*8760), 0)</f>
        <v>17.12911224</v>
      </c>
      <c r="G21" s="9">
        <f>IF('Adjusted Supply Gap'!G21&lt;0, -'Adjusted Supply Gap'!G21*1000/('Current Mix'!D21*8760), 0)</f>
        <v>17.68549086</v>
      </c>
      <c r="H21" s="9">
        <f>IF('Adjusted Supply Gap'!H21&lt;0, -'Adjusted Supply Gap'!H21*1000/('Current Mix'!D21*8760), 0)</f>
        <v>18.24437702</v>
      </c>
      <c r="I21" s="9">
        <f>IF('Adjusted Supply Gap'!I21&lt;0, -'Adjusted Supply Gap'!I21*1000/('Current Mix'!D21*8760), 0)</f>
        <v>19.23367079</v>
      </c>
      <c r="J21" s="9">
        <f>IF('Adjusted Supply Gap'!J21&lt;0, -'Adjusted Supply Gap'!J21*1000/('Current Mix'!D21*8760), 0)</f>
        <v>20.2255225</v>
      </c>
      <c r="K21" s="9">
        <f>IF('Adjusted Supply Gap'!K21&lt;0, -'Adjusted Supply Gap'!K21*1000/('Current Mix'!D21*8760), 0)</f>
        <v>21.21995772</v>
      </c>
      <c r="L21" s="9">
        <f>IF('Adjusted Supply Gap'!L21&lt;0, -'Adjusted Supply Gap'!L21*1000/('Current Mix'!D21*8760), 0)</f>
        <v>22.2170023</v>
      </c>
      <c r="M21" s="9">
        <f>IF('Adjusted Supply Gap'!M21&lt;0, -'Adjusted Supply Gap'!M21*1000/('Current Mix'!D21*8760), 0)</f>
        <v>23.21668232</v>
      </c>
      <c r="N21" s="9">
        <f>IF('Adjusted Supply Gap'!N21&lt;0, -'Adjusted Supply Gap'!N21*1000/('Current Mix'!D21*8760), 0)</f>
        <v>23.85227414</v>
      </c>
      <c r="O21" s="9">
        <f>IF('Adjusted Supply Gap'!O21&lt;0, -'Adjusted Supply Gap'!O21*1000/('Current Mix'!D21*8760), 0)</f>
        <v>24.49055439</v>
      </c>
      <c r="P21" s="9">
        <f>IF('Adjusted Supply Gap'!P21&lt;0, -'Adjusted Supply Gap'!P21*1000/('Current Mix'!D21*8760), 0)</f>
        <v>25.13154993</v>
      </c>
      <c r="Q21" s="9">
        <f>IF('Adjusted Supply Gap'!Q21&lt;0, -'Adjusted Supply Gap'!Q21*1000/('Current Mix'!D21*8760), 0)</f>
        <v>25.77528793</v>
      </c>
      <c r="R21" s="9">
        <f>IF('Adjusted Supply Gap'!R21&lt;0, -'Adjusted Supply Gap'!R21*1000/('Current Mix'!D21*8760), 0)</f>
        <v>26.42179581</v>
      </c>
      <c r="S21" s="9">
        <f>IF('Adjusted Supply Gap'!S21&lt;0, -'Adjusted Supply Gap'!S21*1000/('Current Mix'!D21*8760), 0)</f>
        <v>27.07110127</v>
      </c>
      <c r="T21" s="9">
        <f>IF('Adjusted Supply Gap'!T21&lt;0, -'Adjusted Supply Gap'!T21*1000/('Current Mix'!D21*8760), 0)</f>
        <v>27.72323228</v>
      </c>
      <c r="U21" s="9">
        <f>IF('Adjusted Supply Gap'!U21&lt;0, -'Adjusted Supply Gap'!U21*1000/('Current Mix'!D21*8760), 0)</f>
        <v>28.3782171</v>
      </c>
      <c r="V21" s="9">
        <f>IF('Adjusted Supply Gap'!V21&lt;0, -'Adjusted Supply Gap'!V21*1000/('Current Mix'!D21*8760), 0)</f>
        <v>29.03608427</v>
      </c>
      <c r="W21" s="9">
        <f>IF('Adjusted Supply Gap'!W21&lt;0, -'Adjusted Supply Gap'!W21*1000/('Current Mix'!D21*8760), 0)</f>
        <v>29.69686262</v>
      </c>
    </row>
    <row r="22" ht="15.75" customHeight="1"/>
    <row r="23" ht="15.75" customHeight="1"/>
    <row r="24" ht="15.75" customHeight="1">
      <c r="A24" s="10" t="s">
        <v>30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W$21"/>
  <mergeCells count="1">
    <mergeCell ref="A24:P26"/>
  </mergeCells>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4" width="16.86"/>
    <col customWidth="1" min="5" max="5" width="17.71"/>
  </cols>
  <sheetData>
    <row r="1">
      <c r="A1" s="4" t="s">
        <v>4</v>
      </c>
      <c r="B1" s="4" t="s">
        <v>5</v>
      </c>
      <c r="C1" s="4" t="s">
        <v>26</v>
      </c>
      <c r="D1" s="4" t="s">
        <v>27</v>
      </c>
      <c r="E1" s="4" t="s">
        <v>28</v>
      </c>
    </row>
    <row r="2">
      <c r="A2" s="12" t="s">
        <v>10</v>
      </c>
      <c r="B2" s="12" t="s">
        <v>11</v>
      </c>
      <c r="C2" s="13">
        <v>190.859771149999</v>
      </c>
      <c r="D2" s="13">
        <v>320.306155489999</v>
      </c>
      <c r="E2" s="13">
        <v>663.6288576</v>
      </c>
    </row>
    <row r="3">
      <c r="A3" s="12" t="s">
        <v>10</v>
      </c>
      <c r="B3" s="12" t="s">
        <v>12</v>
      </c>
      <c r="C3" s="13">
        <v>0.0</v>
      </c>
      <c r="D3" s="13">
        <v>0.0</v>
      </c>
      <c r="E3" s="13">
        <v>234.719720698</v>
      </c>
    </row>
    <row r="4">
      <c r="A4" s="12" t="s">
        <v>10</v>
      </c>
      <c r="B4" s="12" t="s">
        <v>13</v>
      </c>
      <c r="C4" s="13">
        <v>0.0</v>
      </c>
      <c r="D4" s="13">
        <v>19.325497193</v>
      </c>
      <c r="E4" s="13">
        <v>189.116545397999</v>
      </c>
    </row>
    <row r="5">
      <c r="A5" s="12" t="s">
        <v>10</v>
      </c>
      <c r="B5" s="12" t="s">
        <v>14</v>
      </c>
      <c r="C5" s="13">
        <v>32.345595189</v>
      </c>
      <c r="D5" s="13">
        <v>62.7292452709999</v>
      </c>
      <c r="E5" s="13">
        <v>161.76862951</v>
      </c>
    </row>
    <row r="6">
      <c r="A6" s="12" t="s">
        <v>10</v>
      </c>
      <c r="B6" s="12" t="s">
        <v>15</v>
      </c>
      <c r="C6" s="13">
        <v>24.4186130999999</v>
      </c>
      <c r="D6" s="13">
        <v>39.9546306219999</v>
      </c>
      <c r="E6" s="13">
        <v>92.23283363</v>
      </c>
    </row>
    <row r="7">
      <c r="A7" s="12" t="s">
        <v>16</v>
      </c>
      <c r="B7" s="12" t="s">
        <v>11</v>
      </c>
      <c r="C7" s="13">
        <v>71.57433053</v>
      </c>
      <c r="D7" s="13">
        <v>124.31616347</v>
      </c>
      <c r="E7" s="13">
        <v>261.02027243</v>
      </c>
    </row>
    <row r="8">
      <c r="A8" s="12" t="s">
        <v>16</v>
      </c>
      <c r="B8" s="12" t="s">
        <v>12</v>
      </c>
      <c r="C8" s="13">
        <v>0.0</v>
      </c>
      <c r="D8" s="13">
        <v>5.582503813</v>
      </c>
      <c r="E8" s="13">
        <v>519.46214601</v>
      </c>
    </row>
    <row r="9">
      <c r="A9" s="12" t="s">
        <v>16</v>
      </c>
      <c r="B9" s="12" t="s">
        <v>13</v>
      </c>
      <c r="C9" s="13">
        <v>188.68352375</v>
      </c>
      <c r="D9" s="13">
        <v>267.18755704</v>
      </c>
      <c r="E9" s="13">
        <v>608.909530759999</v>
      </c>
    </row>
    <row r="10">
      <c r="A10" s="12" t="s">
        <v>16</v>
      </c>
      <c r="B10" s="12" t="s">
        <v>14</v>
      </c>
      <c r="C10" s="13">
        <v>50.919497889</v>
      </c>
      <c r="D10" s="13">
        <v>68.37809225</v>
      </c>
      <c r="E10" s="13">
        <v>132.0023735</v>
      </c>
    </row>
    <row r="11">
      <c r="A11" s="12" t="s">
        <v>16</v>
      </c>
      <c r="B11" s="12" t="s">
        <v>15</v>
      </c>
      <c r="C11" s="13">
        <v>33.2945939979999</v>
      </c>
      <c r="D11" s="13">
        <v>48.6333043519999</v>
      </c>
      <c r="E11" s="13">
        <v>102.155551466</v>
      </c>
    </row>
    <row r="12">
      <c r="A12" s="12" t="s">
        <v>17</v>
      </c>
      <c r="B12" s="12" t="s">
        <v>11</v>
      </c>
      <c r="C12" s="13">
        <v>198.82512916</v>
      </c>
      <c r="D12" s="13">
        <v>375.19126915</v>
      </c>
      <c r="E12" s="13">
        <v>811.509598709999</v>
      </c>
    </row>
    <row r="13">
      <c r="A13" s="12" t="s">
        <v>17</v>
      </c>
      <c r="B13" s="12" t="s">
        <v>12</v>
      </c>
      <c r="C13" s="13">
        <v>0.0</v>
      </c>
      <c r="D13" s="13">
        <v>0.0</v>
      </c>
      <c r="E13" s="13">
        <v>537.645848657</v>
      </c>
    </row>
    <row r="14">
      <c r="A14" s="12" t="s">
        <v>17</v>
      </c>
      <c r="B14" s="12" t="s">
        <v>13</v>
      </c>
      <c r="C14" s="13">
        <v>145.58739018</v>
      </c>
      <c r="D14" s="13">
        <v>200.10734454</v>
      </c>
      <c r="E14" s="13">
        <v>431.55936604</v>
      </c>
    </row>
    <row r="15">
      <c r="A15" s="12" t="s">
        <v>17</v>
      </c>
      <c r="B15" s="12" t="s">
        <v>14</v>
      </c>
      <c r="C15" s="13">
        <v>40.724962287</v>
      </c>
      <c r="D15" s="13">
        <v>65.68144331</v>
      </c>
      <c r="E15" s="13">
        <v>149.97071979</v>
      </c>
    </row>
    <row r="16">
      <c r="A16" s="12" t="s">
        <v>17</v>
      </c>
      <c r="B16" s="12" t="s">
        <v>15</v>
      </c>
      <c r="C16" s="13">
        <v>117.90609238</v>
      </c>
      <c r="D16" s="13">
        <v>166.17210774</v>
      </c>
      <c r="E16" s="13">
        <v>337.31843315</v>
      </c>
    </row>
    <row r="17">
      <c r="A17" s="12" t="s">
        <v>18</v>
      </c>
      <c r="B17" s="12" t="s">
        <v>11</v>
      </c>
      <c r="C17" s="13">
        <v>19.247620707</v>
      </c>
      <c r="D17" s="13">
        <v>57.988921774</v>
      </c>
      <c r="E17" s="13">
        <v>141.283836109999</v>
      </c>
    </row>
    <row r="18">
      <c r="A18" s="12" t="s">
        <v>18</v>
      </c>
      <c r="B18" s="12" t="s">
        <v>12</v>
      </c>
      <c r="C18" s="13">
        <v>0.0</v>
      </c>
      <c r="D18" s="13">
        <v>0.1319035223</v>
      </c>
      <c r="E18" s="13">
        <v>378.144235508</v>
      </c>
    </row>
    <row r="19">
      <c r="A19" s="12" t="s">
        <v>18</v>
      </c>
      <c r="B19" s="12" t="s">
        <v>13</v>
      </c>
      <c r="C19" s="13">
        <v>36.690586767</v>
      </c>
      <c r="D19" s="13">
        <v>55.847478031</v>
      </c>
      <c r="E19" s="13">
        <v>143.00879985</v>
      </c>
    </row>
    <row r="20">
      <c r="A20" s="12" t="s">
        <v>18</v>
      </c>
      <c r="B20" s="12" t="s">
        <v>14</v>
      </c>
      <c r="C20" s="13">
        <v>44.525506642</v>
      </c>
      <c r="D20" s="13">
        <v>62.8297090539999</v>
      </c>
      <c r="E20" s="13">
        <v>127.6953327</v>
      </c>
    </row>
    <row r="21">
      <c r="A21" s="12" t="s">
        <v>18</v>
      </c>
      <c r="B21" s="12" t="s">
        <v>15</v>
      </c>
      <c r="C21" s="13">
        <v>82.8883725</v>
      </c>
      <c r="D21" s="13">
        <v>124.35721265</v>
      </c>
      <c r="E21" s="13">
        <v>267.57695974</v>
      </c>
    </row>
    <row r="24">
      <c r="A24" s="14" t="s">
        <v>30</v>
      </c>
      <c r="B24" s="15"/>
      <c r="C24" s="15"/>
      <c r="D24" s="15"/>
      <c r="E24" s="15"/>
      <c r="F24" s="15"/>
      <c r="G24" s="15"/>
      <c r="H24" s="16"/>
    </row>
    <row r="25">
      <c r="A25" s="17"/>
      <c r="H25" s="18"/>
    </row>
    <row r="26">
      <c r="A26" s="17"/>
      <c r="H26" s="18"/>
    </row>
    <row r="27">
      <c r="A27" s="19"/>
      <c r="B27" s="20"/>
      <c r="C27" s="20"/>
      <c r="D27" s="20"/>
      <c r="E27" s="20"/>
      <c r="F27" s="20"/>
      <c r="G27" s="20"/>
      <c r="H27" s="21"/>
    </row>
  </sheetData>
  <autoFilter ref="$A$1:$Z$21"/>
  <mergeCells count="1">
    <mergeCell ref="A24:H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5.57"/>
    <col customWidth="1" min="3" max="3" width="17.0"/>
    <col customWidth="1" min="4" max="4" width="17.57"/>
    <col customWidth="1" min="5" max="5" width="18.14"/>
    <col customWidth="1" min="6" max="6" width="27.29"/>
    <col customWidth="1" min="7" max="26" width="8.71"/>
  </cols>
  <sheetData>
    <row r="1">
      <c r="A1" s="1" t="s">
        <v>4</v>
      </c>
      <c r="B1" s="1" t="s">
        <v>5</v>
      </c>
      <c r="C1" s="1" t="s">
        <v>6</v>
      </c>
      <c r="D1" s="1" t="s">
        <v>7</v>
      </c>
      <c r="E1" s="1" t="s">
        <v>8</v>
      </c>
      <c r="F1" s="4" t="s">
        <v>9</v>
      </c>
    </row>
    <row r="2">
      <c r="A2" s="2" t="s">
        <v>10</v>
      </c>
      <c r="B2" s="2" t="s">
        <v>11</v>
      </c>
      <c r="C2" s="2">
        <v>29.54</v>
      </c>
      <c r="D2" s="5">
        <v>0.5</v>
      </c>
      <c r="E2" s="2">
        <v>40.0</v>
      </c>
      <c r="F2" s="6">
        <f t="shared" ref="F2:F21" si="1"> C2 * D2 * 8760 / 1000</f>
        <v>129.3852</v>
      </c>
    </row>
    <row r="3">
      <c r="A3" s="2" t="s">
        <v>10</v>
      </c>
      <c r="B3" s="2" t="s">
        <v>12</v>
      </c>
      <c r="C3" s="2">
        <v>179.4</v>
      </c>
      <c r="D3" s="5">
        <v>0.53</v>
      </c>
      <c r="E3" s="2">
        <v>32.0</v>
      </c>
      <c r="F3" s="6">
        <f t="shared" si="1"/>
        <v>832.91832</v>
      </c>
    </row>
    <row r="4">
      <c r="A4" s="2" t="s">
        <v>10</v>
      </c>
      <c r="B4" s="2" t="s">
        <v>13</v>
      </c>
      <c r="C4" s="2">
        <v>28.05</v>
      </c>
      <c r="D4" s="5">
        <v>0.91</v>
      </c>
      <c r="E4" s="2">
        <v>65.0</v>
      </c>
      <c r="F4" s="6">
        <f t="shared" si="1"/>
        <v>223.60338</v>
      </c>
    </row>
    <row r="5">
      <c r="A5" s="2" t="s">
        <v>10</v>
      </c>
      <c r="B5" s="2" t="s">
        <v>14</v>
      </c>
      <c r="C5" s="2">
        <v>68.85</v>
      </c>
      <c r="D5" s="5">
        <v>0.42</v>
      </c>
      <c r="E5" s="2">
        <v>25.0</v>
      </c>
      <c r="F5" s="6">
        <f t="shared" si="1"/>
        <v>253.31292</v>
      </c>
    </row>
    <row r="6">
      <c r="A6" s="2" t="s">
        <v>10</v>
      </c>
      <c r="B6" s="2" t="s">
        <v>15</v>
      </c>
      <c r="C6" s="2">
        <v>28.525</v>
      </c>
      <c r="D6" s="5">
        <v>0.25</v>
      </c>
      <c r="E6" s="2">
        <v>25.0</v>
      </c>
      <c r="F6" s="6">
        <f t="shared" si="1"/>
        <v>62.46975</v>
      </c>
    </row>
    <row r="7">
      <c r="A7" s="2" t="s">
        <v>16</v>
      </c>
      <c r="B7" s="2" t="s">
        <v>11</v>
      </c>
      <c r="C7" s="2">
        <v>12.66</v>
      </c>
      <c r="D7" s="5">
        <v>0.45</v>
      </c>
      <c r="E7" s="2">
        <v>35.0</v>
      </c>
      <c r="F7" s="6">
        <f t="shared" si="1"/>
        <v>49.90572</v>
      </c>
    </row>
    <row r="8">
      <c r="A8" s="2" t="s">
        <v>16</v>
      </c>
      <c r="B8" s="2" t="s">
        <v>12</v>
      </c>
      <c r="C8" s="2">
        <v>151.8</v>
      </c>
      <c r="D8" s="5">
        <v>0.55</v>
      </c>
      <c r="E8" s="2">
        <v>30.0</v>
      </c>
      <c r="F8" s="6">
        <f t="shared" si="1"/>
        <v>731.3724</v>
      </c>
    </row>
    <row r="9">
      <c r="A9" s="2" t="s">
        <v>16</v>
      </c>
      <c r="B9" s="2" t="s">
        <v>13</v>
      </c>
      <c r="C9" s="2">
        <v>22.95</v>
      </c>
      <c r="D9" s="5">
        <v>0.89</v>
      </c>
      <c r="E9" s="2">
        <v>60.0</v>
      </c>
      <c r="F9" s="6">
        <f t="shared" si="1"/>
        <v>178.92738</v>
      </c>
    </row>
    <row r="10">
      <c r="A10" s="2" t="s">
        <v>16</v>
      </c>
      <c r="B10" s="2" t="s">
        <v>14</v>
      </c>
      <c r="C10" s="2">
        <v>12.15</v>
      </c>
      <c r="D10" s="5">
        <v>0.35</v>
      </c>
      <c r="E10" s="2">
        <v>25.0</v>
      </c>
      <c r="F10" s="6">
        <f t="shared" si="1"/>
        <v>37.2519</v>
      </c>
    </row>
    <row r="11">
      <c r="A11" s="2" t="s">
        <v>16</v>
      </c>
      <c r="B11" s="2" t="s">
        <v>15</v>
      </c>
      <c r="C11" s="2">
        <v>20.375</v>
      </c>
      <c r="D11" s="5">
        <v>0.22</v>
      </c>
      <c r="E11" s="2">
        <v>25.0</v>
      </c>
      <c r="F11" s="6">
        <f t="shared" si="1"/>
        <v>39.2667</v>
      </c>
    </row>
    <row r="12">
      <c r="A12" s="2" t="s">
        <v>17</v>
      </c>
      <c r="B12" s="2" t="s">
        <v>11</v>
      </c>
      <c r="C12" s="2">
        <v>46.42</v>
      </c>
      <c r="D12" s="5">
        <v>0.52</v>
      </c>
      <c r="E12" s="2">
        <v>38.0</v>
      </c>
      <c r="F12" s="6">
        <f t="shared" si="1"/>
        <v>211.452384</v>
      </c>
    </row>
    <row r="13">
      <c r="A13" s="2" t="s">
        <v>17</v>
      </c>
      <c r="B13" s="2" t="s">
        <v>12</v>
      </c>
      <c r="C13" s="2">
        <v>234.6</v>
      </c>
      <c r="D13" s="5">
        <v>0.58</v>
      </c>
      <c r="E13" s="2">
        <v>30.0</v>
      </c>
      <c r="F13" s="6">
        <f t="shared" si="1"/>
        <v>1191.95568</v>
      </c>
    </row>
    <row r="14">
      <c r="A14" s="2" t="s">
        <v>17</v>
      </c>
      <c r="B14" s="2" t="s">
        <v>13</v>
      </c>
      <c r="C14" s="2">
        <v>12.75</v>
      </c>
      <c r="D14" s="5">
        <v>0.87</v>
      </c>
      <c r="E14" s="2">
        <v>60.0</v>
      </c>
      <c r="F14" s="6">
        <f t="shared" si="1"/>
        <v>97.1703</v>
      </c>
    </row>
    <row r="15">
      <c r="A15" s="2" t="s">
        <v>17</v>
      </c>
      <c r="B15" s="2" t="s">
        <v>14</v>
      </c>
      <c r="C15" s="2">
        <v>44.55</v>
      </c>
      <c r="D15" s="5">
        <v>0.38</v>
      </c>
      <c r="E15" s="2">
        <v>24.0</v>
      </c>
      <c r="F15" s="6">
        <f t="shared" si="1"/>
        <v>148.29804</v>
      </c>
    </row>
    <row r="16">
      <c r="A16" s="2" t="s">
        <v>17</v>
      </c>
      <c r="B16" s="2" t="s">
        <v>15</v>
      </c>
      <c r="C16" s="2">
        <v>52.975</v>
      </c>
      <c r="D16" s="5">
        <v>0.27</v>
      </c>
      <c r="E16" s="2">
        <v>25.0</v>
      </c>
      <c r="F16" s="6">
        <f t="shared" si="1"/>
        <v>125.29647</v>
      </c>
    </row>
    <row r="17">
      <c r="A17" s="2" t="s">
        <v>18</v>
      </c>
      <c r="B17" s="2" t="s">
        <v>11</v>
      </c>
      <c r="C17" s="2">
        <v>12.66</v>
      </c>
      <c r="D17" s="5">
        <v>0.48</v>
      </c>
      <c r="E17" s="2">
        <v>37.0</v>
      </c>
      <c r="F17" s="6">
        <f t="shared" si="1"/>
        <v>53.232768</v>
      </c>
    </row>
    <row r="18">
      <c r="A18" s="2" t="s">
        <v>18</v>
      </c>
      <c r="B18" s="2" t="s">
        <v>12</v>
      </c>
      <c r="C18" s="2">
        <v>124.2</v>
      </c>
      <c r="D18" s="5">
        <v>0.54</v>
      </c>
      <c r="E18" s="2">
        <v>28.0</v>
      </c>
      <c r="F18" s="6">
        <f t="shared" si="1"/>
        <v>587.51568</v>
      </c>
    </row>
    <row r="19">
      <c r="A19" s="2" t="s">
        <v>18</v>
      </c>
      <c r="B19" s="2" t="s">
        <v>13</v>
      </c>
      <c r="C19" s="2">
        <v>7.65</v>
      </c>
      <c r="D19" s="5">
        <v>0.85</v>
      </c>
      <c r="E19" s="2">
        <v>55.0</v>
      </c>
      <c r="F19" s="6">
        <f t="shared" si="1"/>
        <v>56.9619</v>
      </c>
    </row>
    <row r="20">
      <c r="A20" s="2" t="s">
        <v>18</v>
      </c>
      <c r="B20" s="2" t="s">
        <v>14</v>
      </c>
      <c r="C20" s="2">
        <v>20.25</v>
      </c>
      <c r="D20" s="5">
        <v>0.4</v>
      </c>
      <c r="E20" s="2">
        <v>25.0</v>
      </c>
      <c r="F20" s="6">
        <f t="shared" si="1"/>
        <v>70.956</v>
      </c>
    </row>
    <row r="21" ht="15.75" customHeight="1">
      <c r="A21" s="2" t="s">
        <v>18</v>
      </c>
      <c r="B21" s="2" t="s">
        <v>15</v>
      </c>
      <c r="C21" s="2">
        <v>61.125</v>
      </c>
      <c r="D21" s="5">
        <v>0.3</v>
      </c>
      <c r="E21" s="2">
        <v>25.0</v>
      </c>
      <c r="F21" s="6">
        <f t="shared" si="1"/>
        <v>160.6365</v>
      </c>
    </row>
    <row r="22" ht="15.75" customHeight="1"/>
    <row r="23" ht="15.75" customHeight="1"/>
    <row r="24" ht="15.75" customHeight="1">
      <c r="A24" s="7" t="s">
        <v>19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21">
    <sortState ref="A1:F21">
      <sortCondition ref="A1:A21"/>
    </sortState>
  </autoFilter>
  <mergeCells count="1">
    <mergeCell ref="A24:D2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4.29"/>
    <col customWidth="1" min="3" max="26" width="8.71"/>
  </cols>
  <sheetData>
    <row r="1">
      <c r="A1" s="8" t="s">
        <v>4</v>
      </c>
      <c r="B1" s="8" t="s">
        <v>5</v>
      </c>
      <c r="C1" s="8">
        <v>2025.0</v>
      </c>
      <c r="D1" s="8">
        <v>2026.0</v>
      </c>
      <c r="E1" s="8">
        <v>2027.0</v>
      </c>
      <c r="F1" s="8">
        <v>2028.0</v>
      </c>
      <c r="G1" s="8">
        <v>2029.0</v>
      </c>
      <c r="H1" s="8">
        <v>2030.0</v>
      </c>
      <c r="I1" s="8">
        <v>2031.0</v>
      </c>
      <c r="J1" s="8">
        <v>2032.0</v>
      </c>
      <c r="K1" s="8">
        <v>2033.0</v>
      </c>
      <c r="L1" s="8">
        <v>2034.0</v>
      </c>
      <c r="M1" s="8">
        <v>2035.0</v>
      </c>
      <c r="N1" s="8">
        <v>2036.0</v>
      </c>
      <c r="O1" s="8">
        <v>2037.0</v>
      </c>
      <c r="P1" s="8">
        <v>2038.0</v>
      </c>
      <c r="Q1" s="8">
        <v>2039.0</v>
      </c>
      <c r="R1" s="8">
        <v>2040.0</v>
      </c>
      <c r="S1" s="8">
        <v>2041.0</v>
      </c>
      <c r="T1" s="8">
        <v>2042.0</v>
      </c>
      <c r="U1" s="8">
        <v>2043.0</v>
      </c>
      <c r="V1" s="8">
        <v>2044.0</v>
      </c>
      <c r="W1" s="8">
        <v>2045.0</v>
      </c>
      <c r="X1" s="8"/>
      <c r="Y1" s="8"/>
      <c r="Z1" s="8"/>
    </row>
    <row r="2">
      <c r="A2" s="2" t="s">
        <v>10</v>
      </c>
      <c r="B2" s="2" t="s">
        <v>11</v>
      </c>
      <c r="C2" s="9">
        <f>259*(1.01^0)</f>
        <v>259</v>
      </c>
      <c r="D2" s="9">
        <f>$C$2*(1.01^1)</f>
        <v>261.59</v>
      </c>
      <c r="E2" s="9">
        <f>C2*(1.01^2)</f>
        <v>264.2059</v>
      </c>
      <c r="F2" s="9">
        <f>259*(1.01^3)</f>
        <v>266.847959</v>
      </c>
      <c r="G2" s="9">
        <f>259*(1.01^4)</f>
        <v>269.5164386</v>
      </c>
      <c r="H2" s="9">
        <f>259*(1.01^5)</f>
        <v>272.211603</v>
      </c>
      <c r="I2" s="9">
        <f>259*(1.01^6)</f>
        <v>274.933719</v>
      </c>
      <c r="J2" s="9">
        <f>259*(1.01^7)</f>
        <v>277.6830562</v>
      </c>
      <c r="K2" s="9">
        <f>259*(1.01^8)</f>
        <v>280.4598868</v>
      </c>
      <c r="L2" s="9">
        <f>259*(1.01^9)</f>
        <v>283.2644856</v>
      </c>
      <c r="M2" s="9">
        <f>259*(1.01^10)</f>
        <v>286.0971305</v>
      </c>
      <c r="N2" s="9">
        <f>259*(1.01^11)</f>
        <v>288.9581018</v>
      </c>
      <c r="O2" s="9">
        <f>259*(1.01^12)</f>
        <v>291.8476828</v>
      </c>
      <c r="P2" s="9">
        <f>259*(1.01^13)</f>
        <v>294.7661596</v>
      </c>
      <c r="Q2" s="9">
        <f>259*(1.01^14)</f>
        <v>297.7138212</v>
      </c>
      <c r="R2" s="9">
        <f>259*(1.01^15)</f>
        <v>300.6909594</v>
      </c>
      <c r="S2" s="9">
        <f>259*(1.01^16)</f>
        <v>303.697869</v>
      </c>
      <c r="T2" s="9">
        <f>259*(1.01^17)</f>
        <v>306.7348477</v>
      </c>
      <c r="U2" s="9">
        <f>259*(1.01^18)</f>
        <v>309.8021962</v>
      </c>
      <c r="V2" s="9">
        <f>259*(1.01^19)</f>
        <v>312.9002182</v>
      </c>
      <c r="W2" s="9">
        <f>259*(1.01^20)</f>
        <v>316.0292203</v>
      </c>
    </row>
    <row r="3">
      <c r="A3" s="2" t="s">
        <v>10</v>
      </c>
      <c r="B3" s="2" t="s">
        <v>12</v>
      </c>
      <c r="C3" s="9">
        <f>236.9*(1.01^0)</f>
        <v>236.9</v>
      </c>
      <c r="D3" s="9">
        <f>236.9*(1.01^1)</f>
        <v>239.269</v>
      </c>
      <c r="E3" s="9">
        <f>236.9*(1.01^2)</f>
        <v>241.66169</v>
      </c>
      <c r="F3" s="9">
        <f>236.9*(1.01^3)</f>
        <v>244.0783069</v>
      </c>
      <c r="G3" s="9">
        <f>236.9*(1.01^4)</f>
        <v>246.51909</v>
      </c>
      <c r="H3" s="9">
        <f>236.9*(1.01^5)</f>
        <v>248.9842809</v>
      </c>
      <c r="I3" s="9">
        <f>236.9*(1.01^6)</f>
        <v>251.4741237</v>
      </c>
      <c r="J3" s="9">
        <f>236.9*(1.01^7)</f>
        <v>253.9888649</v>
      </c>
      <c r="K3" s="9">
        <f>236.9*(1.01^8)</f>
        <v>256.5287536</v>
      </c>
      <c r="L3" s="9">
        <f>236.9*(1.01^9)</f>
        <v>259.0940411</v>
      </c>
      <c r="M3" s="9">
        <f>236.9*(1.01^10)</f>
        <v>261.6849815</v>
      </c>
      <c r="N3" s="9">
        <f>236.9*(1.01^11)</f>
        <v>264.3018313</v>
      </c>
      <c r="O3" s="9">
        <f>236.9*(1.01^12)</f>
        <v>266.9448496</v>
      </c>
      <c r="P3" s="9">
        <f>236.9*(1.01^13)</f>
        <v>269.6142981</v>
      </c>
      <c r="Q3" s="9">
        <f>236.9*(1.01^14)</f>
        <v>272.3104411</v>
      </c>
      <c r="R3" s="9">
        <f>236.9*(1.01^15)</f>
        <v>275.0335455</v>
      </c>
      <c r="S3" s="9">
        <f>236.9*(1.01^16)</f>
        <v>277.783881</v>
      </c>
      <c r="T3" s="9">
        <f>236.9*(1.01^17)</f>
        <v>280.5617198</v>
      </c>
      <c r="U3" s="9">
        <f>236.9*(1.01^18)</f>
        <v>283.367337</v>
      </c>
      <c r="V3" s="9">
        <f>236.9*(1.01^19)</f>
        <v>286.2010104</v>
      </c>
      <c r="W3" s="9">
        <f>236.9*(1.01^20)</f>
        <v>289.0630205</v>
      </c>
    </row>
    <row r="4">
      <c r="A4" s="2" t="s">
        <v>10</v>
      </c>
      <c r="B4" s="2" t="s">
        <v>13</v>
      </c>
      <c r="C4" s="9">
        <f>189.5*(1.01^0)</f>
        <v>189.5</v>
      </c>
      <c r="D4" s="9">
        <f>189.5*(1.01^1)</f>
        <v>191.395</v>
      </c>
      <c r="E4" s="9">
        <f>189.5*(1.01^2)</f>
        <v>193.30895</v>
      </c>
      <c r="F4" s="9">
        <f>189.5*(1.01^3)</f>
        <v>195.2420395</v>
      </c>
      <c r="G4" s="9">
        <f>189.5*(1.01^4)</f>
        <v>197.1944599</v>
      </c>
      <c r="H4" s="9">
        <f>189.5*(1.01^5)</f>
        <v>199.1664045</v>
      </c>
      <c r="I4" s="9">
        <f>189.5*(1.01^6)</f>
        <v>201.1580685</v>
      </c>
      <c r="J4" s="9">
        <f>189.5*(1.01^7)</f>
        <v>203.1696492</v>
      </c>
      <c r="K4" s="9">
        <f>189.5*(1.01^8)</f>
        <v>205.2013457</v>
      </c>
      <c r="L4" s="9">
        <f>189.5*(1.01^9)</f>
        <v>207.2533592</v>
      </c>
      <c r="M4" s="9">
        <f>189.5*(1.01^10)</f>
        <v>209.3258928</v>
      </c>
      <c r="N4" s="9">
        <f>189.5*(1.01^11)</f>
        <v>211.4191517</v>
      </c>
      <c r="O4" s="9">
        <f>189.5*(1.01^12)</f>
        <v>213.5333432</v>
      </c>
      <c r="P4" s="9">
        <f>189.5*(1.01^13)</f>
        <v>215.6686766</v>
      </c>
      <c r="Q4" s="9">
        <f>189.5*(1.01^14)</f>
        <v>217.8253634</v>
      </c>
      <c r="R4" s="9">
        <f>189.5*(1.01^15)</f>
        <v>220.003617</v>
      </c>
      <c r="S4" s="9">
        <f>189.5*(1.01^16)</f>
        <v>222.2036532</v>
      </c>
      <c r="T4" s="9">
        <f>189.5*(1.01^17)</f>
        <v>224.4256897</v>
      </c>
      <c r="U4" s="9">
        <f>189.5*(1.01^18)</f>
        <v>226.6699466</v>
      </c>
      <c r="V4" s="9">
        <f>189.5*(1.01^19)</f>
        <v>228.9366461</v>
      </c>
      <c r="W4" s="9">
        <f>189.5*(1.01^20)</f>
        <v>231.2260126</v>
      </c>
    </row>
    <row r="5">
      <c r="A5" s="2" t="s">
        <v>10</v>
      </c>
      <c r="B5" s="2" t="s">
        <v>14</v>
      </c>
      <c r="C5" s="9">
        <f>379*(1.01^0)</f>
        <v>379</v>
      </c>
      <c r="D5" s="9">
        <f>379*(1.01^1)</f>
        <v>382.79</v>
      </c>
      <c r="E5" s="9">
        <f>379*(1.01^2)</f>
        <v>386.6179</v>
      </c>
      <c r="F5" s="9">
        <f>379*(1.01^3)</f>
        <v>390.484079</v>
      </c>
      <c r="G5" s="9">
        <f>379*(1.01^4)</f>
        <v>394.3889198</v>
      </c>
      <c r="H5" s="9">
        <f>379*(1.01^5)</f>
        <v>398.332809</v>
      </c>
      <c r="I5" s="9">
        <f>379*(1.01^6)</f>
        <v>402.3161371</v>
      </c>
      <c r="J5" s="9">
        <f>379*(1.01^7)</f>
        <v>406.3392984</v>
      </c>
      <c r="K5" s="9">
        <f>379*(1.01^8)</f>
        <v>410.4026914</v>
      </c>
      <c r="L5" s="9">
        <f>379*(1.01^9)</f>
        <v>414.5067183</v>
      </c>
      <c r="M5" s="9">
        <f>379*(1.01^10)</f>
        <v>418.6517855</v>
      </c>
      <c r="N5" s="9">
        <f>379*(1.01^11)</f>
        <v>422.8383034</v>
      </c>
      <c r="O5" s="9">
        <f>379*(1.01^12)</f>
        <v>427.0666864</v>
      </c>
      <c r="P5" s="9">
        <f>379*(1.01^13)</f>
        <v>431.3373533</v>
      </c>
      <c r="Q5" s="9">
        <f>379*(1.01^14)</f>
        <v>435.6507268</v>
      </c>
      <c r="R5" s="9">
        <f>379*(1.01^15)</f>
        <v>440.0072341</v>
      </c>
      <c r="S5" s="9">
        <f>379*(1.01^16)</f>
        <v>444.4073064</v>
      </c>
      <c r="T5" s="9">
        <f>379*(1.01^17)</f>
        <v>448.8513795</v>
      </c>
      <c r="U5" s="9">
        <f>379*(1.01^18)</f>
        <v>453.3398933</v>
      </c>
      <c r="V5" s="9">
        <f>379*(1.01^19)</f>
        <v>457.8732922</v>
      </c>
      <c r="W5" s="9">
        <f>379*(1.01^20)</f>
        <v>462.4520251</v>
      </c>
    </row>
    <row r="6">
      <c r="A6" s="2" t="s">
        <v>10</v>
      </c>
      <c r="B6" s="2" t="s">
        <v>15</v>
      </c>
      <c r="C6" s="9">
        <f>125*(1.01^0)</f>
        <v>125</v>
      </c>
      <c r="D6" s="9">
        <f>125*(1.01^1)</f>
        <v>126.25</v>
      </c>
      <c r="E6" s="9">
        <f>125*(1.01^2)</f>
        <v>127.5125</v>
      </c>
      <c r="F6" s="9">
        <f>125*(1.01^3)</f>
        <v>128.787625</v>
      </c>
      <c r="G6" s="9">
        <f>125*(1.01^4)</f>
        <v>130.0755013</v>
      </c>
      <c r="H6" s="9">
        <f>125*(1.01^5)</f>
        <v>131.3762563</v>
      </c>
      <c r="I6" s="9">
        <f>125*(1.01^6)</f>
        <v>132.6900188</v>
      </c>
      <c r="J6" s="9">
        <f>125*(1.01^7)</f>
        <v>134.016919</v>
      </c>
      <c r="K6" s="9">
        <f>125*(1.01^8)</f>
        <v>135.3570882</v>
      </c>
      <c r="L6" s="9">
        <f>125*(1.01^9)</f>
        <v>136.7106591</v>
      </c>
      <c r="M6" s="9">
        <f>125*(1.01^10)</f>
        <v>138.0777657</v>
      </c>
      <c r="N6" s="9">
        <f>125*(1.01^11)</f>
        <v>139.4585433</v>
      </c>
      <c r="O6" s="9">
        <f>125*(1.01^12)</f>
        <v>140.8531288</v>
      </c>
      <c r="P6" s="9">
        <f>125*(1.01^13)</f>
        <v>142.2616601</v>
      </c>
      <c r="Q6" s="9">
        <f>125*(1.01^14)</f>
        <v>143.6842767</v>
      </c>
      <c r="R6" s="9">
        <f>125*(1.01^15)</f>
        <v>145.1211194</v>
      </c>
      <c r="S6" s="9">
        <f>125*(1.01^16)</f>
        <v>146.5723306</v>
      </c>
      <c r="T6" s="9">
        <f>125*(1.01^17)</f>
        <v>148.0380539</v>
      </c>
      <c r="U6" s="9">
        <f>125*(1.01^18)</f>
        <v>149.5184345</v>
      </c>
      <c r="V6" s="9">
        <f>125*(1.01^19)</f>
        <v>151.0136188</v>
      </c>
      <c r="W6" s="9">
        <f>125*(1.01^20)</f>
        <v>152.523755</v>
      </c>
    </row>
    <row r="7">
      <c r="A7" s="2" t="s">
        <v>16</v>
      </c>
      <c r="B7" s="2" t="s">
        <v>11</v>
      </c>
      <c r="C7" s="9">
        <f>92*(1.01^0)</f>
        <v>92</v>
      </c>
      <c r="D7" s="9">
        <f>92*(1.01^1)</f>
        <v>92.92</v>
      </c>
      <c r="E7" s="9">
        <f>92*(1.01^2)</f>
        <v>93.8492</v>
      </c>
      <c r="F7" s="9">
        <f>92*(1.01^3)</f>
        <v>94.787692</v>
      </c>
      <c r="G7" s="9">
        <f>92*(1.01^4)</f>
        <v>95.73556892</v>
      </c>
      <c r="H7" s="9">
        <f>92*(1.01^5)</f>
        <v>96.69292461</v>
      </c>
      <c r="I7" s="9">
        <f>92*(1.01^6)</f>
        <v>97.65985386</v>
      </c>
      <c r="J7" s="9">
        <f>92*(1.01^7)</f>
        <v>98.63645239</v>
      </c>
      <c r="K7" s="9">
        <f>92*(1.01^8)</f>
        <v>99.62281692</v>
      </c>
      <c r="L7" s="9">
        <f>92*(1.01^9)</f>
        <v>100.6190451</v>
      </c>
      <c r="M7" s="9">
        <f>92*(1.01^10)</f>
        <v>101.6252355</v>
      </c>
      <c r="N7" s="9">
        <f>92*(1.01^11)</f>
        <v>102.6414879</v>
      </c>
      <c r="O7" s="9">
        <f>92*(1.01^12)</f>
        <v>103.6679028</v>
      </c>
      <c r="P7" s="9">
        <f>92*(1.01^13)</f>
        <v>104.7045818</v>
      </c>
      <c r="Q7" s="9">
        <f>92*(1.01^14)</f>
        <v>105.7516276</v>
      </c>
      <c r="R7" s="9">
        <f>92*(1.01^15)</f>
        <v>106.8091439</v>
      </c>
      <c r="S7" s="9">
        <f>92*(1.01^16)</f>
        <v>107.8772353</v>
      </c>
      <c r="T7" s="9">
        <f>92*(1.01^17)</f>
        <v>108.9560077</v>
      </c>
      <c r="U7" s="9">
        <f>92*(1.01^18)</f>
        <v>110.0455678</v>
      </c>
      <c r="V7" s="9">
        <f>92*(1.01^19)</f>
        <v>111.1460234</v>
      </c>
      <c r="W7" s="9">
        <f>92*(1.01^20)</f>
        <v>112.2574837</v>
      </c>
    </row>
    <row r="8">
      <c r="A8" s="2" t="s">
        <v>16</v>
      </c>
      <c r="B8" s="2" t="s">
        <v>12</v>
      </c>
      <c r="C8" s="9">
        <f>355.4*(1.01^0)</f>
        <v>355.4</v>
      </c>
      <c r="D8" s="9">
        <f>355.4*(1.01^1)</f>
        <v>358.954</v>
      </c>
      <c r="E8" s="9">
        <f>355.4*(1.01^2)</f>
        <v>362.54354</v>
      </c>
      <c r="F8" s="9">
        <f>355.4*(1.01^3)</f>
        <v>366.1689754</v>
      </c>
      <c r="G8" s="9">
        <f>355.4*(1.01^4)</f>
        <v>369.8306652</v>
      </c>
      <c r="H8" s="9">
        <f>355.4*(1.01^5)</f>
        <v>373.5289718</v>
      </c>
      <c r="I8" s="9">
        <f>355.4*(1.01^6)</f>
        <v>377.2642615</v>
      </c>
      <c r="J8" s="9">
        <f>355.4*(1.01^7)</f>
        <v>381.0369041</v>
      </c>
      <c r="K8" s="9">
        <f>355.4*(1.01^8)</f>
        <v>384.8472732</v>
      </c>
      <c r="L8" s="9">
        <f>355.4*(1.01^9)</f>
        <v>388.6957459</v>
      </c>
      <c r="M8" s="9">
        <f>355.4*(1.01^10)</f>
        <v>392.5827034</v>
      </c>
      <c r="N8" s="9">
        <f>355.4*(1.01^11)</f>
        <v>396.5085304</v>
      </c>
      <c r="O8" s="9">
        <f>355.4*(1.01^12)</f>
        <v>400.4736157</v>
      </c>
      <c r="P8" s="9">
        <f>355.4*(1.01^13)</f>
        <v>404.4783519</v>
      </c>
      <c r="Q8" s="9">
        <f>355.4*(1.01^14)</f>
        <v>408.5231354</v>
      </c>
      <c r="R8" s="9">
        <f>355.4*(1.01^15)</f>
        <v>412.6083667</v>
      </c>
      <c r="S8" s="9">
        <f>355.4*(1.01^16)</f>
        <v>416.7344504</v>
      </c>
      <c r="T8" s="9">
        <f>355.4*(1.01^17)</f>
        <v>420.9017949</v>
      </c>
      <c r="U8" s="9">
        <f>355.4*(1.01^18)</f>
        <v>425.1108129</v>
      </c>
      <c r="V8" s="9">
        <f>355.4*(1.01^19)</f>
        <v>429.361921</v>
      </c>
      <c r="W8" s="9">
        <f>355.4*(1.01^20)</f>
        <v>433.6555402</v>
      </c>
    </row>
    <row r="9">
      <c r="A9" s="2" t="s">
        <v>16</v>
      </c>
      <c r="B9" s="2" t="s">
        <v>13</v>
      </c>
      <c r="C9" s="9">
        <f>455*(1.01^0)</f>
        <v>455</v>
      </c>
      <c r="D9" s="9">
        <f>455*(1.01^1)</f>
        <v>459.55</v>
      </c>
      <c r="E9" s="9">
        <f>455*(1.01^2)</f>
        <v>464.1455</v>
      </c>
      <c r="F9" s="9">
        <f>455*(1.01^3)</f>
        <v>468.786955</v>
      </c>
      <c r="G9" s="9">
        <f>455*(1.01^4)</f>
        <v>473.4748246</v>
      </c>
      <c r="H9" s="9">
        <f>455*(1.01^5)</f>
        <v>478.2095728</v>
      </c>
      <c r="I9" s="9">
        <f>455*(1.01^6)</f>
        <v>482.9916685</v>
      </c>
      <c r="J9" s="9">
        <f>455*(1.01^7)</f>
        <v>487.8215852</v>
      </c>
      <c r="K9" s="9">
        <f>455*(1.01^8)</f>
        <v>492.6998011</v>
      </c>
      <c r="L9" s="9">
        <f>455*(1.01^9)</f>
        <v>497.6267991</v>
      </c>
      <c r="M9" s="9">
        <f>455*(1.01^10)</f>
        <v>502.6030671</v>
      </c>
      <c r="N9" s="9">
        <f>455*(1.01^11)</f>
        <v>507.6290977</v>
      </c>
      <c r="O9" s="9">
        <f>455*(1.01^12)</f>
        <v>512.7053887</v>
      </c>
      <c r="P9" s="9">
        <f>455*(1.01^13)</f>
        <v>517.8324426</v>
      </c>
      <c r="Q9" s="9">
        <f>455*(1.01^14)</f>
        <v>523.010767</v>
      </c>
      <c r="R9" s="9">
        <f>455*(1.01^15)</f>
        <v>528.2408747</v>
      </c>
      <c r="S9" s="9">
        <f>455*(1.01^16)</f>
        <v>533.5232834</v>
      </c>
      <c r="T9" s="9">
        <f>455*(1.01^17)</f>
        <v>538.8585163</v>
      </c>
      <c r="U9" s="9">
        <f>455*(1.01^18)</f>
        <v>544.2471014</v>
      </c>
      <c r="V9" s="9">
        <f>455*(1.01^19)</f>
        <v>549.6895725</v>
      </c>
      <c r="W9" s="9">
        <f>455*(1.01^20)</f>
        <v>555.1864682</v>
      </c>
    </row>
    <row r="10">
      <c r="A10" s="2" t="s">
        <v>16</v>
      </c>
      <c r="B10" s="2" t="s">
        <v>14</v>
      </c>
      <c r="C10" s="9">
        <f>236.9*(1.01^0)</f>
        <v>236.9</v>
      </c>
      <c r="D10" s="9">
        <f>236.9*(1.01^1)</f>
        <v>239.269</v>
      </c>
      <c r="E10" s="9">
        <f>236.9*(1.01^2)</f>
        <v>241.66169</v>
      </c>
      <c r="F10" s="9">
        <f>236.9*(1.01^3)</f>
        <v>244.0783069</v>
      </c>
      <c r="G10" s="9">
        <f>236.9*(1.01^4)</f>
        <v>246.51909</v>
      </c>
      <c r="H10" s="9">
        <f>236.9*(1.01^5)</f>
        <v>248.9842809</v>
      </c>
      <c r="I10" s="9">
        <f>236.9*(1.01^6)</f>
        <v>251.4741237</v>
      </c>
      <c r="J10" s="9">
        <f>236.9*(1.01^7)</f>
        <v>253.9888649</v>
      </c>
      <c r="K10" s="9">
        <f>236.9*(1.01^8)</f>
        <v>256.5287536</v>
      </c>
      <c r="L10" s="9">
        <f>236.9*(1.01^9)</f>
        <v>259.0940411</v>
      </c>
      <c r="M10" s="9">
        <f>236.9*(1.01^10)</f>
        <v>261.6849815</v>
      </c>
      <c r="N10" s="9">
        <f>236.9*(1.01^11)</f>
        <v>264.3018313</v>
      </c>
      <c r="O10" s="9">
        <f>236.9*(1.01^12)</f>
        <v>266.9448496</v>
      </c>
      <c r="P10" s="9">
        <f>236.9*(1.01^13)</f>
        <v>269.6142981</v>
      </c>
      <c r="Q10" s="9">
        <f>236.9*(1.01^14)</f>
        <v>272.3104411</v>
      </c>
      <c r="R10" s="9">
        <f>236.9*(1.01^15)</f>
        <v>275.0335455</v>
      </c>
      <c r="S10" s="9">
        <f>236.9*(1.01^16)</f>
        <v>277.783881</v>
      </c>
      <c r="T10" s="9">
        <f>236.9*(1.01^17)</f>
        <v>280.5617198</v>
      </c>
      <c r="U10" s="9">
        <f>236.9*(1.01^18)</f>
        <v>283.367337</v>
      </c>
      <c r="V10" s="9">
        <f>236.9*(1.01^19)</f>
        <v>286.2010104</v>
      </c>
      <c r="W10" s="9">
        <f>236.9*(1.01^20)</f>
        <v>289.0630205</v>
      </c>
    </row>
    <row r="11">
      <c r="A11" s="2" t="s">
        <v>16</v>
      </c>
      <c r="B11" s="2" t="s">
        <v>15</v>
      </c>
      <c r="C11" s="9">
        <f>118.5*(1.01^0)</f>
        <v>118.5</v>
      </c>
      <c r="D11" s="9">
        <f>118.5*(1.01^1)</f>
        <v>119.685</v>
      </c>
      <c r="E11" s="9">
        <f>118.5*(1.01^2)</f>
        <v>120.88185</v>
      </c>
      <c r="F11" s="9">
        <f>118.5*(1.01^3)</f>
        <v>122.0906685</v>
      </c>
      <c r="G11" s="9">
        <f>118.5*(1.01^4)</f>
        <v>123.3115752</v>
      </c>
      <c r="H11" s="9">
        <f>118.5*(1.01^5)</f>
        <v>124.5446909</v>
      </c>
      <c r="I11" s="9">
        <f>118.5*(1.01^6)</f>
        <v>125.7901378</v>
      </c>
      <c r="J11" s="9">
        <f>118.5*(1.01^7)</f>
        <v>127.0480392</v>
      </c>
      <c r="K11" s="9">
        <f>118.5*(1.01^8)</f>
        <v>128.3185196</v>
      </c>
      <c r="L11" s="9">
        <f>118.5*(1.01^9)</f>
        <v>129.6017048</v>
      </c>
      <c r="M11" s="9">
        <f>118.5*(1.01^10)</f>
        <v>130.8977219</v>
      </c>
      <c r="N11" s="9">
        <f>118.5*(1.01^11)</f>
        <v>132.2066991</v>
      </c>
      <c r="O11" s="9">
        <f>118.5*(1.01^12)</f>
        <v>133.5287661</v>
      </c>
      <c r="P11" s="9">
        <f>118.5*(1.01^13)</f>
        <v>134.8640537</v>
      </c>
      <c r="Q11" s="9">
        <f>118.5*(1.01^14)</f>
        <v>136.2126943</v>
      </c>
      <c r="R11" s="9">
        <f>118.5*(1.01^15)</f>
        <v>137.5748212</v>
      </c>
      <c r="S11" s="9">
        <f>118.5*(1.01^16)</f>
        <v>138.9505694</v>
      </c>
      <c r="T11" s="9">
        <f>118.5*(1.01^17)</f>
        <v>140.3400751</v>
      </c>
      <c r="U11" s="9">
        <f>118.5*(1.01^18)</f>
        <v>141.7434759</v>
      </c>
      <c r="V11" s="9">
        <f>118.5*(1.01^19)</f>
        <v>143.1609106</v>
      </c>
      <c r="W11" s="9">
        <f>118.5*(1.01^20)</f>
        <v>144.5925197</v>
      </c>
    </row>
    <row r="12">
      <c r="A12" s="2" t="s">
        <v>17</v>
      </c>
      <c r="B12" s="2" t="s">
        <v>11</v>
      </c>
      <c r="C12" s="9">
        <f>333*(1.01^0)</f>
        <v>333</v>
      </c>
      <c r="D12" s="9">
        <f>333*(1.01^1)</f>
        <v>336.33</v>
      </c>
      <c r="E12" s="9">
        <f>333*(1.01^2)</f>
        <v>339.6933</v>
      </c>
      <c r="F12" s="9">
        <f>333*(1.01^3)</f>
        <v>343.090233</v>
      </c>
      <c r="G12" s="9">
        <f>333*(1.01^4)</f>
        <v>346.5211353</v>
      </c>
      <c r="H12" s="9">
        <f>333*(1.01^5)</f>
        <v>349.9863467</v>
      </c>
      <c r="I12" s="9">
        <f>333*(1.01^6)</f>
        <v>353.4862102</v>
      </c>
      <c r="J12" s="9">
        <f>333*(1.01^7)</f>
        <v>357.0210723</v>
      </c>
      <c r="K12" s="9">
        <f>333*(1.01^8)</f>
        <v>360.591283</v>
      </c>
      <c r="L12" s="9">
        <f>333*(1.01^9)</f>
        <v>364.1971958</v>
      </c>
      <c r="M12" s="9">
        <f>333*(1.01^10)</f>
        <v>367.8391678</v>
      </c>
      <c r="N12" s="9">
        <f>333*(1.01^11)</f>
        <v>371.5175594</v>
      </c>
      <c r="O12" s="9">
        <f>333*(1.01^12)</f>
        <v>375.232735</v>
      </c>
      <c r="P12" s="9">
        <f>333*(1.01^13)</f>
        <v>378.9850624</v>
      </c>
      <c r="Q12" s="9">
        <f>333*(1.01^14)</f>
        <v>382.774913</v>
      </c>
      <c r="R12" s="9">
        <f>333*(1.01^15)</f>
        <v>386.6026621</v>
      </c>
      <c r="S12" s="9">
        <f>333*(1.01^16)</f>
        <v>390.4686888</v>
      </c>
      <c r="T12" s="9">
        <f>333*(1.01^17)</f>
        <v>394.3733756</v>
      </c>
      <c r="U12" s="9">
        <f>333*(1.01^18)</f>
        <v>398.3171094</v>
      </c>
      <c r="V12" s="9">
        <f>333*(1.01^19)</f>
        <v>402.3002805</v>
      </c>
      <c r="W12" s="9">
        <f>333*(1.01^20)</f>
        <v>406.3232833</v>
      </c>
    </row>
    <row r="13">
      <c r="A13" s="2" t="s">
        <v>17</v>
      </c>
      <c r="B13" s="2" t="s">
        <v>12</v>
      </c>
      <c r="C13" s="9">
        <f>462*(1.01^0)</f>
        <v>462</v>
      </c>
      <c r="D13" s="9">
        <f>462*(1.01^1)</f>
        <v>466.62</v>
      </c>
      <c r="E13" s="9">
        <f>462*(1.01^2)</f>
        <v>471.2862</v>
      </c>
      <c r="F13" s="9">
        <f>462*(1.01^3)</f>
        <v>475.999062</v>
      </c>
      <c r="G13" s="9">
        <f>462*(1.01^4)</f>
        <v>480.7590526</v>
      </c>
      <c r="H13" s="9">
        <f>462*(1.01^5)</f>
        <v>485.5666431</v>
      </c>
      <c r="I13" s="9">
        <f>462*(1.01^6)</f>
        <v>490.4223096</v>
      </c>
      <c r="J13" s="9">
        <f>462*(1.01^7)</f>
        <v>495.3265327</v>
      </c>
      <c r="K13" s="9">
        <f>462*(1.01^8)</f>
        <v>500.279798</v>
      </c>
      <c r="L13" s="9">
        <f>462*(1.01^9)</f>
        <v>505.282596</v>
      </c>
      <c r="M13" s="9">
        <f>462*(1.01^10)</f>
        <v>510.3354219</v>
      </c>
      <c r="N13" s="9">
        <f>462*(1.01^11)</f>
        <v>515.4387762</v>
      </c>
      <c r="O13" s="9">
        <f>462*(1.01^12)</f>
        <v>520.5931639</v>
      </c>
      <c r="P13" s="9">
        <f>462*(1.01^13)</f>
        <v>525.7990956</v>
      </c>
      <c r="Q13" s="9">
        <f>462*(1.01^14)</f>
        <v>531.0570865</v>
      </c>
      <c r="R13" s="9">
        <f>462*(1.01^15)</f>
        <v>536.3676574</v>
      </c>
      <c r="S13" s="9">
        <f>462*(1.01^16)</f>
        <v>541.731334</v>
      </c>
      <c r="T13" s="9">
        <f>462*(1.01^17)</f>
        <v>547.1486473</v>
      </c>
      <c r="U13" s="9">
        <f>462*(1.01^18)</f>
        <v>552.6201338</v>
      </c>
      <c r="V13" s="9">
        <f>462*(1.01^19)</f>
        <v>558.1463351</v>
      </c>
      <c r="W13" s="9">
        <f>462*(1.01^20)</f>
        <v>563.7277985</v>
      </c>
    </row>
    <row r="14">
      <c r="A14" s="2" t="s">
        <v>17</v>
      </c>
      <c r="B14" s="2" t="s">
        <v>13</v>
      </c>
      <c r="C14" s="9">
        <f t="shared" ref="C14:C15" si="1">308*(1.01^0)</f>
        <v>308</v>
      </c>
      <c r="D14" s="9">
        <f t="shared" ref="D14:D15" si="2">308*(1.01^1)</f>
        <v>311.08</v>
      </c>
      <c r="E14" s="9">
        <f t="shared" ref="E14:E15" si="3">308*(1.01^2)</f>
        <v>314.1908</v>
      </c>
      <c r="F14" s="9">
        <f t="shared" ref="F14:F15" si="4">308*(1.01^3)</f>
        <v>317.332708</v>
      </c>
      <c r="G14" s="9">
        <f t="shared" ref="G14:G15" si="5">308*(1.01^4)</f>
        <v>320.5060351</v>
      </c>
      <c r="H14" s="9">
        <f t="shared" ref="H14:H15" si="6">308*(1.01^5)</f>
        <v>323.7110954</v>
      </c>
      <c r="I14" s="9">
        <f t="shared" ref="I14:I15" si="7">308*(1.01^6)</f>
        <v>326.9482064</v>
      </c>
      <c r="J14" s="9">
        <f t="shared" ref="J14:J15" si="8">308*(1.01^7)</f>
        <v>330.2176884</v>
      </c>
      <c r="K14" s="9">
        <f t="shared" ref="K14:K15" si="9">308*(1.01^8)</f>
        <v>333.5198653</v>
      </c>
      <c r="L14" s="9">
        <f t="shared" ref="L14:L15" si="10">308*(1.01^9)</f>
        <v>336.855064</v>
      </c>
      <c r="M14" s="9">
        <f t="shared" ref="M14:M15" si="11">308*(1.01^10)</f>
        <v>340.2236146</v>
      </c>
      <c r="N14" s="9">
        <f t="shared" ref="N14:N15" si="12">308*(1.01^11)</f>
        <v>343.6258508</v>
      </c>
      <c r="O14" s="9">
        <f t="shared" ref="O14:O15" si="13">308*(1.01^12)</f>
        <v>347.0621093</v>
      </c>
      <c r="P14" s="9">
        <f t="shared" ref="P14:P15" si="14">308*(1.01^13)</f>
        <v>350.5327304</v>
      </c>
      <c r="Q14" s="9">
        <f t="shared" ref="Q14:Q15" si="15">308*(1.01^14)</f>
        <v>354.0380577</v>
      </c>
      <c r="R14" s="9">
        <f t="shared" ref="R14:R15" si="16">308*(1.01^15)</f>
        <v>357.5784383</v>
      </c>
      <c r="S14" s="9">
        <f t="shared" ref="S14:S15" si="17">308*(1.01^16)</f>
        <v>361.1542226</v>
      </c>
      <c r="T14" s="9">
        <f t="shared" ref="T14:T15" si="18">308*(1.01^17)</f>
        <v>364.7657649</v>
      </c>
      <c r="U14" s="9">
        <f t="shared" ref="U14:U15" si="19">308*(1.01^18)</f>
        <v>368.4134225</v>
      </c>
      <c r="V14" s="9">
        <f t="shared" ref="V14:V15" si="20">308*(1.01^19)</f>
        <v>372.0975567</v>
      </c>
      <c r="W14" s="9">
        <f t="shared" ref="W14:W15" si="21">308*(1.01^20)</f>
        <v>375.8185323</v>
      </c>
    </row>
    <row r="15">
      <c r="A15" s="2" t="s">
        <v>17</v>
      </c>
      <c r="B15" s="2" t="s">
        <v>14</v>
      </c>
      <c r="C15" s="9">
        <f t="shared" si="1"/>
        <v>308</v>
      </c>
      <c r="D15" s="9">
        <f t="shared" si="2"/>
        <v>311.08</v>
      </c>
      <c r="E15" s="9">
        <f t="shared" si="3"/>
        <v>314.1908</v>
      </c>
      <c r="F15" s="9">
        <f t="shared" si="4"/>
        <v>317.332708</v>
      </c>
      <c r="G15" s="9">
        <f t="shared" si="5"/>
        <v>320.5060351</v>
      </c>
      <c r="H15" s="9">
        <f t="shared" si="6"/>
        <v>323.7110954</v>
      </c>
      <c r="I15" s="9">
        <f t="shared" si="7"/>
        <v>326.9482064</v>
      </c>
      <c r="J15" s="9">
        <f t="shared" si="8"/>
        <v>330.2176884</v>
      </c>
      <c r="K15" s="9">
        <f t="shared" si="9"/>
        <v>333.5198653</v>
      </c>
      <c r="L15" s="9">
        <f t="shared" si="10"/>
        <v>336.855064</v>
      </c>
      <c r="M15" s="9">
        <f t="shared" si="11"/>
        <v>340.2236146</v>
      </c>
      <c r="N15" s="9">
        <f t="shared" si="12"/>
        <v>343.6258508</v>
      </c>
      <c r="O15" s="9">
        <f t="shared" si="13"/>
        <v>347.0621093</v>
      </c>
      <c r="P15" s="9">
        <f t="shared" si="14"/>
        <v>350.5327304</v>
      </c>
      <c r="Q15" s="9">
        <f t="shared" si="15"/>
        <v>354.0380577</v>
      </c>
      <c r="R15" s="9">
        <f t="shared" si="16"/>
        <v>357.5784383</v>
      </c>
      <c r="S15" s="9">
        <f t="shared" si="17"/>
        <v>361.1542226</v>
      </c>
      <c r="T15" s="9">
        <f t="shared" si="18"/>
        <v>364.7657649</v>
      </c>
      <c r="U15" s="9">
        <f t="shared" si="19"/>
        <v>368.4134225</v>
      </c>
      <c r="V15" s="9">
        <f t="shared" si="20"/>
        <v>372.0975567</v>
      </c>
      <c r="W15" s="9">
        <f t="shared" si="21"/>
        <v>375.8185323</v>
      </c>
    </row>
    <row r="16">
      <c r="A16" s="2" t="s">
        <v>17</v>
      </c>
      <c r="B16" s="2" t="s">
        <v>15</v>
      </c>
      <c r="C16" s="9">
        <f>475*(1.01^0)</f>
        <v>475</v>
      </c>
      <c r="D16" s="9">
        <f>475*(1.01^1)</f>
        <v>479.75</v>
      </c>
      <c r="E16" s="9">
        <f>475*(1.01^2)</f>
        <v>484.5475</v>
      </c>
      <c r="F16" s="9">
        <f>475*(1.01^3)</f>
        <v>489.392975</v>
      </c>
      <c r="G16" s="9">
        <f>475*(1.01^4)</f>
        <v>494.2869048</v>
      </c>
      <c r="H16" s="9">
        <f>475*(1.01^5)</f>
        <v>499.2297738</v>
      </c>
      <c r="I16" s="9">
        <f>475*(1.01^6)</f>
        <v>504.2220715</v>
      </c>
      <c r="J16" s="9">
        <f>475*(1.01^7)</f>
        <v>509.2642923</v>
      </c>
      <c r="K16" s="9">
        <f>475*(1.01^8)</f>
        <v>514.3569352</v>
      </c>
      <c r="L16" s="9">
        <f>475*(1.01^9)</f>
        <v>519.5005045</v>
      </c>
      <c r="M16" s="9">
        <f>475*(1.01^10)</f>
        <v>524.6955096</v>
      </c>
      <c r="N16" s="9">
        <f>475*(1.01^11)</f>
        <v>529.9424647</v>
      </c>
      <c r="O16" s="9">
        <f>475*(1.01^12)</f>
        <v>535.2418893</v>
      </c>
      <c r="P16" s="9">
        <f>475*(1.01^13)</f>
        <v>540.5943082</v>
      </c>
      <c r="Q16" s="9">
        <f>475*(1.01^14)</f>
        <v>546.0002513</v>
      </c>
      <c r="R16" s="9">
        <f>475*(1.01^15)</f>
        <v>551.4602538</v>
      </c>
      <c r="S16" s="9">
        <f>475*(1.01^16)</f>
        <v>556.9748563</v>
      </c>
      <c r="T16" s="9">
        <f>475*(1.01^17)</f>
        <v>562.5446049</v>
      </c>
      <c r="U16" s="9">
        <f>475*(1.01^18)</f>
        <v>568.170051</v>
      </c>
      <c r="V16" s="9">
        <f>475*(1.01^19)</f>
        <v>573.8517515</v>
      </c>
      <c r="W16" s="9">
        <f>475*(1.01^20)</f>
        <v>579.590269</v>
      </c>
    </row>
    <row r="17">
      <c r="A17" s="2" t="s">
        <v>18</v>
      </c>
      <c r="B17" s="2" t="s">
        <v>11</v>
      </c>
      <c r="C17" s="9">
        <f>55*(1.01^0)</f>
        <v>55</v>
      </c>
      <c r="D17" s="9">
        <f>55*(1.01^1)</f>
        <v>55.55</v>
      </c>
      <c r="E17" s="9">
        <f>55*(1.01^2)</f>
        <v>56.1055</v>
      </c>
      <c r="F17" s="9">
        <f>55*(1.01^3)</f>
        <v>56.666555</v>
      </c>
      <c r="G17" s="9">
        <f>55*(1.01^4)</f>
        <v>57.23322055</v>
      </c>
      <c r="H17" s="9">
        <f>55*(1.01^5)</f>
        <v>57.80555276</v>
      </c>
      <c r="I17" s="9">
        <f>55*(1.01^6)</f>
        <v>58.38360828</v>
      </c>
      <c r="J17" s="9">
        <f>55*(1.01^7)</f>
        <v>58.96744437</v>
      </c>
      <c r="K17" s="9">
        <f>55*(1.01^8)</f>
        <v>59.55711881</v>
      </c>
      <c r="L17" s="9">
        <f>55*(1.01^9)</f>
        <v>60.15269</v>
      </c>
      <c r="M17" s="9">
        <f>55*(1.01^10)</f>
        <v>60.7542169</v>
      </c>
      <c r="N17" s="9">
        <f>55*(1.01^11)</f>
        <v>61.36175907</v>
      </c>
      <c r="O17" s="9">
        <f>55*(1.01^12)</f>
        <v>61.97537666</v>
      </c>
      <c r="P17" s="9">
        <f>55*(1.01^13)</f>
        <v>62.59513042</v>
      </c>
      <c r="Q17" s="9">
        <f>55*(1.01^14)</f>
        <v>63.22108173</v>
      </c>
      <c r="R17" s="9">
        <f>55*(1.01^15)</f>
        <v>63.85329255</v>
      </c>
      <c r="S17" s="9">
        <f>55*(1.01^16)</f>
        <v>64.49182547</v>
      </c>
      <c r="T17" s="9">
        <f>55*(1.01^17)</f>
        <v>65.13674373</v>
      </c>
      <c r="U17" s="9">
        <f>55*(1.01^18)</f>
        <v>65.78811116</v>
      </c>
      <c r="V17" s="9">
        <f>55*(1.01^19)</f>
        <v>66.44599227</v>
      </c>
      <c r="W17" s="9">
        <f>55*(1.01^20)</f>
        <v>67.1104522</v>
      </c>
    </row>
    <row r="18">
      <c r="A18" s="2" t="s">
        <v>18</v>
      </c>
      <c r="B18" s="2" t="s">
        <v>12</v>
      </c>
      <c r="C18" s="9">
        <f>266.5*(1.01^0)</f>
        <v>266.5</v>
      </c>
      <c r="D18" s="9">
        <f>266.5*(1.01^1)</f>
        <v>269.165</v>
      </c>
      <c r="E18" s="9">
        <f>266.5*(1.01^2)</f>
        <v>271.85665</v>
      </c>
      <c r="F18" s="9">
        <f>266.5*(1.01^3)</f>
        <v>274.5752165</v>
      </c>
      <c r="G18" s="9">
        <f>266.5*(1.01^4)</f>
        <v>277.3209687</v>
      </c>
      <c r="H18" s="9">
        <f>266.5*(1.01^5)</f>
        <v>280.0941784</v>
      </c>
      <c r="I18" s="9">
        <f>266.5*(1.01^6)</f>
        <v>282.8951201</v>
      </c>
      <c r="J18" s="9">
        <f>266.5*(1.01^7)</f>
        <v>285.7240713</v>
      </c>
      <c r="K18" s="9">
        <f>266.5*(1.01^8)</f>
        <v>288.581312</v>
      </c>
      <c r="L18" s="9">
        <f>266.5*(1.01^9)</f>
        <v>291.4671252</v>
      </c>
      <c r="M18" s="9">
        <f>266.5*(1.01^10)</f>
        <v>294.3817964</v>
      </c>
      <c r="N18" s="9">
        <f>266.5*(1.01^11)</f>
        <v>297.3256144</v>
      </c>
      <c r="O18" s="9">
        <f>266.5*(1.01^12)</f>
        <v>300.2988705</v>
      </c>
      <c r="P18" s="9">
        <f>266.5*(1.01^13)</f>
        <v>303.3018592</v>
      </c>
      <c r="Q18" s="9">
        <f>266.5*(1.01^14)</f>
        <v>306.3348778</v>
      </c>
      <c r="R18" s="9">
        <f>266.5*(1.01^15)</f>
        <v>309.3982266</v>
      </c>
      <c r="S18" s="9">
        <f>266.5*(1.01^16)</f>
        <v>312.4922089</v>
      </c>
      <c r="T18" s="9">
        <f>266.5*(1.01^17)</f>
        <v>315.617131</v>
      </c>
      <c r="U18" s="9">
        <f>266.5*(1.01^18)</f>
        <v>318.7733023</v>
      </c>
      <c r="V18" s="9">
        <f>266.5*(1.01^19)</f>
        <v>321.9610353</v>
      </c>
      <c r="W18" s="9">
        <f>266.5*(1.01^20)</f>
        <v>325.1806456</v>
      </c>
    </row>
    <row r="19">
      <c r="A19" s="2" t="s">
        <v>18</v>
      </c>
      <c r="B19" s="2" t="s">
        <v>13</v>
      </c>
      <c r="C19" s="9">
        <f>106.6*(1.01^0)</f>
        <v>106.6</v>
      </c>
      <c r="D19" s="9">
        <f>106.6*(1.01^1)</f>
        <v>107.666</v>
      </c>
      <c r="E19" s="9">
        <f>106.6*(1.01^2)</f>
        <v>108.74266</v>
      </c>
      <c r="F19" s="9">
        <f>106.6*(1.01^3)</f>
        <v>109.8300866</v>
      </c>
      <c r="G19" s="9">
        <f>106.6*(1.01^4)</f>
        <v>110.9283875</v>
      </c>
      <c r="H19" s="9">
        <f>106.6*(1.01^5)</f>
        <v>112.0376713</v>
      </c>
      <c r="I19" s="9">
        <f>106.6*(1.01^6)</f>
        <v>113.1580481</v>
      </c>
      <c r="J19" s="9">
        <f>106.6*(1.01^7)</f>
        <v>114.2896285</v>
      </c>
      <c r="K19" s="9">
        <f>106.6*(1.01^8)</f>
        <v>115.4325248</v>
      </c>
      <c r="L19" s="9">
        <f>106.6*(1.01^9)</f>
        <v>116.5868501</v>
      </c>
      <c r="M19" s="9">
        <f>106.6*(1.01^10)</f>
        <v>117.7527186</v>
      </c>
      <c r="N19" s="9">
        <f>106.6*(1.01^11)</f>
        <v>118.9302458</v>
      </c>
      <c r="O19" s="9">
        <f>106.6*(1.01^12)</f>
        <v>120.1195482</v>
      </c>
      <c r="P19" s="9">
        <f>106.6*(1.01^13)</f>
        <v>121.3207437</v>
      </c>
      <c r="Q19" s="9">
        <f>106.6*(1.01^14)</f>
        <v>122.5339511</v>
      </c>
      <c r="R19" s="9">
        <f>106.6*(1.01^15)</f>
        <v>123.7592906</v>
      </c>
      <c r="S19" s="9">
        <f>106.6*(1.01^16)</f>
        <v>124.9968835</v>
      </c>
      <c r="T19" s="9">
        <f>106.6*(1.01^17)</f>
        <v>126.2468524</v>
      </c>
      <c r="U19" s="9">
        <f>106.6*(1.01^18)</f>
        <v>127.5093209</v>
      </c>
      <c r="V19" s="9">
        <f>106.6*(1.01^19)</f>
        <v>128.7844141</v>
      </c>
      <c r="W19" s="9">
        <f>106.6*(1.01^20)</f>
        <v>130.0722583</v>
      </c>
    </row>
    <row r="20">
      <c r="A20" s="2" t="s">
        <v>18</v>
      </c>
      <c r="B20" s="2" t="s">
        <v>14</v>
      </c>
      <c r="C20" s="9">
        <f>266.5*(1.01^0)</f>
        <v>266.5</v>
      </c>
      <c r="D20" s="9">
        <f>266.5*(1.01^1)</f>
        <v>269.165</v>
      </c>
      <c r="E20" s="9">
        <f>266.5*(1.01^2)</f>
        <v>271.85665</v>
      </c>
      <c r="F20" s="9">
        <f>266.5*(1.01^3)</f>
        <v>274.5752165</v>
      </c>
      <c r="G20" s="9">
        <f>266.5*(1.01^4)</f>
        <v>277.3209687</v>
      </c>
      <c r="H20" s="9">
        <f>266.5*(1.01^5)</f>
        <v>280.0941784</v>
      </c>
      <c r="I20" s="9">
        <f>266.5*(1.01^6)</f>
        <v>282.8951201</v>
      </c>
      <c r="J20" s="9">
        <f>266.5*(1.01^7)</f>
        <v>285.7240713</v>
      </c>
      <c r="K20" s="9">
        <f>266.5*(1.01^8)</f>
        <v>288.581312</v>
      </c>
      <c r="L20" s="9">
        <f>266.5*(1.01^9)</f>
        <v>291.4671252</v>
      </c>
      <c r="M20" s="9">
        <f>266.5*(1.01^10)</f>
        <v>294.3817964</v>
      </c>
      <c r="N20" s="9">
        <f>266.5*(1.01^11)</f>
        <v>297.3256144</v>
      </c>
      <c r="O20" s="9">
        <f>266.5*(1.01^12)</f>
        <v>300.2988705</v>
      </c>
      <c r="P20" s="9">
        <f>266.5*(1.01^13)</f>
        <v>303.3018592</v>
      </c>
      <c r="Q20" s="9">
        <f>266.5*(1.01^14)</f>
        <v>306.3348778</v>
      </c>
      <c r="R20" s="9">
        <f>266.5*(1.01^15)</f>
        <v>309.3982266</v>
      </c>
      <c r="S20" s="9">
        <f>266.5*(1.01^16)</f>
        <v>312.4922089</v>
      </c>
      <c r="T20" s="9">
        <f>266.5*(1.01^17)</f>
        <v>315.617131</v>
      </c>
      <c r="U20" s="9">
        <f>266.5*(1.01^18)</f>
        <v>318.7733023</v>
      </c>
      <c r="V20" s="9">
        <f>266.5*(1.01^19)</f>
        <v>321.9610353</v>
      </c>
      <c r="W20" s="9">
        <f>266.5*(1.01^20)</f>
        <v>325.1806456</v>
      </c>
    </row>
    <row r="21" ht="15.75" customHeight="1">
      <c r="A21" s="2" t="s">
        <v>18</v>
      </c>
      <c r="B21" s="2" t="s">
        <v>15</v>
      </c>
      <c r="C21" s="9">
        <f>426.4*(1.01^0)</f>
        <v>426.4</v>
      </c>
      <c r="D21" s="9">
        <f>426.4*(1.01^1)</f>
        <v>430.664</v>
      </c>
      <c r="E21" s="9">
        <f>426.4*(1.01^2)</f>
        <v>434.97064</v>
      </c>
      <c r="F21" s="9">
        <f>426.4*(1.01^3)</f>
        <v>439.3203464</v>
      </c>
      <c r="G21" s="9">
        <f>426.4*(1.01^4)</f>
        <v>443.7135499</v>
      </c>
      <c r="H21" s="9">
        <f>426.4*(1.01^5)</f>
        <v>448.1506854</v>
      </c>
      <c r="I21" s="9">
        <f>426.4*(1.01^6)</f>
        <v>452.6321922</v>
      </c>
      <c r="J21" s="9">
        <f>426.4*(1.01^7)</f>
        <v>457.1585141</v>
      </c>
      <c r="K21" s="9">
        <f>426.4*(1.01^8)</f>
        <v>461.7300993</v>
      </c>
      <c r="L21" s="9">
        <f>426.4*(1.01^9)</f>
        <v>466.3474003</v>
      </c>
      <c r="M21" s="9">
        <f>426.4*(1.01^10)</f>
        <v>471.0108743</v>
      </c>
      <c r="N21" s="9">
        <f>426.4*(1.01^11)</f>
        <v>475.720983</v>
      </c>
      <c r="O21" s="9">
        <f>426.4*(1.01^12)</f>
        <v>480.4781928</v>
      </c>
      <c r="P21" s="9">
        <f>426.4*(1.01^13)</f>
        <v>485.2829748</v>
      </c>
      <c r="Q21" s="9">
        <f>426.4*(1.01^14)</f>
        <v>490.1358045</v>
      </c>
      <c r="R21" s="9">
        <f>426.4*(1.01^15)</f>
        <v>495.0371626</v>
      </c>
      <c r="S21" s="9">
        <f>426.4*(1.01^16)</f>
        <v>499.9875342</v>
      </c>
      <c r="T21" s="9">
        <f>426.4*(1.01^17)</f>
        <v>504.9874095</v>
      </c>
      <c r="U21" s="9">
        <f>426.4*(1.01^18)</f>
        <v>510.0372836</v>
      </c>
      <c r="V21" s="9">
        <f>426.4*(1.01^19)</f>
        <v>515.1376565</v>
      </c>
      <c r="W21" s="9">
        <f>426.4*(1.01^20)</f>
        <v>520.289033</v>
      </c>
    </row>
    <row r="22" ht="15.75" customHeight="1"/>
    <row r="23" ht="15.75" customHeight="1"/>
    <row r="24" ht="15.75" customHeight="1"/>
    <row r="25" ht="15.75" customHeight="1">
      <c r="A25" s="7" t="s">
        <v>20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W$21"/>
  <mergeCells count="1">
    <mergeCell ref="A25:K27"/>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13.29"/>
    <col customWidth="1" min="3" max="26" width="8.71"/>
  </cols>
  <sheetData>
    <row r="1">
      <c r="A1" s="2" t="s">
        <v>4</v>
      </c>
      <c r="B1" s="2" t="s">
        <v>5</v>
      </c>
      <c r="C1" s="2">
        <v>2025.0</v>
      </c>
      <c r="D1" s="2">
        <v>2026.0</v>
      </c>
      <c r="E1" s="2">
        <v>2027.0</v>
      </c>
      <c r="F1" s="2">
        <v>2028.0</v>
      </c>
      <c r="G1" s="2">
        <v>2029.0</v>
      </c>
      <c r="H1" s="2">
        <v>2030.0</v>
      </c>
      <c r="I1" s="2">
        <v>2031.0</v>
      </c>
      <c r="J1" s="2">
        <v>2032.0</v>
      </c>
      <c r="K1" s="2">
        <v>2033.0</v>
      </c>
      <c r="L1" s="2">
        <v>2034.0</v>
      </c>
      <c r="M1" s="2">
        <v>2035.0</v>
      </c>
      <c r="N1" s="2">
        <v>2036.0</v>
      </c>
      <c r="O1" s="2">
        <v>2037.0</v>
      </c>
      <c r="P1" s="2">
        <v>2038.0</v>
      </c>
      <c r="Q1" s="2">
        <v>2039.0</v>
      </c>
      <c r="R1" s="2">
        <v>2040.0</v>
      </c>
      <c r="S1" s="2">
        <v>2041.0</v>
      </c>
      <c r="T1" s="2">
        <v>2042.0</v>
      </c>
      <c r="U1" s="2">
        <v>2043.0</v>
      </c>
      <c r="V1" s="2">
        <v>2044.0</v>
      </c>
      <c r="W1" s="2">
        <v>2045.0</v>
      </c>
    </row>
    <row r="2">
      <c r="A2" s="2" t="s">
        <v>10</v>
      </c>
      <c r="B2" s="2" t="s">
        <v>11</v>
      </c>
      <c r="C2" s="9">
        <f>'Current Mix'!C2*0.5/6</f>
        <v>2.461666667</v>
      </c>
      <c r="D2" s="9">
        <f>'Current Mix'!$C$2*0.5/6</f>
        <v>2.461666667</v>
      </c>
      <c r="E2" s="9">
        <f>'Current Mix'!$C$2*0.5/6</f>
        <v>2.461666667</v>
      </c>
      <c r="F2" s="9">
        <f>'Current Mix'!$C$2*0.5/6</f>
        <v>2.461666667</v>
      </c>
      <c r="G2" s="9">
        <f>'Current Mix'!$C$2*0.5/6</f>
        <v>2.461666667</v>
      </c>
      <c r="H2" s="9">
        <f>'Current Mix'!$C$2*0.5/6</f>
        <v>2.461666667</v>
      </c>
      <c r="I2" s="9">
        <f>'Current Mix'!$C$2*0.3/5</f>
        <v>1.7724</v>
      </c>
      <c r="J2" s="9">
        <f>'Current Mix'!$C$2*0.3/5</f>
        <v>1.7724</v>
      </c>
      <c r="K2" s="9">
        <f>'Current Mix'!$C$2*0.3/5</f>
        <v>1.7724</v>
      </c>
      <c r="L2" s="9">
        <f>'Current Mix'!$C$2*0.3/5</f>
        <v>1.7724</v>
      </c>
      <c r="M2" s="9">
        <f>'Current Mix'!$C$2*0.3/5</f>
        <v>1.7724</v>
      </c>
      <c r="N2" s="9">
        <f>'Current Mix'!$C$2*0.2/10</f>
        <v>0.5908</v>
      </c>
      <c r="O2" s="9">
        <f>'Current Mix'!$C$2*0.2/10</f>
        <v>0.5908</v>
      </c>
      <c r="P2" s="9">
        <f>'Current Mix'!$C$2*0.2/10</f>
        <v>0.5908</v>
      </c>
      <c r="Q2" s="9">
        <f>'Current Mix'!$C$2*0.2/10</f>
        <v>0.5908</v>
      </c>
      <c r="R2" s="9">
        <f>'Current Mix'!$C$2*0.2/10</f>
        <v>0.5908</v>
      </c>
      <c r="S2" s="9">
        <f>'Current Mix'!$C$2*0.2/10</f>
        <v>0.5908</v>
      </c>
      <c r="T2" s="9">
        <f>'Current Mix'!$C$2*0.2/10</f>
        <v>0.5908</v>
      </c>
      <c r="U2" s="9">
        <f>'Current Mix'!$C$2*0.2/10</f>
        <v>0.5908</v>
      </c>
      <c r="V2" s="9">
        <f>'Current Mix'!$C$2*0.2/10</f>
        <v>0.5908</v>
      </c>
      <c r="W2" s="9">
        <f>'Current Mix'!$C$2*0.2/10</f>
        <v>0.5908</v>
      </c>
    </row>
    <row r="3">
      <c r="A3" s="2" t="s">
        <v>10</v>
      </c>
      <c r="B3" s="2" t="s">
        <v>12</v>
      </c>
      <c r="C3" s="9">
        <f>'Current Mix'!$C$3*0.2/6</f>
        <v>5.98</v>
      </c>
      <c r="D3" s="9">
        <f>'Current Mix'!C3*0.2/6</f>
        <v>5.98</v>
      </c>
      <c r="E3" s="9">
        <f>'Current Mix'!$C$3*0.2/6</f>
        <v>5.98</v>
      </c>
      <c r="F3" s="9">
        <f>'Current Mix'!$C$3*0.2/6</f>
        <v>5.98</v>
      </c>
      <c r="G3" s="9">
        <f>'Current Mix'!$C$3*0.2/6</f>
        <v>5.98</v>
      </c>
      <c r="H3" s="9">
        <f>'Current Mix'!$C$3*0.2/6</f>
        <v>5.98</v>
      </c>
      <c r="I3" s="9">
        <f>'Current Mix'!$C$3*0.3/5</f>
        <v>10.764</v>
      </c>
      <c r="J3" s="9">
        <f>'Current Mix'!$C$3*0.3/5</f>
        <v>10.764</v>
      </c>
      <c r="K3" s="9">
        <f>'Current Mix'!$C$3*0.3/5</f>
        <v>10.764</v>
      </c>
      <c r="L3" s="9">
        <f>'Current Mix'!$C$3*0.3/5</f>
        <v>10.764</v>
      </c>
      <c r="M3" s="9">
        <f>'Current Mix'!$C$3*0.3/5</f>
        <v>10.764</v>
      </c>
      <c r="N3" s="9">
        <f>'Current Mix'!$C$3*0.5/10</f>
        <v>8.97</v>
      </c>
      <c r="O3" s="9">
        <f>'Current Mix'!$C$3*0.5/10</f>
        <v>8.97</v>
      </c>
      <c r="P3" s="9">
        <f>'Current Mix'!$C$3*0.5/10</f>
        <v>8.97</v>
      </c>
      <c r="Q3" s="9">
        <f>'Current Mix'!$C$3*0.5/10</f>
        <v>8.97</v>
      </c>
      <c r="R3" s="9">
        <f>'Current Mix'!$C$3*0.5/10</f>
        <v>8.97</v>
      </c>
      <c r="S3" s="9">
        <f>'Current Mix'!$C$3*0.5/10</f>
        <v>8.97</v>
      </c>
      <c r="T3" s="9">
        <f>'Current Mix'!$C$3*0.5/10</f>
        <v>8.97</v>
      </c>
      <c r="U3" s="9">
        <f>'Current Mix'!$C$3*0.5/10</f>
        <v>8.97</v>
      </c>
      <c r="V3" s="9">
        <f>'Current Mix'!$C$3*0.5/10</f>
        <v>8.97</v>
      </c>
      <c r="W3" s="9">
        <f>'Current Mix'!$C$3*0.5/10</f>
        <v>8.97</v>
      </c>
    </row>
    <row r="4">
      <c r="A4" s="2" t="s">
        <v>10</v>
      </c>
      <c r="B4" s="2" t="s">
        <v>13</v>
      </c>
      <c r="C4" s="9">
        <f>'Current Mix'!$C$4*0.1/6</f>
        <v>0.4675</v>
      </c>
      <c r="D4" s="9">
        <f>'Current Mix'!$C$4*0.1/6</f>
        <v>0.4675</v>
      </c>
      <c r="E4" s="9">
        <f>'Current Mix'!$C$4*0.1/6</f>
        <v>0.4675</v>
      </c>
      <c r="F4" s="9">
        <f>'Current Mix'!$C$4*0.1/6</f>
        <v>0.4675</v>
      </c>
      <c r="G4" s="9">
        <f>'Current Mix'!$C$4*0.1/6</f>
        <v>0.4675</v>
      </c>
      <c r="H4" s="9">
        <f>'Current Mix'!$C$4*0.1/6</f>
        <v>0.4675</v>
      </c>
      <c r="I4" s="9">
        <f>'Current Mix'!$C$4*0.2/5</f>
        <v>1.122</v>
      </c>
      <c r="J4" s="9">
        <f>'Current Mix'!$C$4*0.2/5</f>
        <v>1.122</v>
      </c>
      <c r="K4" s="9">
        <f>'Current Mix'!$C$4*0.2/5</f>
        <v>1.122</v>
      </c>
      <c r="L4" s="9">
        <f>'Current Mix'!$C$4*0.2/5</f>
        <v>1.122</v>
      </c>
      <c r="M4" s="9">
        <f>'Current Mix'!$C$4*0.2/5</f>
        <v>1.122</v>
      </c>
      <c r="N4" s="9">
        <f>'Current Mix'!$C$4*0.7/10</f>
        <v>1.9635</v>
      </c>
      <c r="O4" s="9">
        <f>'Current Mix'!$C$4*0.7/10</f>
        <v>1.9635</v>
      </c>
      <c r="P4" s="9">
        <f>'Current Mix'!$C$4*0.7/10</f>
        <v>1.9635</v>
      </c>
      <c r="Q4" s="9">
        <f>'Current Mix'!$C$4*0.7/10</f>
        <v>1.9635</v>
      </c>
      <c r="R4" s="9">
        <f>'Current Mix'!$C$4*0.7/10</f>
        <v>1.9635</v>
      </c>
      <c r="S4" s="9">
        <f>'Current Mix'!$C$4*0.7/10</f>
        <v>1.9635</v>
      </c>
      <c r="T4" s="9">
        <f>'Current Mix'!$C$4*0.7/10</f>
        <v>1.9635</v>
      </c>
      <c r="U4" s="9">
        <f>'Current Mix'!$C$4*0.7/10</f>
        <v>1.9635</v>
      </c>
      <c r="V4" s="9">
        <f>'Current Mix'!$C$4*0.7/10</f>
        <v>1.9635</v>
      </c>
      <c r="W4" s="9">
        <f>'Current Mix'!$C$4*0.7/10</f>
        <v>1.9635</v>
      </c>
    </row>
    <row r="5">
      <c r="A5" s="2" t="s">
        <v>10</v>
      </c>
      <c r="B5" s="2" t="s">
        <v>14</v>
      </c>
      <c r="C5" s="9">
        <f>'Current Mix'!$C$5*0.2/6</f>
        <v>2.295</v>
      </c>
      <c r="D5" s="9">
        <f>'Current Mix'!$C$5*0.2/6</f>
        <v>2.295</v>
      </c>
      <c r="E5" s="9">
        <f>'Current Mix'!$C$5*0.2/6</f>
        <v>2.295</v>
      </c>
      <c r="F5" s="9">
        <f>'Current Mix'!$C$5*0.2/6</f>
        <v>2.295</v>
      </c>
      <c r="G5" s="9">
        <f>'Current Mix'!$C$5*0.2/6</f>
        <v>2.295</v>
      </c>
      <c r="H5" s="9">
        <f>'Current Mix'!$C$5*0.2/6</f>
        <v>2.295</v>
      </c>
      <c r="I5" s="9">
        <f>'Current Mix'!$C$5*0.4/5</f>
        <v>5.508</v>
      </c>
      <c r="J5" s="9">
        <f>'Current Mix'!$C$5*0.4/5</f>
        <v>5.508</v>
      </c>
      <c r="K5" s="9">
        <f>'Current Mix'!$C$5*0.4/5</f>
        <v>5.508</v>
      </c>
      <c r="L5" s="9">
        <f>'Current Mix'!$C$5*0.4/5</f>
        <v>5.508</v>
      </c>
      <c r="M5" s="9">
        <f>'Current Mix'!$C$5*0.4/5</f>
        <v>5.508</v>
      </c>
      <c r="N5" s="9">
        <f>'Current Mix'!$C$5*0.4/10</f>
        <v>2.754</v>
      </c>
      <c r="O5" s="9">
        <f>'Current Mix'!$C$5*0.4/10</f>
        <v>2.754</v>
      </c>
      <c r="P5" s="9">
        <f>'Current Mix'!$C$5*0.4/10</f>
        <v>2.754</v>
      </c>
      <c r="Q5" s="9">
        <f>'Current Mix'!$C$5*0.4/10</f>
        <v>2.754</v>
      </c>
      <c r="R5" s="9">
        <f>'Current Mix'!$C$5*0.4/10</f>
        <v>2.754</v>
      </c>
      <c r="S5" s="9">
        <f>'Current Mix'!$C$5*0.4/10</f>
        <v>2.754</v>
      </c>
      <c r="T5" s="9">
        <f>'Current Mix'!$C$5*0.4/10</f>
        <v>2.754</v>
      </c>
      <c r="U5" s="9">
        <f>'Current Mix'!$C$5*0.4/10</f>
        <v>2.754</v>
      </c>
      <c r="V5" s="9">
        <f>'Current Mix'!$C$5*0.4/10</f>
        <v>2.754</v>
      </c>
      <c r="W5" s="9">
        <f>'Current Mix'!$C$5*0.4/10</f>
        <v>2.754</v>
      </c>
    </row>
    <row r="6">
      <c r="A6" s="2" t="s">
        <v>10</v>
      </c>
      <c r="B6" s="2" t="s">
        <v>15</v>
      </c>
      <c r="C6" s="9">
        <f>'Current Mix'!$C$6*0.2/6</f>
        <v>0.9508333333</v>
      </c>
      <c r="D6" s="9">
        <f>'Current Mix'!$C$6*0.2/6</f>
        <v>0.9508333333</v>
      </c>
      <c r="E6" s="9">
        <f>'Current Mix'!$C$6*0.2/6</f>
        <v>0.9508333333</v>
      </c>
      <c r="F6" s="9">
        <f>'Current Mix'!$C$6*0.2/6</f>
        <v>0.9508333333</v>
      </c>
      <c r="G6" s="9">
        <f>'Current Mix'!$C$6*0.2/6</f>
        <v>0.9508333333</v>
      </c>
      <c r="H6" s="9">
        <f>'Current Mix'!$C$6*0.2/6</f>
        <v>0.9508333333</v>
      </c>
      <c r="I6" s="9">
        <f>'Current Mix'!$C$6*0.4/5</f>
        <v>2.282</v>
      </c>
      <c r="J6" s="9">
        <f>'Current Mix'!$C$6*0.4/5</f>
        <v>2.282</v>
      </c>
      <c r="K6" s="9">
        <f>'Current Mix'!$C$6*0.4/5</f>
        <v>2.282</v>
      </c>
      <c r="L6" s="9">
        <f>'Current Mix'!$C$6*0.4/5</f>
        <v>2.282</v>
      </c>
      <c r="M6" s="9">
        <f>'Current Mix'!$C$6*0.4/5</f>
        <v>2.282</v>
      </c>
      <c r="N6" s="9">
        <f>'Current Mix'!$C$6*0.4/10</f>
        <v>1.141</v>
      </c>
      <c r="O6" s="9">
        <f>'Current Mix'!$C$6*0.4/10</f>
        <v>1.141</v>
      </c>
      <c r="P6" s="9">
        <f>'Current Mix'!$C$6*0.4/10</f>
        <v>1.141</v>
      </c>
      <c r="Q6" s="9">
        <f>'Current Mix'!$C$6*0.4/10</f>
        <v>1.141</v>
      </c>
      <c r="R6" s="9">
        <f>'Current Mix'!$C$6*0.4/10</f>
        <v>1.141</v>
      </c>
      <c r="S6" s="9">
        <f>'Current Mix'!$C$6*0.4/10</f>
        <v>1.141</v>
      </c>
      <c r="T6" s="9">
        <f>'Current Mix'!$C$6*0.4/10</f>
        <v>1.141</v>
      </c>
      <c r="U6" s="9">
        <f>'Current Mix'!$C$6*0.4/10</f>
        <v>1.141</v>
      </c>
      <c r="V6" s="9">
        <f>'Current Mix'!$C$6*0.4/10</f>
        <v>1.141</v>
      </c>
      <c r="W6" s="9">
        <f>'Current Mix'!$C$6*0.4/10</f>
        <v>1.141</v>
      </c>
    </row>
    <row r="7">
      <c r="A7" s="2" t="s">
        <v>16</v>
      </c>
      <c r="B7" s="2" t="s">
        <v>11</v>
      </c>
      <c r="C7" s="9">
        <f>'Current Mix'!$C$7*0.5/6</f>
        <v>1.055</v>
      </c>
      <c r="D7" s="9">
        <f>'Current Mix'!$C$7*0.5/6</f>
        <v>1.055</v>
      </c>
      <c r="E7" s="9">
        <f>'Current Mix'!$C$7*0.5/6</f>
        <v>1.055</v>
      </c>
      <c r="F7" s="9">
        <f>'Current Mix'!$C$7*0.5/6</f>
        <v>1.055</v>
      </c>
      <c r="G7" s="9">
        <f>'Current Mix'!$C$7*0.5/6</f>
        <v>1.055</v>
      </c>
      <c r="H7" s="9">
        <f>'Current Mix'!$C$7*0.5/6</f>
        <v>1.055</v>
      </c>
      <c r="I7" s="9">
        <f>'Current Mix'!$C$7*0.3/5</f>
        <v>0.7596</v>
      </c>
      <c r="J7" s="9">
        <f>'Current Mix'!$C$7*0.3/5</f>
        <v>0.7596</v>
      </c>
      <c r="K7" s="9">
        <f>'Current Mix'!$C$7*0.3/5</f>
        <v>0.7596</v>
      </c>
      <c r="L7" s="9">
        <f>'Current Mix'!$C$7*0.3/5</f>
        <v>0.7596</v>
      </c>
      <c r="M7" s="9">
        <f>'Current Mix'!$C$7*0.3/5</f>
        <v>0.7596</v>
      </c>
      <c r="N7" s="9">
        <f>'Current Mix'!$C$7*0.2/10</f>
        <v>0.2532</v>
      </c>
      <c r="O7" s="9">
        <f>'Current Mix'!$C$7*0.2/10</f>
        <v>0.2532</v>
      </c>
      <c r="P7" s="9">
        <f>'Current Mix'!$C$7*0.2/10</f>
        <v>0.2532</v>
      </c>
      <c r="Q7" s="9">
        <f>'Current Mix'!$C$7*0.2/10</f>
        <v>0.2532</v>
      </c>
      <c r="R7" s="9">
        <f>'Current Mix'!$C$7*0.2/10</f>
        <v>0.2532</v>
      </c>
      <c r="S7" s="9">
        <f>'Current Mix'!$C$7*0.2/10</f>
        <v>0.2532</v>
      </c>
      <c r="T7" s="9">
        <f>'Current Mix'!$C$7*0.2/10</f>
        <v>0.2532</v>
      </c>
      <c r="U7" s="9">
        <f>'Current Mix'!$C$7*0.2/10</f>
        <v>0.2532</v>
      </c>
      <c r="V7" s="9">
        <f>'Current Mix'!$C$7*0.2/10</f>
        <v>0.2532</v>
      </c>
      <c r="W7" s="9">
        <f>'Current Mix'!$C$7*0.2/10</f>
        <v>0.2532</v>
      </c>
    </row>
    <row r="8">
      <c r="A8" s="2" t="s">
        <v>16</v>
      </c>
      <c r="B8" s="2" t="s">
        <v>12</v>
      </c>
      <c r="C8" s="9">
        <f>'Current Mix'!$C$8*0.2/6</f>
        <v>5.06</v>
      </c>
      <c r="D8" s="9">
        <f>'Current Mix'!$C$8*0.2/6</f>
        <v>5.06</v>
      </c>
      <c r="E8" s="9">
        <f>'Current Mix'!$C$8*0.2/6</f>
        <v>5.06</v>
      </c>
      <c r="F8" s="9">
        <f>'Current Mix'!$C$8*0.2/6</f>
        <v>5.06</v>
      </c>
      <c r="G8" s="9">
        <f>'Current Mix'!$C$8*0.2/6</f>
        <v>5.06</v>
      </c>
      <c r="H8" s="9">
        <f>'Current Mix'!$C$8*0.2/6</f>
        <v>5.06</v>
      </c>
      <c r="I8" s="9">
        <f>'Current Mix'!$C$8*0.3/5</f>
        <v>9.108</v>
      </c>
      <c r="J8" s="9">
        <f>'Current Mix'!$C$8*0.3/5</f>
        <v>9.108</v>
      </c>
      <c r="K8" s="9">
        <f>'Current Mix'!$C$8*0.3/5</f>
        <v>9.108</v>
      </c>
      <c r="L8" s="9">
        <f>'Current Mix'!$C$8*0.3/5</f>
        <v>9.108</v>
      </c>
      <c r="M8" s="9">
        <f>'Current Mix'!$C$8*0.3/5</f>
        <v>9.108</v>
      </c>
      <c r="N8" s="9">
        <f>'Current Mix'!$C$8*0.5/10</f>
        <v>7.59</v>
      </c>
      <c r="O8" s="9">
        <f>'Current Mix'!$C$8*0.5/10</f>
        <v>7.59</v>
      </c>
      <c r="P8" s="9">
        <f>'Current Mix'!$C$8*0.5/10</f>
        <v>7.59</v>
      </c>
      <c r="Q8" s="9">
        <f>'Current Mix'!$C$8*0.5/10</f>
        <v>7.59</v>
      </c>
      <c r="R8" s="9">
        <f>'Current Mix'!$C$8*0.5/10</f>
        <v>7.59</v>
      </c>
      <c r="S8" s="9">
        <f>'Current Mix'!$C$8*0.5/10</f>
        <v>7.59</v>
      </c>
      <c r="T8" s="9">
        <f>'Current Mix'!$C$8*0.5/10</f>
        <v>7.59</v>
      </c>
      <c r="U8" s="9">
        <f>'Current Mix'!$C$8*0.5/10</f>
        <v>7.59</v>
      </c>
      <c r="V8" s="9">
        <f>'Current Mix'!$C$8*0.5/10</f>
        <v>7.59</v>
      </c>
      <c r="W8" s="9">
        <f>'Current Mix'!$C$8*0.5/10</f>
        <v>7.59</v>
      </c>
    </row>
    <row r="9">
      <c r="A9" s="2" t="s">
        <v>16</v>
      </c>
      <c r="B9" s="2" t="s">
        <v>13</v>
      </c>
      <c r="C9" s="9">
        <f>'Current Mix'!$C$9*0.1/6</f>
        <v>0.3825</v>
      </c>
      <c r="D9" s="9">
        <f>'Current Mix'!$C$9*0.1/6</f>
        <v>0.3825</v>
      </c>
      <c r="E9" s="9">
        <f>'Current Mix'!$C$9*0.1/6</f>
        <v>0.3825</v>
      </c>
      <c r="F9" s="9">
        <f>'Current Mix'!$C$9*0.1/6</f>
        <v>0.3825</v>
      </c>
      <c r="G9" s="9">
        <f>'Current Mix'!$C$9*0.1/6</f>
        <v>0.3825</v>
      </c>
      <c r="H9" s="9">
        <f>'Current Mix'!$C$9*0.1/6</f>
        <v>0.3825</v>
      </c>
      <c r="I9" s="9">
        <f>'Current Mix'!$C$9*0.2/5</f>
        <v>0.918</v>
      </c>
      <c r="J9" s="9">
        <f>'Current Mix'!$C$9*0.2/5</f>
        <v>0.918</v>
      </c>
      <c r="K9" s="9">
        <f>'Current Mix'!$C$9*0.2/5</f>
        <v>0.918</v>
      </c>
      <c r="L9" s="9">
        <f>'Current Mix'!$C$9*0.2/5</f>
        <v>0.918</v>
      </c>
      <c r="M9" s="9">
        <f>'Current Mix'!$C$9*0.2/5</f>
        <v>0.918</v>
      </c>
      <c r="N9" s="9">
        <f>'Current Mix'!$C$9*0.7/10</f>
        <v>1.6065</v>
      </c>
      <c r="O9" s="9">
        <f>'Current Mix'!$C$9*0.7/10</f>
        <v>1.6065</v>
      </c>
      <c r="P9" s="9">
        <f>'Current Mix'!$C$9*0.7/10</f>
        <v>1.6065</v>
      </c>
      <c r="Q9" s="9">
        <f>'Current Mix'!$C$9*0.7/10</f>
        <v>1.6065</v>
      </c>
      <c r="R9" s="9">
        <f>'Current Mix'!$C$9*0.7/10</f>
        <v>1.6065</v>
      </c>
      <c r="S9" s="9">
        <f>'Current Mix'!$C$9*0.7/10</f>
        <v>1.6065</v>
      </c>
      <c r="T9" s="9">
        <f>'Current Mix'!$C$9*0.7/10</f>
        <v>1.6065</v>
      </c>
      <c r="U9" s="9">
        <f>'Current Mix'!$C$9*0.7/10</f>
        <v>1.6065</v>
      </c>
      <c r="V9" s="9">
        <f>'Current Mix'!$C$9*0.7/10</f>
        <v>1.6065</v>
      </c>
      <c r="W9" s="9">
        <f>'Current Mix'!$C$9*0.7/10</f>
        <v>1.6065</v>
      </c>
    </row>
    <row r="10">
      <c r="A10" s="2" t="s">
        <v>16</v>
      </c>
      <c r="B10" s="2" t="s">
        <v>14</v>
      </c>
      <c r="C10" s="9">
        <f>'Current Mix'!$C$10*0.2/6</f>
        <v>0.405</v>
      </c>
      <c r="D10" s="9">
        <f>'Current Mix'!$C$10*0.2/6</f>
        <v>0.405</v>
      </c>
      <c r="E10" s="9">
        <f>'Current Mix'!$C$10*0.2/6</f>
        <v>0.405</v>
      </c>
      <c r="F10" s="9">
        <f>'Current Mix'!$C$10*0.2/6</f>
        <v>0.405</v>
      </c>
      <c r="G10" s="9">
        <f>'Current Mix'!$C$10*0.2/6</f>
        <v>0.405</v>
      </c>
      <c r="H10" s="9">
        <f>'Current Mix'!$C$10*0.2/6</f>
        <v>0.405</v>
      </c>
      <c r="I10" s="9">
        <f>'Current Mix'!$C$10*0.4/5</f>
        <v>0.972</v>
      </c>
      <c r="J10" s="9">
        <f>'Current Mix'!$C$10*0.4/5</f>
        <v>0.972</v>
      </c>
      <c r="K10" s="9">
        <f>'Current Mix'!$C$10*0.4/5</f>
        <v>0.972</v>
      </c>
      <c r="L10" s="9">
        <f>'Current Mix'!$C$10*0.4/5</f>
        <v>0.972</v>
      </c>
      <c r="M10" s="9">
        <f>'Current Mix'!$C$10*0.4/5</f>
        <v>0.972</v>
      </c>
      <c r="N10" s="9">
        <f>'Current Mix'!$C$10*0.4/10</f>
        <v>0.486</v>
      </c>
      <c r="O10" s="9">
        <f>'Current Mix'!$C$10*0.4/10</f>
        <v>0.486</v>
      </c>
      <c r="P10" s="9">
        <f>'Current Mix'!$C$10*0.4/10</f>
        <v>0.486</v>
      </c>
      <c r="Q10" s="9">
        <f>'Current Mix'!$C$10*0.4/10</f>
        <v>0.486</v>
      </c>
      <c r="R10" s="9">
        <f>'Current Mix'!$C$10*0.4/10</f>
        <v>0.486</v>
      </c>
      <c r="S10" s="9">
        <f>'Current Mix'!$C$10*0.4/10</f>
        <v>0.486</v>
      </c>
      <c r="T10" s="9">
        <f>'Current Mix'!$C$10*0.4/10</f>
        <v>0.486</v>
      </c>
      <c r="U10" s="9">
        <f>'Current Mix'!$C$10*0.4/10</f>
        <v>0.486</v>
      </c>
      <c r="V10" s="9">
        <f>'Current Mix'!$C$10*0.4/10</f>
        <v>0.486</v>
      </c>
      <c r="W10" s="9">
        <f>'Current Mix'!$C$10*0.4/10</f>
        <v>0.486</v>
      </c>
    </row>
    <row r="11">
      <c r="A11" s="2" t="s">
        <v>16</v>
      </c>
      <c r="B11" s="2" t="s">
        <v>15</v>
      </c>
      <c r="C11" s="9">
        <f>'Current Mix'!$C$11*0.2/6</f>
        <v>0.6791666667</v>
      </c>
      <c r="D11" s="9">
        <f>'Current Mix'!$C$11*0.2/6</f>
        <v>0.6791666667</v>
      </c>
      <c r="E11" s="9">
        <f>'Current Mix'!$C$11*0.2/6</f>
        <v>0.6791666667</v>
      </c>
      <c r="F11" s="9">
        <f>'Current Mix'!$C$11*0.2/6</f>
        <v>0.6791666667</v>
      </c>
      <c r="G11" s="9">
        <f>'Current Mix'!$C$11*0.2/6</f>
        <v>0.6791666667</v>
      </c>
      <c r="H11" s="9">
        <f>'Current Mix'!$C$11*0.2/6</f>
        <v>0.6791666667</v>
      </c>
      <c r="I11" s="9">
        <f>'Current Mix'!$C$11*0.4/5</f>
        <v>1.63</v>
      </c>
      <c r="J11" s="9">
        <f>'Current Mix'!$C$11*0.4/5</f>
        <v>1.63</v>
      </c>
      <c r="K11" s="9">
        <f>'Current Mix'!$C$11*0.4/5</f>
        <v>1.63</v>
      </c>
      <c r="L11" s="9">
        <f>'Current Mix'!$C$11*0.4/5</f>
        <v>1.63</v>
      </c>
      <c r="M11" s="9">
        <f>'Current Mix'!$C$11*0.4/5</f>
        <v>1.63</v>
      </c>
      <c r="N11" s="9">
        <f>'Current Mix'!$C$11*0.4/10</f>
        <v>0.815</v>
      </c>
      <c r="O11" s="9">
        <f>'Current Mix'!$C$11*0.4/10</f>
        <v>0.815</v>
      </c>
      <c r="P11" s="9">
        <f>'Current Mix'!$C$11*0.4/10</f>
        <v>0.815</v>
      </c>
      <c r="Q11" s="9">
        <f>'Current Mix'!$C$11*0.4/10</f>
        <v>0.815</v>
      </c>
      <c r="R11" s="9">
        <f>'Current Mix'!$C$11*0.4/10</f>
        <v>0.815</v>
      </c>
      <c r="S11" s="9">
        <f>'Current Mix'!$C$11*0.4/10</f>
        <v>0.815</v>
      </c>
      <c r="T11" s="9">
        <f>'Current Mix'!$C$11*0.4/10</f>
        <v>0.815</v>
      </c>
      <c r="U11" s="9">
        <f>'Current Mix'!$C$11*0.4/10</f>
        <v>0.815</v>
      </c>
      <c r="V11" s="9">
        <f>'Current Mix'!$C$11*0.4/10</f>
        <v>0.815</v>
      </c>
      <c r="W11" s="9">
        <f>'Current Mix'!$C$11*0.4/10</f>
        <v>0.815</v>
      </c>
    </row>
    <row r="12">
      <c r="A12" s="2" t="s">
        <v>17</v>
      </c>
      <c r="B12" s="2" t="s">
        <v>11</v>
      </c>
      <c r="C12" s="9">
        <f>'Current Mix'!$C$12*0.5/6</f>
        <v>3.868333333</v>
      </c>
      <c r="D12" s="9">
        <f>'Current Mix'!$C$12*0.5/6</f>
        <v>3.868333333</v>
      </c>
      <c r="E12" s="9">
        <f>'Current Mix'!$C$12*0.5/6</f>
        <v>3.868333333</v>
      </c>
      <c r="F12" s="9">
        <f>'Current Mix'!$C$12*0.5/6</f>
        <v>3.868333333</v>
      </c>
      <c r="G12" s="9">
        <f>'Current Mix'!$C$12*0.5/6</f>
        <v>3.868333333</v>
      </c>
      <c r="H12" s="9">
        <f>'Current Mix'!$C$12*0.5/6</f>
        <v>3.868333333</v>
      </c>
      <c r="I12" s="9">
        <f>'Current Mix'!C12*0.3/5</f>
        <v>2.7852</v>
      </c>
      <c r="J12" s="9">
        <f>'Current Mix'!C12*0.3/5</f>
        <v>2.7852</v>
      </c>
      <c r="K12" s="9">
        <f>'Current Mix'!C12*0.3/5</f>
        <v>2.7852</v>
      </c>
      <c r="L12" s="9">
        <f>'Current Mix'!C12*0.3/5</f>
        <v>2.7852</v>
      </c>
      <c r="M12" s="9">
        <f>'Current Mix'!C12*0.3/5</f>
        <v>2.7852</v>
      </c>
      <c r="N12" s="9">
        <f>'Current Mix'!C12*0.2/10</f>
        <v>0.9284</v>
      </c>
      <c r="O12" s="9">
        <f>'Current Mix'!C12*0.2/10</f>
        <v>0.9284</v>
      </c>
      <c r="P12" s="9">
        <f>'Current Mix'!C12*0.2/10</f>
        <v>0.9284</v>
      </c>
      <c r="Q12" s="9">
        <f>'Current Mix'!C12*0.2/10</f>
        <v>0.9284</v>
      </c>
      <c r="R12" s="9">
        <f>'Current Mix'!C12*0.2/10</f>
        <v>0.9284</v>
      </c>
      <c r="S12" s="9">
        <f>'Current Mix'!C12*0.2/10</f>
        <v>0.9284</v>
      </c>
      <c r="T12" s="9">
        <f>'Current Mix'!C12*0.2/10</f>
        <v>0.9284</v>
      </c>
      <c r="U12" s="9">
        <f>'Current Mix'!C12*0.2/10</f>
        <v>0.9284</v>
      </c>
      <c r="V12" s="9">
        <f>'Current Mix'!C12*0.2/10</f>
        <v>0.9284</v>
      </c>
      <c r="W12" s="9">
        <f>'Current Mix'!C12*0.2/10</f>
        <v>0.9284</v>
      </c>
    </row>
    <row r="13">
      <c r="A13" s="2" t="s">
        <v>17</v>
      </c>
      <c r="B13" s="2" t="s">
        <v>12</v>
      </c>
      <c r="C13" s="9">
        <f>'Current Mix'!C13*0.2/6</f>
        <v>7.82</v>
      </c>
      <c r="D13" s="9">
        <f>'Current Mix'!C13*0.2/6</f>
        <v>7.82</v>
      </c>
      <c r="E13" s="9">
        <f>'Current Mix'!C13*0.2/6</f>
        <v>7.82</v>
      </c>
      <c r="F13" s="9">
        <f>'Current Mix'!C13*0.2/6</f>
        <v>7.82</v>
      </c>
      <c r="G13" s="9">
        <f>'Current Mix'!C13*0.2/6</f>
        <v>7.82</v>
      </c>
      <c r="H13" s="9">
        <f>'Current Mix'!C13*0.2/6</f>
        <v>7.82</v>
      </c>
      <c r="I13" s="9">
        <f>'Current Mix'!C13*0.3/5</f>
        <v>14.076</v>
      </c>
      <c r="J13" s="9">
        <f>'Current Mix'!C13*0.3/5</f>
        <v>14.076</v>
      </c>
      <c r="K13" s="9">
        <f>'Current Mix'!C13*0.3/5</f>
        <v>14.076</v>
      </c>
      <c r="L13" s="9">
        <f>'Current Mix'!C13*0.3/5</f>
        <v>14.076</v>
      </c>
      <c r="M13" s="9">
        <f>'Current Mix'!C13*0.3/5</f>
        <v>14.076</v>
      </c>
      <c r="N13" s="9">
        <f>'Current Mix'!C13*0.5/10</f>
        <v>11.73</v>
      </c>
      <c r="O13" s="9">
        <f>'Current Mix'!C13*0.5/10</f>
        <v>11.73</v>
      </c>
      <c r="P13" s="9">
        <f>'Current Mix'!C13*0.5/10</f>
        <v>11.73</v>
      </c>
      <c r="Q13" s="9">
        <f>'Current Mix'!C13*0.5/10</f>
        <v>11.73</v>
      </c>
      <c r="R13" s="9">
        <f>'Current Mix'!C13*0.5/10</f>
        <v>11.73</v>
      </c>
      <c r="S13" s="9">
        <f>'Current Mix'!C13*0.5/10</f>
        <v>11.73</v>
      </c>
      <c r="T13" s="9">
        <f>'Current Mix'!C13*0.5/10</f>
        <v>11.73</v>
      </c>
      <c r="U13" s="9">
        <f>'Current Mix'!C13*0.5/10</f>
        <v>11.73</v>
      </c>
      <c r="V13" s="9">
        <f>'Current Mix'!C13*0.5/10</f>
        <v>11.73</v>
      </c>
      <c r="W13" s="9">
        <f>'Current Mix'!C13*0.5/10</f>
        <v>11.73</v>
      </c>
    </row>
    <row r="14">
      <c r="A14" s="2" t="s">
        <v>17</v>
      </c>
      <c r="B14" s="2" t="s">
        <v>13</v>
      </c>
      <c r="C14" s="9">
        <f>'Current Mix'!C14*0.1/6</f>
        <v>0.2125</v>
      </c>
      <c r="D14" s="9">
        <f>'Current Mix'!C14*0.1/6</f>
        <v>0.2125</v>
      </c>
      <c r="E14" s="9">
        <f>'Current Mix'!C14*0.1/6</f>
        <v>0.2125</v>
      </c>
      <c r="F14" s="9">
        <f>'Current Mix'!C14*0.1/6</f>
        <v>0.2125</v>
      </c>
      <c r="G14" s="9">
        <f>'Current Mix'!C14*0.1/6</f>
        <v>0.2125</v>
      </c>
      <c r="H14" s="9">
        <f>'Current Mix'!C14*0.1/6</f>
        <v>0.2125</v>
      </c>
      <c r="I14" s="9">
        <f>'Current Mix'!C14*0.2/5</f>
        <v>0.51</v>
      </c>
      <c r="J14" s="9">
        <f>'Current Mix'!C14*0.2/5</f>
        <v>0.51</v>
      </c>
      <c r="K14" s="9">
        <f>'Current Mix'!C14*0.2/5</f>
        <v>0.51</v>
      </c>
      <c r="L14" s="9">
        <f>'Current Mix'!C14*0.2/5</f>
        <v>0.51</v>
      </c>
      <c r="M14" s="9">
        <f>'Current Mix'!C14*0.2/5</f>
        <v>0.51</v>
      </c>
      <c r="N14" s="9">
        <f>'Current Mix'!C14*0.7/10</f>
        <v>0.8925</v>
      </c>
      <c r="O14" s="9">
        <f>'Current Mix'!C14*0.7/10</f>
        <v>0.8925</v>
      </c>
      <c r="P14" s="9">
        <f>'Current Mix'!C14*0.7/10</f>
        <v>0.8925</v>
      </c>
      <c r="Q14" s="9">
        <f>'Current Mix'!C14*0.7/10</f>
        <v>0.8925</v>
      </c>
      <c r="R14" s="9">
        <f>'Current Mix'!C14*0.7/10</f>
        <v>0.8925</v>
      </c>
      <c r="S14" s="9">
        <f>'Current Mix'!C14*0.7/10</f>
        <v>0.8925</v>
      </c>
      <c r="T14" s="9">
        <f>'Current Mix'!C14*0.7/10</f>
        <v>0.8925</v>
      </c>
      <c r="U14" s="9">
        <f>'Current Mix'!C14*0.7/10</f>
        <v>0.8925</v>
      </c>
      <c r="V14" s="9">
        <f>'Current Mix'!C14*0.7/10</f>
        <v>0.8925</v>
      </c>
      <c r="W14" s="9">
        <f>'Current Mix'!C14*0.7/10</f>
        <v>0.8925</v>
      </c>
    </row>
    <row r="15">
      <c r="A15" s="2" t="s">
        <v>17</v>
      </c>
      <c r="B15" s="2" t="s">
        <v>14</v>
      </c>
      <c r="C15" s="9">
        <f>'Current Mix'!C15*0.2/6</f>
        <v>1.485</v>
      </c>
      <c r="D15" s="9">
        <f>'Current Mix'!C15*0.2/6</f>
        <v>1.485</v>
      </c>
      <c r="E15" s="9">
        <f>'Current Mix'!C15*0.2/6</f>
        <v>1.485</v>
      </c>
      <c r="F15" s="9">
        <f>'Current Mix'!C15*0.2/6</f>
        <v>1.485</v>
      </c>
      <c r="G15" s="9">
        <f>'Current Mix'!C15*0.2/6</f>
        <v>1.485</v>
      </c>
      <c r="H15" s="9">
        <f>'Current Mix'!C15*0.2/6</f>
        <v>1.485</v>
      </c>
      <c r="I15" s="9">
        <f>'Current Mix'!C15*0.4/5</f>
        <v>3.564</v>
      </c>
      <c r="J15" s="9">
        <f>'Current Mix'!C15*0.4/5</f>
        <v>3.564</v>
      </c>
      <c r="K15" s="9">
        <f>'Current Mix'!C15*0.4/5</f>
        <v>3.564</v>
      </c>
      <c r="L15" s="9">
        <f>'Current Mix'!C15*0.4/5</f>
        <v>3.564</v>
      </c>
      <c r="M15" s="9">
        <f>'Current Mix'!C15*0.4/5</f>
        <v>3.564</v>
      </c>
      <c r="N15" s="9">
        <f>'Current Mix'!C15*0.4/10</f>
        <v>1.782</v>
      </c>
      <c r="O15" s="9">
        <f>'Current Mix'!C15*0.4/10</f>
        <v>1.782</v>
      </c>
      <c r="P15" s="9">
        <f>'Current Mix'!C15*0.4/10</f>
        <v>1.782</v>
      </c>
      <c r="Q15" s="9">
        <f>'Current Mix'!C15*0.4/10</f>
        <v>1.782</v>
      </c>
      <c r="R15" s="9">
        <f>'Current Mix'!C15*0.4/10</f>
        <v>1.782</v>
      </c>
      <c r="S15" s="9">
        <f>'Current Mix'!C15*0.4/10</f>
        <v>1.782</v>
      </c>
      <c r="T15" s="9">
        <f>'Current Mix'!C15*0.4/10</f>
        <v>1.782</v>
      </c>
      <c r="U15" s="9">
        <f>'Current Mix'!C15*0.4/10</f>
        <v>1.782</v>
      </c>
      <c r="V15" s="9">
        <f>'Current Mix'!C15*0.4/10</f>
        <v>1.782</v>
      </c>
      <c r="W15" s="9">
        <f>'Current Mix'!C15*0.4/10</f>
        <v>1.782</v>
      </c>
    </row>
    <row r="16">
      <c r="A16" s="2" t="s">
        <v>17</v>
      </c>
      <c r="B16" s="2" t="s">
        <v>15</v>
      </c>
      <c r="C16" s="9">
        <f>'Current Mix'!C16*0.2/6</f>
        <v>1.765833333</v>
      </c>
      <c r="D16" s="9">
        <f>'Current Mix'!C16*0.2/6</f>
        <v>1.765833333</v>
      </c>
      <c r="E16" s="9">
        <f>'Current Mix'!C16*0.2/6</f>
        <v>1.765833333</v>
      </c>
      <c r="F16" s="9">
        <f>'Current Mix'!C16*0.2/6</f>
        <v>1.765833333</v>
      </c>
      <c r="G16" s="9">
        <f>'Current Mix'!C16*0.2/6</f>
        <v>1.765833333</v>
      </c>
      <c r="H16" s="9">
        <f>'Current Mix'!C16*0.2/6</f>
        <v>1.765833333</v>
      </c>
      <c r="I16" s="9">
        <f>'Current Mix'!C16*0.4/5</f>
        <v>4.238</v>
      </c>
      <c r="J16" s="9">
        <f>'Current Mix'!C16*0.4/5</f>
        <v>4.238</v>
      </c>
      <c r="K16" s="9">
        <f>'Current Mix'!C16*0.4/5</f>
        <v>4.238</v>
      </c>
      <c r="L16" s="9">
        <f>'Current Mix'!C16*0.4/5</f>
        <v>4.238</v>
      </c>
      <c r="M16" s="9">
        <f>'Current Mix'!C16*0.4/5</f>
        <v>4.238</v>
      </c>
      <c r="N16" s="9">
        <f>'Current Mix'!C16*0.4/10</f>
        <v>2.119</v>
      </c>
      <c r="O16" s="9">
        <f>'Current Mix'!C16*0.4/10</f>
        <v>2.119</v>
      </c>
      <c r="P16" s="9">
        <f>'Current Mix'!C16*0.4/10</f>
        <v>2.119</v>
      </c>
      <c r="Q16" s="9">
        <f>'Current Mix'!C16*0.4/10</f>
        <v>2.119</v>
      </c>
      <c r="R16" s="9">
        <f>'Current Mix'!C16*0.4/10</f>
        <v>2.119</v>
      </c>
      <c r="S16" s="9">
        <f>'Current Mix'!C16*0.4/10</f>
        <v>2.119</v>
      </c>
      <c r="T16" s="9">
        <f>'Current Mix'!C16*0.4/10</f>
        <v>2.119</v>
      </c>
      <c r="U16" s="9">
        <f>'Current Mix'!C16*0.4/10</f>
        <v>2.119</v>
      </c>
      <c r="V16" s="9">
        <f>'Current Mix'!C16*0.4/10</f>
        <v>2.119</v>
      </c>
      <c r="W16" s="9">
        <f>'Current Mix'!C16*0.4/10</f>
        <v>2.119</v>
      </c>
    </row>
    <row r="17">
      <c r="A17" s="2" t="s">
        <v>18</v>
      </c>
      <c r="B17" s="2" t="s">
        <v>11</v>
      </c>
      <c r="C17" s="9">
        <f>'Current Mix'!C17*0.5/6</f>
        <v>1.055</v>
      </c>
      <c r="D17" s="9">
        <f>'Current Mix'!C17*0.5/6</f>
        <v>1.055</v>
      </c>
      <c r="E17" s="9">
        <f>'Current Mix'!C17*0.5/6</f>
        <v>1.055</v>
      </c>
      <c r="F17" s="9">
        <f>'Current Mix'!C17*0.5/6</f>
        <v>1.055</v>
      </c>
      <c r="G17" s="9">
        <f>'Current Mix'!C17*0.5/6</f>
        <v>1.055</v>
      </c>
      <c r="H17" s="9">
        <f>'Current Mix'!C17*0.5/6</f>
        <v>1.055</v>
      </c>
      <c r="I17" s="9">
        <f>'Current Mix'!C17*0.3/5</f>
        <v>0.7596</v>
      </c>
      <c r="J17" s="9">
        <f>'Current Mix'!C17*0.3/5</f>
        <v>0.7596</v>
      </c>
      <c r="K17" s="9">
        <f>'Current Mix'!C17*0.3/5</f>
        <v>0.7596</v>
      </c>
      <c r="L17" s="9">
        <f>'Current Mix'!C17*0.3/5</f>
        <v>0.7596</v>
      </c>
      <c r="M17" s="9">
        <f>'Current Mix'!C17*0.3/5</f>
        <v>0.7596</v>
      </c>
      <c r="N17" s="9">
        <f>'Current Mix'!C17*0.2/10</f>
        <v>0.2532</v>
      </c>
      <c r="O17" s="9">
        <f>'Current Mix'!C17*0.2/10</f>
        <v>0.2532</v>
      </c>
      <c r="P17" s="9">
        <f>'Current Mix'!C17*0.2/10</f>
        <v>0.2532</v>
      </c>
      <c r="Q17" s="9">
        <f>'Current Mix'!C17*0.2/10</f>
        <v>0.2532</v>
      </c>
      <c r="R17" s="9">
        <f>'Current Mix'!C17*0.2/10</f>
        <v>0.2532</v>
      </c>
      <c r="S17" s="9">
        <f>'Current Mix'!C17*0.2/10</f>
        <v>0.2532</v>
      </c>
      <c r="T17" s="9">
        <f>'Current Mix'!C17*0.2/10</f>
        <v>0.2532</v>
      </c>
      <c r="U17" s="9">
        <f>'Current Mix'!C17*0.2/10</f>
        <v>0.2532</v>
      </c>
      <c r="V17" s="9">
        <f>'Current Mix'!C17*0.2/10</f>
        <v>0.2532</v>
      </c>
      <c r="W17" s="9">
        <f>'Current Mix'!C17*0.2/10</f>
        <v>0.2532</v>
      </c>
    </row>
    <row r="18">
      <c r="A18" s="2" t="s">
        <v>18</v>
      </c>
      <c r="B18" s="2" t="s">
        <v>12</v>
      </c>
      <c r="C18" s="9">
        <f>'Current Mix'!C18*0.2/6</f>
        <v>4.14</v>
      </c>
      <c r="D18" s="9">
        <f>'Current Mix'!C18*0.2/6</f>
        <v>4.14</v>
      </c>
      <c r="E18" s="9">
        <f>'Current Mix'!C18*0.2/6</f>
        <v>4.14</v>
      </c>
      <c r="F18" s="9">
        <f>'Current Mix'!C18*0.2/6</f>
        <v>4.14</v>
      </c>
      <c r="G18" s="9">
        <f>'Current Mix'!C18*0.2/6</f>
        <v>4.14</v>
      </c>
      <c r="H18" s="9">
        <f>'Current Mix'!C18*0.2/6</f>
        <v>4.14</v>
      </c>
      <c r="I18" s="9">
        <f>'Current Mix'!C18*0.3/5</f>
        <v>7.452</v>
      </c>
      <c r="J18" s="9">
        <f>'Current Mix'!C18*0.3/5</f>
        <v>7.452</v>
      </c>
      <c r="K18" s="9">
        <f>'Current Mix'!C18*0.3/5</f>
        <v>7.452</v>
      </c>
      <c r="L18" s="9">
        <f>'Current Mix'!C18*0.3/5</f>
        <v>7.452</v>
      </c>
      <c r="M18" s="9">
        <f>'Current Mix'!C18*0.3/5</f>
        <v>7.452</v>
      </c>
      <c r="N18" s="9">
        <f>'Current Mix'!C18*0.5/10</f>
        <v>6.21</v>
      </c>
      <c r="O18" s="9">
        <f>'Current Mix'!C18*0.5/10</f>
        <v>6.21</v>
      </c>
      <c r="P18" s="9">
        <f>'Current Mix'!C18*0.5/10</f>
        <v>6.21</v>
      </c>
      <c r="Q18" s="9">
        <f>'Current Mix'!C18*0.5/10</f>
        <v>6.21</v>
      </c>
      <c r="R18" s="9">
        <f>'Current Mix'!C18*0.5/10</f>
        <v>6.21</v>
      </c>
      <c r="S18" s="9">
        <f>'Current Mix'!C18*0.5/10</f>
        <v>6.21</v>
      </c>
      <c r="T18" s="9">
        <f>'Current Mix'!C18*0.5/10</f>
        <v>6.21</v>
      </c>
      <c r="U18" s="9">
        <f>'Current Mix'!C18*0.5/10</f>
        <v>6.21</v>
      </c>
      <c r="V18" s="9">
        <f>'Current Mix'!C18*0.5/10</f>
        <v>6.21</v>
      </c>
      <c r="W18" s="9">
        <f>'Current Mix'!C18*0.5/10</f>
        <v>6.21</v>
      </c>
    </row>
    <row r="19">
      <c r="A19" s="2" t="s">
        <v>18</v>
      </c>
      <c r="B19" s="2" t="s">
        <v>13</v>
      </c>
      <c r="C19" s="9">
        <f>'Current Mix'!C19*0.1/6</f>
        <v>0.1275</v>
      </c>
      <c r="D19" s="9">
        <f>'Current Mix'!C19*0.1/6</f>
        <v>0.1275</v>
      </c>
      <c r="E19" s="9">
        <f>'Current Mix'!C19*0.1/6</f>
        <v>0.1275</v>
      </c>
      <c r="F19" s="9">
        <f>'Current Mix'!C19*0.1/6</f>
        <v>0.1275</v>
      </c>
      <c r="G19" s="9">
        <f>'Current Mix'!C19*0.1/6</f>
        <v>0.1275</v>
      </c>
      <c r="H19" s="9">
        <f>'Current Mix'!C19*0.1/6</f>
        <v>0.1275</v>
      </c>
      <c r="I19" s="9">
        <f>'Current Mix'!C19*0.2/5</f>
        <v>0.306</v>
      </c>
      <c r="J19" s="9">
        <f>'Current Mix'!C19*0.2/5</f>
        <v>0.306</v>
      </c>
      <c r="K19" s="9">
        <f>'Current Mix'!C19*0.2/5</f>
        <v>0.306</v>
      </c>
      <c r="L19" s="9">
        <f>'Current Mix'!C19*0.2/5</f>
        <v>0.306</v>
      </c>
      <c r="M19" s="9">
        <f>'Current Mix'!C19*0.2/5</f>
        <v>0.306</v>
      </c>
      <c r="N19" s="9">
        <f>'Current Mix'!C19*0.7/10</f>
        <v>0.5355</v>
      </c>
      <c r="O19" s="9">
        <f>'Current Mix'!C19*0.7/10</f>
        <v>0.5355</v>
      </c>
      <c r="P19" s="9">
        <f>'Current Mix'!C19*0.7/10</f>
        <v>0.5355</v>
      </c>
      <c r="Q19" s="9">
        <f>'Current Mix'!C19*0.7/10</f>
        <v>0.5355</v>
      </c>
      <c r="R19" s="9">
        <f>'Current Mix'!C19*0.7/10</f>
        <v>0.5355</v>
      </c>
      <c r="S19" s="9">
        <f>'Current Mix'!C19*0.7/10</f>
        <v>0.5355</v>
      </c>
      <c r="T19" s="9">
        <f>'Current Mix'!C19*0.7/10</f>
        <v>0.5355</v>
      </c>
      <c r="U19" s="9">
        <f>'Current Mix'!C19*0.7/10</f>
        <v>0.5355</v>
      </c>
      <c r="V19" s="9">
        <f>'Current Mix'!C19*0.7/10</f>
        <v>0.5355</v>
      </c>
      <c r="W19" s="9">
        <f>'Current Mix'!C19*0.7/10</f>
        <v>0.5355</v>
      </c>
    </row>
    <row r="20">
      <c r="A20" s="2" t="s">
        <v>18</v>
      </c>
      <c r="B20" s="2" t="s">
        <v>14</v>
      </c>
      <c r="C20" s="9">
        <f>'Current Mix'!C20*0.2/6</f>
        <v>0.675</v>
      </c>
      <c r="D20" s="9">
        <f>'Current Mix'!C20*0.2/6</f>
        <v>0.675</v>
      </c>
      <c r="E20" s="9">
        <f>'Current Mix'!C20*0.2/6</f>
        <v>0.675</v>
      </c>
      <c r="F20" s="9">
        <f>'Current Mix'!C20*0.2/6</f>
        <v>0.675</v>
      </c>
      <c r="G20" s="9">
        <f>'Current Mix'!C20*0.2/6</f>
        <v>0.675</v>
      </c>
      <c r="H20" s="9">
        <f>'Current Mix'!C20*0.2/6</f>
        <v>0.675</v>
      </c>
      <c r="I20" s="9">
        <f>'Current Mix'!C20*0.4/5</f>
        <v>1.62</v>
      </c>
      <c r="J20" s="9">
        <f>'Current Mix'!C20*0.4/5</f>
        <v>1.62</v>
      </c>
      <c r="K20" s="9">
        <f>'Current Mix'!C20*0.4/5</f>
        <v>1.62</v>
      </c>
      <c r="L20" s="9">
        <f>'Current Mix'!C20*0.4/5</f>
        <v>1.62</v>
      </c>
      <c r="M20" s="9">
        <f>'Current Mix'!C20*0.4/5</f>
        <v>1.62</v>
      </c>
      <c r="N20" s="9">
        <f>'Current Mix'!C20*0.4/10</f>
        <v>0.81</v>
      </c>
      <c r="O20" s="9">
        <f>'Current Mix'!C20*0.4/10</f>
        <v>0.81</v>
      </c>
      <c r="P20" s="9">
        <f>'Current Mix'!C20*0.4/10</f>
        <v>0.81</v>
      </c>
      <c r="Q20" s="9">
        <f>'Current Mix'!C20*0.4/10</f>
        <v>0.81</v>
      </c>
      <c r="R20" s="9">
        <f>'Current Mix'!C20*0.4/10</f>
        <v>0.81</v>
      </c>
      <c r="S20" s="9">
        <f>'Current Mix'!C20*0.4/10</f>
        <v>0.81</v>
      </c>
      <c r="T20" s="9">
        <f>'Current Mix'!C20*0.4/10</f>
        <v>0.81</v>
      </c>
      <c r="U20" s="9">
        <f>'Current Mix'!C20*0.4/10</f>
        <v>0.81</v>
      </c>
      <c r="V20" s="9">
        <f>'Current Mix'!C20*0.4/10</f>
        <v>0.81</v>
      </c>
      <c r="W20" s="9">
        <f>'Current Mix'!C20*0.4/10</f>
        <v>0.81</v>
      </c>
    </row>
    <row r="21" ht="15.75" customHeight="1">
      <c r="A21" s="2" t="s">
        <v>18</v>
      </c>
      <c r="B21" s="2" t="s">
        <v>15</v>
      </c>
      <c r="C21" s="9">
        <f>'Current Mix'!C21*0.2/6</f>
        <v>2.0375</v>
      </c>
      <c r="D21" s="9">
        <f>'Current Mix'!C21*0.2/6</f>
        <v>2.0375</v>
      </c>
      <c r="E21" s="9">
        <f>'Current Mix'!C21*0.2/6</f>
        <v>2.0375</v>
      </c>
      <c r="F21" s="9">
        <f>'Current Mix'!C21*0.2/6</f>
        <v>2.0375</v>
      </c>
      <c r="G21" s="9">
        <f>'Current Mix'!C21*0.2/6</f>
        <v>2.0375</v>
      </c>
      <c r="H21" s="9">
        <f>'Current Mix'!C21*0.2/6</f>
        <v>2.0375</v>
      </c>
      <c r="I21" s="9">
        <f>'Current Mix'!C21*0.4/5</f>
        <v>4.89</v>
      </c>
      <c r="J21" s="9">
        <f>'Current Mix'!C21*0.4/5</f>
        <v>4.89</v>
      </c>
      <c r="K21" s="9">
        <f>'Current Mix'!C21*0.4/5</f>
        <v>4.89</v>
      </c>
      <c r="L21" s="9">
        <f>'Current Mix'!C21*0.4/5</f>
        <v>4.89</v>
      </c>
      <c r="M21" s="9">
        <f>'Current Mix'!C21*0.4/5</f>
        <v>4.89</v>
      </c>
      <c r="N21" s="9">
        <f>'Current Mix'!C21*0.4/10</f>
        <v>2.445</v>
      </c>
      <c r="O21" s="9">
        <f>'Current Mix'!C21*0.4/10</f>
        <v>2.445</v>
      </c>
      <c r="P21" s="9">
        <f>'Current Mix'!C21*0.4/10</f>
        <v>2.445</v>
      </c>
      <c r="Q21" s="9">
        <f>'Current Mix'!C21*0.4/10</f>
        <v>2.445</v>
      </c>
      <c r="R21" s="9">
        <f>'Current Mix'!C21*0.4/10</f>
        <v>2.445</v>
      </c>
      <c r="S21" s="9">
        <f>'Current Mix'!C21*0.4/10</f>
        <v>2.445</v>
      </c>
      <c r="T21" s="9">
        <f>'Current Mix'!C21*0.4/10</f>
        <v>2.445</v>
      </c>
      <c r="U21" s="9">
        <f>'Current Mix'!C21*0.4/10</f>
        <v>2.445</v>
      </c>
      <c r="V21" s="9">
        <f>'Current Mix'!C21*0.4/10</f>
        <v>2.445</v>
      </c>
      <c r="W21" s="9">
        <f>'Current Mix'!C21*0.4/10</f>
        <v>2.445</v>
      </c>
    </row>
    <row r="22" ht="15.75" customHeight="1"/>
    <row r="23" ht="15.75" customHeight="1">
      <c r="A23" s="10" t="s">
        <v>21</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W$21">
    <sortState ref="A1:W21">
      <sortCondition ref="A1:A21"/>
    </sortState>
  </autoFilter>
  <mergeCells count="1">
    <mergeCell ref="A23:M31"/>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6.71"/>
    <col customWidth="1" min="3" max="3" width="10.71"/>
    <col customWidth="1" min="4" max="26" width="8.71"/>
  </cols>
  <sheetData>
    <row r="1">
      <c r="A1" s="2" t="s">
        <v>4</v>
      </c>
      <c r="B1" s="2" t="s">
        <v>5</v>
      </c>
      <c r="C1" s="2">
        <v>2025.0</v>
      </c>
      <c r="D1" s="2">
        <v>2026.0</v>
      </c>
      <c r="E1" s="2">
        <v>2027.0</v>
      </c>
      <c r="F1" s="2">
        <v>2028.0</v>
      </c>
      <c r="G1" s="2">
        <v>2029.0</v>
      </c>
      <c r="H1" s="2">
        <v>2030.0</v>
      </c>
      <c r="I1" s="2">
        <v>2031.0</v>
      </c>
      <c r="J1" s="2">
        <v>2032.0</v>
      </c>
      <c r="K1" s="2">
        <v>2033.0</v>
      </c>
      <c r="L1" s="2">
        <v>2034.0</v>
      </c>
      <c r="M1" s="2">
        <v>2035.0</v>
      </c>
      <c r="N1" s="2">
        <v>2036.0</v>
      </c>
      <c r="O1" s="2">
        <v>2037.0</v>
      </c>
      <c r="P1" s="2">
        <v>2038.0</v>
      </c>
      <c r="Q1" s="2">
        <v>2039.0</v>
      </c>
      <c r="R1" s="2">
        <v>2040.0</v>
      </c>
      <c r="S1" s="2">
        <v>2041.0</v>
      </c>
      <c r="T1" s="2">
        <v>2042.0</v>
      </c>
      <c r="U1" s="2">
        <v>2043.0</v>
      </c>
      <c r="V1" s="2">
        <v>2044.0</v>
      </c>
      <c r="W1" s="2">
        <v>2045.0</v>
      </c>
    </row>
    <row r="2">
      <c r="A2" s="2" t="s">
        <v>10</v>
      </c>
      <c r="B2" s="2" t="s">
        <v>11</v>
      </c>
      <c r="C2" s="9">
        <f>'Current Mix'!C2 - SUM('Retirement Forecast'!C2)</f>
        <v>27.07833333</v>
      </c>
      <c r="D2" s="9">
        <f>'Current Mix'!C2 - SUM('Retirement Forecast'!C2:D2)</f>
        <v>24.61666667</v>
      </c>
      <c r="E2" s="9">
        <f>'Current Mix'!C2 - SUM('Retirement Forecast'!C2:E2)</f>
        <v>22.155</v>
      </c>
      <c r="F2" s="9">
        <f>'Current Mix'!C2 - SUM('Retirement Forecast'!C2:F2)</f>
        <v>19.69333333</v>
      </c>
      <c r="G2" s="9">
        <f>'Current Mix'!$C2 - SUM('Retirement Forecast'!C2:G2)</f>
        <v>17.23166667</v>
      </c>
      <c r="H2" s="9">
        <f>'Current Mix'!$C2 - SUM('Retirement Forecast'!C2:H2)</f>
        <v>14.77</v>
      </c>
      <c r="I2" s="9">
        <f>'Current Mix'!$C2 - SUM('Retirement Forecast'!$C2:I2)</f>
        <v>12.9976</v>
      </c>
      <c r="J2" s="9">
        <f>'Current Mix'!$C2 - SUM('Retirement Forecast'!$C2:J2)</f>
        <v>11.2252</v>
      </c>
      <c r="K2" s="9">
        <f>'Current Mix'!$C2 - SUM('Retirement Forecast'!$C2:K2)</f>
        <v>9.4528</v>
      </c>
      <c r="L2" s="9">
        <f>'Current Mix'!$C2 - SUM('Retirement Forecast'!$C2:L2)</f>
        <v>7.6804</v>
      </c>
      <c r="M2" s="9">
        <f>'Current Mix'!$C2 - SUM('Retirement Forecast'!$C2:M2)</f>
        <v>5.908</v>
      </c>
      <c r="N2" s="9">
        <f>'Current Mix'!$C2 - SUM('Retirement Forecast'!$C2:N2)</f>
        <v>5.3172</v>
      </c>
      <c r="O2" s="9">
        <f>'Current Mix'!$C2 - SUM('Retirement Forecast'!$C2:O2)</f>
        <v>4.7264</v>
      </c>
      <c r="P2" s="9">
        <f>'Current Mix'!$C2 - SUM('Retirement Forecast'!$C2:P2)</f>
        <v>4.1356</v>
      </c>
      <c r="Q2" s="9">
        <f>'Current Mix'!$C2 - SUM('Retirement Forecast'!$C2:Q2)</f>
        <v>3.5448</v>
      </c>
      <c r="R2" s="9">
        <f>'Current Mix'!$C2 - SUM('Retirement Forecast'!$C2:R2)</f>
        <v>2.954</v>
      </c>
      <c r="S2" s="9">
        <f>'Current Mix'!$C2 - SUM('Retirement Forecast'!$C2:S2)</f>
        <v>2.3632</v>
      </c>
      <c r="T2" s="9">
        <f>'Current Mix'!$C2 - SUM('Retirement Forecast'!$C2:T2)</f>
        <v>1.7724</v>
      </c>
      <c r="U2" s="9">
        <f>'Current Mix'!$C2 - SUM('Retirement Forecast'!$C2:U2)</f>
        <v>1.1816</v>
      </c>
      <c r="V2" s="9">
        <f>'Current Mix'!$C2 - SUM('Retirement Forecast'!$C2:V2)</f>
        <v>0.5908</v>
      </c>
      <c r="W2" s="9">
        <f>'Current Mix'!$C2 - SUM('Retirement Forecast'!$C2:W2)</f>
        <v>0</v>
      </c>
    </row>
    <row r="3">
      <c r="A3" s="2" t="s">
        <v>10</v>
      </c>
      <c r="B3" s="2" t="s">
        <v>12</v>
      </c>
      <c r="C3" s="9">
        <f>'Current Mix'!C3 - SUM('Retirement Forecast'!C3)</f>
        <v>173.42</v>
      </c>
      <c r="D3" s="9">
        <f>'Current Mix'!C3 - SUM('Retirement Forecast'!C3:D3)</f>
        <v>167.44</v>
      </c>
      <c r="E3" s="9">
        <f>'Current Mix'!C3 - SUM('Retirement Forecast'!C3:E3)</f>
        <v>161.46</v>
      </c>
      <c r="F3" s="9">
        <f>'Current Mix'!C3 - SUM('Retirement Forecast'!C3:F3)</f>
        <v>155.48</v>
      </c>
      <c r="G3" s="9">
        <f>'Current Mix'!C3 - SUM('Retirement Forecast'!C3:G3)</f>
        <v>149.5</v>
      </c>
      <c r="H3" s="9">
        <f>'Current Mix'!$C3 - SUM('Retirement Forecast'!C3:H3)</f>
        <v>143.52</v>
      </c>
      <c r="I3" s="9">
        <f>'Current Mix'!$C3 - SUM('Retirement Forecast'!$C3:I3)</f>
        <v>132.756</v>
      </c>
      <c r="J3" s="9">
        <f>'Current Mix'!$C3 - SUM('Retirement Forecast'!$C3:J3)</f>
        <v>121.992</v>
      </c>
      <c r="K3" s="9">
        <f>'Current Mix'!$C3 - SUM('Retirement Forecast'!$C3:K3)</f>
        <v>111.228</v>
      </c>
      <c r="L3" s="9">
        <f>'Current Mix'!$C3 - SUM('Retirement Forecast'!$C3:L3)</f>
        <v>100.464</v>
      </c>
      <c r="M3" s="9">
        <f>'Current Mix'!$C3 - SUM('Retirement Forecast'!$C3:M3)</f>
        <v>89.7</v>
      </c>
      <c r="N3" s="9">
        <f>'Current Mix'!$C3 - SUM('Retirement Forecast'!$C3:N3)</f>
        <v>80.73</v>
      </c>
      <c r="O3" s="9">
        <f>'Current Mix'!$C3 - SUM('Retirement Forecast'!$C3:O3)</f>
        <v>71.76</v>
      </c>
      <c r="P3" s="9">
        <f>'Current Mix'!$C3 - SUM('Retirement Forecast'!$C3:P3)</f>
        <v>62.79</v>
      </c>
      <c r="Q3" s="9">
        <f>'Current Mix'!$C3 - SUM('Retirement Forecast'!$C3:Q3)</f>
        <v>53.82</v>
      </c>
      <c r="R3" s="9">
        <f>'Current Mix'!$C3 - SUM('Retirement Forecast'!$C3:R3)</f>
        <v>44.85</v>
      </c>
      <c r="S3" s="9">
        <f>'Current Mix'!$C3 - SUM('Retirement Forecast'!$C3:S3)</f>
        <v>35.88</v>
      </c>
      <c r="T3" s="9">
        <f>'Current Mix'!$C3 - SUM('Retirement Forecast'!$C3:T3)</f>
        <v>26.91</v>
      </c>
      <c r="U3" s="9">
        <f>'Current Mix'!$C3 - SUM('Retirement Forecast'!$C3:U3)</f>
        <v>17.94</v>
      </c>
      <c r="V3" s="9">
        <f>'Current Mix'!$C3 - SUM('Retirement Forecast'!$C3:V3)</f>
        <v>8.97</v>
      </c>
      <c r="W3" s="9">
        <f>'Current Mix'!$C3 - SUM('Retirement Forecast'!$C3:W3)</f>
        <v>0</v>
      </c>
    </row>
    <row r="4">
      <c r="A4" s="2" t="s">
        <v>10</v>
      </c>
      <c r="B4" s="2" t="s">
        <v>13</v>
      </c>
      <c r="C4" s="9">
        <f>'Current Mix'!C4 - SUM('Retirement Forecast'!C4)</f>
        <v>27.5825</v>
      </c>
      <c r="D4" s="9">
        <f>'Current Mix'!C4 - SUM('Retirement Forecast'!C4:D4)</f>
        <v>27.115</v>
      </c>
      <c r="E4" s="9">
        <f>'Current Mix'!C4 - SUM('Retirement Forecast'!C4:E4)</f>
        <v>26.6475</v>
      </c>
      <c r="F4" s="9">
        <f>'Current Mix'!C4 - SUM('Retirement Forecast'!C4:F4)</f>
        <v>26.18</v>
      </c>
      <c r="G4" s="9">
        <f>'Current Mix'!C4 - SUM('Retirement Forecast'!C4:G4)</f>
        <v>25.7125</v>
      </c>
      <c r="H4" s="9">
        <f>'Current Mix'!$C4 - SUM('Retirement Forecast'!C4:H4)</f>
        <v>25.245</v>
      </c>
      <c r="I4" s="9">
        <f>'Current Mix'!$C4 - SUM('Retirement Forecast'!$C4:I4)</f>
        <v>24.123</v>
      </c>
      <c r="J4" s="9">
        <f>'Current Mix'!$C4 - SUM('Retirement Forecast'!$C4:J4)</f>
        <v>23.001</v>
      </c>
      <c r="K4" s="9">
        <f>'Current Mix'!$C4 - SUM('Retirement Forecast'!$C4:K4)</f>
        <v>21.879</v>
      </c>
      <c r="L4" s="9">
        <f>'Current Mix'!$C4 - SUM('Retirement Forecast'!$C4:L4)</f>
        <v>20.757</v>
      </c>
      <c r="M4" s="9">
        <f>'Current Mix'!$C4 - SUM('Retirement Forecast'!$C4:M4)</f>
        <v>19.635</v>
      </c>
      <c r="N4" s="9">
        <f>'Current Mix'!$C4 - SUM('Retirement Forecast'!$C4:N4)</f>
        <v>17.6715</v>
      </c>
      <c r="O4" s="9">
        <f>'Current Mix'!$C4 - SUM('Retirement Forecast'!$C4:O4)</f>
        <v>15.708</v>
      </c>
      <c r="P4" s="9">
        <f>'Current Mix'!$C4 - SUM('Retirement Forecast'!$C4:P4)</f>
        <v>13.7445</v>
      </c>
      <c r="Q4" s="9">
        <f>'Current Mix'!$C4 - SUM('Retirement Forecast'!$C4:Q4)</f>
        <v>11.781</v>
      </c>
      <c r="R4" s="9">
        <f>'Current Mix'!$C4 - SUM('Retirement Forecast'!$C4:R4)</f>
        <v>9.8175</v>
      </c>
      <c r="S4" s="9">
        <f>'Current Mix'!$C4 - SUM('Retirement Forecast'!$C4:S4)</f>
        <v>7.854</v>
      </c>
      <c r="T4" s="9">
        <f>'Current Mix'!$C4 - SUM('Retirement Forecast'!$C4:T4)</f>
        <v>5.8905</v>
      </c>
      <c r="U4" s="9">
        <f>'Current Mix'!$C4 - SUM('Retirement Forecast'!$C4:U4)</f>
        <v>3.927</v>
      </c>
      <c r="V4" s="9">
        <f>'Current Mix'!$C4 - SUM('Retirement Forecast'!$C4:V4)</f>
        <v>1.9635</v>
      </c>
      <c r="W4" s="9">
        <f>'Current Mix'!$C4 - SUM('Retirement Forecast'!$C4:W4)</f>
        <v>0</v>
      </c>
    </row>
    <row r="5">
      <c r="A5" s="2" t="s">
        <v>10</v>
      </c>
      <c r="B5" s="2" t="s">
        <v>14</v>
      </c>
      <c r="C5" s="9">
        <f>'Current Mix'!C5 - SUM('Retirement Forecast'!C5)</f>
        <v>66.555</v>
      </c>
      <c r="D5" s="9">
        <f>'Current Mix'!C5 - SUM('Retirement Forecast'!C5:D5)</f>
        <v>64.26</v>
      </c>
      <c r="E5" s="9">
        <f>'Current Mix'!C5 - SUM('Retirement Forecast'!C5:E5)</f>
        <v>61.965</v>
      </c>
      <c r="F5" s="9">
        <f>'Current Mix'!C5 - SUM('Retirement Forecast'!C5:F5)</f>
        <v>59.67</v>
      </c>
      <c r="G5" s="9">
        <f>'Current Mix'!C5 - SUM('Retirement Forecast'!C5:G5)</f>
        <v>57.375</v>
      </c>
      <c r="H5" s="9">
        <f>'Current Mix'!$C5 - SUM('Retirement Forecast'!C5:H5)</f>
        <v>55.08</v>
      </c>
      <c r="I5" s="9">
        <f>'Current Mix'!$C5 - SUM('Retirement Forecast'!$C5:I5)</f>
        <v>49.572</v>
      </c>
      <c r="J5" s="9">
        <f>'Current Mix'!$C5 - SUM('Retirement Forecast'!$C5:J5)</f>
        <v>44.064</v>
      </c>
      <c r="K5" s="9">
        <f>'Current Mix'!$C5 - SUM('Retirement Forecast'!$C5:K5)</f>
        <v>38.556</v>
      </c>
      <c r="L5" s="9">
        <f>'Current Mix'!$C5 - SUM('Retirement Forecast'!$C5:L5)</f>
        <v>33.048</v>
      </c>
      <c r="M5" s="9">
        <f>'Current Mix'!$C5 - SUM('Retirement Forecast'!$C5:M5)</f>
        <v>27.54</v>
      </c>
      <c r="N5" s="9">
        <f>'Current Mix'!$C5 - SUM('Retirement Forecast'!$C5:N5)</f>
        <v>24.786</v>
      </c>
      <c r="O5" s="9">
        <f>'Current Mix'!$C5 - SUM('Retirement Forecast'!$C5:O5)</f>
        <v>22.032</v>
      </c>
      <c r="P5" s="9">
        <f>'Current Mix'!$C5 - SUM('Retirement Forecast'!$C5:P5)</f>
        <v>19.278</v>
      </c>
      <c r="Q5" s="9">
        <f>'Current Mix'!$C5 - SUM('Retirement Forecast'!$C5:Q5)</f>
        <v>16.524</v>
      </c>
      <c r="R5" s="9">
        <f>'Current Mix'!$C5 - SUM('Retirement Forecast'!$C5:R5)</f>
        <v>13.77</v>
      </c>
      <c r="S5" s="9">
        <f>'Current Mix'!$C5 - SUM('Retirement Forecast'!$C5:S5)</f>
        <v>11.016</v>
      </c>
      <c r="T5" s="9">
        <f>'Current Mix'!$C5 - SUM('Retirement Forecast'!$C5:T5)</f>
        <v>8.262</v>
      </c>
      <c r="U5" s="9">
        <f>'Current Mix'!$C5 - SUM('Retirement Forecast'!$C5:U5)</f>
        <v>5.508</v>
      </c>
      <c r="V5" s="9">
        <f>'Current Mix'!$C5 - SUM('Retirement Forecast'!$C5:V5)</f>
        <v>2.754</v>
      </c>
      <c r="W5" s="9">
        <f>'Current Mix'!$C5 - SUM('Retirement Forecast'!$C5:W5)</f>
        <v>0</v>
      </c>
    </row>
    <row r="6">
      <c r="A6" s="2" t="s">
        <v>10</v>
      </c>
      <c r="B6" s="2" t="s">
        <v>15</v>
      </c>
      <c r="C6" s="9">
        <f>'Current Mix'!C6 - SUM('Retirement Forecast'!C6)</f>
        <v>27.57416667</v>
      </c>
      <c r="D6" s="9">
        <f>'Current Mix'!C6 - SUM('Retirement Forecast'!C6:D6)</f>
        <v>26.62333333</v>
      </c>
      <c r="E6" s="9">
        <f>'Current Mix'!C6 - SUM('Retirement Forecast'!C6:E6)</f>
        <v>25.6725</v>
      </c>
      <c r="F6" s="9">
        <f>'Current Mix'!C6 - SUM('Retirement Forecast'!C6:F6)</f>
        <v>24.72166667</v>
      </c>
      <c r="G6" s="9">
        <f>'Current Mix'!C6 - SUM('Retirement Forecast'!C6:G6)</f>
        <v>23.77083333</v>
      </c>
      <c r="H6" s="9">
        <f>'Current Mix'!$C6 - SUM('Retirement Forecast'!C6:H6)</f>
        <v>22.82</v>
      </c>
      <c r="I6" s="9">
        <f>'Current Mix'!$C6 - SUM('Retirement Forecast'!$C6:I6)</f>
        <v>20.538</v>
      </c>
      <c r="J6" s="9">
        <f>'Current Mix'!$C6 - SUM('Retirement Forecast'!$C6:J6)</f>
        <v>18.256</v>
      </c>
      <c r="K6" s="9">
        <f>'Current Mix'!$C6 - SUM('Retirement Forecast'!$C6:K6)</f>
        <v>15.974</v>
      </c>
      <c r="L6" s="9">
        <f>'Current Mix'!$C6 - SUM('Retirement Forecast'!$C6:L6)</f>
        <v>13.692</v>
      </c>
      <c r="M6" s="9">
        <f>'Current Mix'!$C6 - SUM('Retirement Forecast'!$C6:M6)</f>
        <v>11.41</v>
      </c>
      <c r="N6" s="9">
        <f>'Current Mix'!$C6 - SUM('Retirement Forecast'!$C6:N6)</f>
        <v>10.269</v>
      </c>
      <c r="O6" s="9">
        <f>'Current Mix'!$C6 - SUM('Retirement Forecast'!$C6:O6)</f>
        <v>9.128</v>
      </c>
      <c r="P6" s="9">
        <f>'Current Mix'!$C6 - SUM('Retirement Forecast'!$C6:P6)</f>
        <v>7.987</v>
      </c>
      <c r="Q6" s="9">
        <f>'Current Mix'!$C6 - SUM('Retirement Forecast'!$C6:Q6)</f>
        <v>6.846</v>
      </c>
      <c r="R6" s="9">
        <f>'Current Mix'!$C6 - SUM('Retirement Forecast'!$C6:R6)</f>
        <v>5.705</v>
      </c>
      <c r="S6" s="9">
        <f>'Current Mix'!$C6 - SUM('Retirement Forecast'!$C6:S6)</f>
        <v>4.564</v>
      </c>
      <c r="T6" s="9">
        <f>'Current Mix'!$C6 - SUM('Retirement Forecast'!$C6:T6)</f>
        <v>3.423</v>
      </c>
      <c r="U6" s="9">
        <f>'Current Mix'!$C6 - SUM('Retirement Forecast'!$C6:U6)</f>
        <v>2.282</v>
      </c>
      <c r="V6" s="9">
        <f>'Current Mix'!$C6 - SUM('Retirement Forecast'!$C6:V6)</f>
        <v>1.141</v>
      </c>
      <c r="W6" s="9">
        <f>'Current Mix'!$C6 - SUM('Retirement Forecast'!$C6:W6)</f>
        <v>0</v>
      </c>
    </row>
    <row r="7">
      <c r="A7" s="2" t="s">
        <v>16</v>
      </c>
      <c r="B7" s="2" t="s">
        <v>11</v>
      </c>
      <c r="C7" s="9">
        <f>'Current Mix'!C7 - SUM('Retirement Forecast'!C7)</f>
        <v>11.605</v>
      </c>
      <c r="D7" s="9">
        <f>'Current Mix'!C7 - SUM('Retirement Forecast'!C7:D7)</f>
        <v>10.55</v>
      </c>
      <c r="E7" s="9">
        <f>'Current Mix'!C7 - SUM('Retirement Forecast'!C7:E7)</f>
        <v>9.495</v>
      </c>
      <c r="F7" s="9">
        <f>'Current Mix'!C7 - SUM('Retirement Forecast'!C7:F7)</f>
        <v>8.44</v>
      </c>
      <c r="G7" s="9">
        <f>'Current Mix'!C7 - SUM('Retirement Forecast'!C7:G7)</f>
        <v>7.385</v>
      </c>
      <c r="H7" s="9">
        <f>'Current Mix'!$C7 - SUM('Retirement Forecast'!C7:H7)</f>
        <v>6.33</v>
      </c>
      <c r="I7" s="9">
        <f>'Current Mix'!$C7 - SUM('Retirement Forecast'!$C7:I7)</f>
        <v>5.5704</v>
      </c>
      <c r="J7" s="9">
        <f>'Current Mix'!$C7 - SUM('Retirement Forecast'!$C7:J7)</f>
        <v>4.8108</v>
      </c>
      <c r="K7" s="9">
        <f>'Current Mix'!$C7 - SUM('Retirement Forecast'!$C7:K7)</f>
        <v>4.0512</v>
      </c>
      <c r="L7" s="9">
        <f>'Current Mix'!$C7 - SUM('Retirement Forecast'!$C7:L7)</f>
        <v>3.2916</v>
      </c>
      <c r="M7" s="9">
        <f>'Current Mix'!$C7 - SUM('Retirement Forecast'!$C7:M7)</f>
        <v>2.532</v>
      </c>
      <c r="N7" s="9">
        <f>'Current Mix'!$C7 - SUM('Retirement Forecast'!$C7:N7)</f>
        <v>2.2788</v>
      </c>
      <c r="O7" s="9">
        <f>'Current Mix'!$C7 - SUM('Retirement Forecast'!$C7:O7)</f>
        <v>2.0256</v>
      </c>
      <c r="P7" s="9">
        <f>'Current Mix'!$C7 - SUM('Retirement Forecast'!$C7:P7)</f>
        <v>1.7724</v>
      </c>
      <c r="Q7" s="9">
        <f>'Current Mix'!$C7 - SUM('Retirement Forecast'!$C7:Q7)</f>
        <v>1.5192</v>
      </c>
      <c r="R7" s="9">
        <f>'Current Mix'!$C7 - SUM('Retirement Forecast'!$C7:R7)</f>
        <v>1.266</v>
      </c>
      <c r="S7" s="9">
        <f>'Current Mix'!$C7 - SUM('Retirement Forecast'!$C7:S7)</f>
        <v>1.0128</v>
      </c>
      <c r="T7" s="9">
        <f>'Current Mix'!$C7 - SUM('Retirement Forecast'!$C7:T7)</f>
        <v>0.7596</v>
      </c>
      <c r="U7" s="9">
        <f>'Current Mix'!$C7 - SUM('Retirement Forecast'!$C7:U7)</f>
        <v>0.5064</v>
      </c>
      <c r="V7" s="9">
        <f>'Current Mix'!$C7 - SUM('Retirement Forecast'!$C7:V7)</f>
        <v>0.2532</v>
      </c>
      <c r="W7" s="9">
        <f>'Current Mix'!$C7 - SUM('Retirement Forecast'!$C7:W7)</f>
        <v>0</v>
      </c>
    </row>
    <row r="8">
      <c r="A8" s="2" t="s">
        <v>16</v>
      </c>
      <c r="B8" s="2" t="s">
        <v>12</v>
      </c>
      <c r="C8" s="9">
        <f>'Current Mix'!C8 - SUM('Retirement Forecast'!C8)</f>
        <v>146.74</v>
      </c>
      <c r="D8" s="9">
        <f>'Current Mix'!C8 - SUM('Retirement Forecast'!C8:D8)</f>
        <v>141.68</v>
      </c>
      <c r="E8" s="9">
        <f>'Current Mix'!C8 - SUM('Retirement Forecast'!C8:E8)</f>
        <v>136.62</v>
      </c>
      <c r="F8" s="9">
        <f>'Current Mix'!C8 - SUM('Retirement Forecast'!C8:F8)</f>
        <v>131.56</v>
      </c>
      <c r="G8" s="9">
        <f>'Current Mix'!C8 - SUM('Retirement Forecast'!C8:G8)</f>
        <v>126.5</v>
      </c>
      <c r="H8" s="9">
        <f>'Current Mix'!$C8 - SUM('Retirement Forecast'!C8:H8)</f>
        <v>121.44</v>
      </c>
      <c r="I8" s="9">
        <f>'Current Mix'!$C8 - SUM('Retirement Forecast'!$C8:I8)</f>
        <v>112.332</v>
      </c>
      <c r="J8" s="9">
        <f>'Current Mix'!$C8 - SUM('Retirement Forecast'!$C8:J8)</f>
        <v>103.224</v>
      </c>
      <c r="K8" s="9">
        <f>'Current Mix'!$C8 - SUM('Retirement Forecast'!$C8:K8)</f>
        <v>94.116</v>
      </c>
      <c r="L8" s="9">
        <f>'Current Mix'!$C8 - SUM('Retirement Forecast'!$C8:L8)</f>
        <v>85.008</v>
      </c>
      <c r="M8" s="9">
        <f>'Current Mix'!$C8 - SUM('Retirement Forecast'!$C8:M8)</f>
        <v>75.9</v>
      </c>
      <c r="N8" s="9">
        <f>'Current Mix'!$C8 - SUM('Retirement Forecast'!$C8:N8)</f>
        <v>68.31</v>
      </c>
      <c r="O8" s="9">
        <f>'Current Mix'!$C8 - SUM('Retirement Forecast'!$C8:O8)</f>
        <v>60.72</v>
      </c>
      <c r="P8" s="9">
        <f>'Current Mix'!$C8 - SUM('Retirement Forecast'!$C8:P8)</f>
        <v>53.13</v>
      </c>
      <c r="Q8" s="9">
        <f>'Current Mix'!$C8 - SUM('Retirement Forecast'!$C8:Q8)</f>
        <v>45.54</v>
      </c>
      <c r="R8" s="9">
        <f>'Current Mix'!$C8 - SUM('Retirement Forecast'!$C8:R8)</f>
        <v>37.95</v>
      </c>
      <c r="S8" s="9">
        <f>'Current Mix'!$C8 - SUM('Retirement Forecast'!$C8:S8)</f>
        <v>30.36</v>
      </c>
      <c r="T8" s="9">
        <f>'Current Mix'!$C8 - SUM('Retirement Forecast'!$C8:T8)</f>
        <v>22.77</v>
      </c>
      <c r="U8" s="9">
        <f>'Current Mix'!$C8 - SUM('Retirement Forecast'!$C8:U8)</f>
        <v>15.18</v>
      </c>
      <c r="V8" s="9">
        <f>'Current Mix'!$C8 - SUM('Retirement Forecast'!$C8:V8)</f>
        <v>7.59</v>
      </c>
      <c r="W8" s="9">
        <f>'Current Mix'!$C8 - SUM('Retirement Forecast'!$C8:W8)</f>
        <v>0</v>
      </c>
    </row>
    <row r="9">
      <c r="A9" s="2" t="s">
        <v>16</v>
      </c>
      <c r="B9" s="2" t="s">
        <v>13</v>
      </c>
      <c r="C9" s="9">
        <f>'Current Mix'!C9 - SUM('Retirement Forecast'!C9)</f>
        <v>22.5675</v>
      </c>
      <c r="D9" s="9">
        <f>'Current Mix'!C9 - SUM('Retirement Forecast'!C9:D9)</f>
        <v>22.185</v>
      </c>
      <c r="E9" s="9">
        <f>'Current Mix'!C9 - SUM('Retirement Forecast'!C9:E9)</f>
        <v>21.8025</v>
      </c>
      <c r="F9" s="9">
        <f>'Current Mix'!C9 - SUM('Retirement Forecast'!C9:F9)</f>
        <v>21.42</v>
      </c>
      <c r="G9" s="9">
        <f>'Current Mix'!C9 - SUM('Retirement Forecast'!C9:G9)</f>
        <v>21.0375</v>
      </c>
      <c r="H9" s="9">
        <f>'Current Mix'!$C9 - SUM('Retirement Forecast'!C9:H9)</f>
        <v>20.655</v>
      </c>
      <c r="I9" s="9">
        <f>'Current Mix'!$C9 - SUM('Retirement Forecast'!$C9:I9)</f>
        <v>19.737</v>
      </c>
      <c r="J9" s="9">
        <f>'Current Mix'!$C9 - SUM('Retirement Forecast'!$C9:J9)</f>
        <v>18.819</v>
      </c>
      <c r="K9" s="9">
        <f>'Current Mix'!$C9 - SUM('Retirement Forecast'!$C9:K9)</f>
        <v>17.901</v>
      </c>
      <c r="L9" s="9">
        <f>'Current Mix'!$C9 - SUM('Retirement Forecast'!$C9:L9)</f>
        <v>16.983</v>
      </c>
      <c r="M9" s="9">
        <f>'Current Mix'!$C9 - SUM('Retirement Forecast'!$C9:M9)</f>
        <v>16.065</v>
      </c>
      <c r="N9" s="9">
        <f>'Current Mix'!$C9 - SUM('Retirement Forecast'!$C9:N9)</f>
        <v>14.4585</v>
      </c>
      <c r="O9" s="9">
        <f>'Current Mix'!$C9 - SUM('Retirement Forecast'!$C9:O9)</f>
        <v>12.852</v>
      </c>
      <c r="P9" s="9">
        <f>'Current Mix'!$C9 - SUM('Retirement Forecast'!$C9:P9)</f>
        <v>11.2455</v>
      </c>
      <c r="Q9" s="9">
        <f>'Current Mix'!$C9 - SUM('Retirement Forecast'!$C9:Q9)</f>
        <v>9.639</v>
      </c>
      <c r="R9" s="9">
        <f>'Current Mix'!$C9 - SUM('Retirement Forecast'!$C9:R9)</f>
        <v>8.0325</v>
      </c>
      <c r="S9" s="9">
        <f>'Current Mix'!$C9 - SUM('Retirement Forecast'!$C9:S9)</f>
        <v>6.426</v>
      </c>
      <c r="T9" s="9">
        <f>'Current Mix'!$C9 - SUM('Retirement Forecast'!$C9:T9)</f>
        <v>4.8195</v>
      </c>
      <c r="U9" s="9">
        <f>'Current Mix'!$C9 - SUM('Retirement Forecast'!$C9:U9)</f>
        <v>3.213</v>
      </c>
      <c r="V9" s="9">
        <f>'Current Mix'!$C9 - SUM('Retirement Forecast'!$C9:V9)</f>
        <v>1.6065</v>
      </c>
      <c r="W9" s="9">
        <f>'Current Mix'!$C9 - SUM('Retirement Forecast'!$C9:W9)</f>
        <v>0</v>
      </c>
    </row>
    <row r="10">
      <c r="A10" s="2" t="s">
        <v>16</v>
      </c>
      <c r="B10" s="2" t="s">
        <v>14</v>
      </c>
      <c r="C10" s="9">
        <f>'Current Mix'!C10 - SUM('Retirement Forecast'!C10)</f>
        <v>11.745</v>
      </c>
      <c r="D10" s="9">
        <f>'Current Mix'!C10 - SUM('Retirement Forecast'!C10:D10)</f>
        <v>11.34</v>
      </c>
      <c r="E10" s="9">
        <f>'Current Mix'!C10 - SUM('Retirement Forecast'!C10:E10)</f>
        <v>10.935</v>
      </c>
      <c r="F10" s="9">
        <f>'Current Mix'!C10 - SUM('Retirement Forecast'!C10:F10)</f>
        <v>10.53</v>
      </c>
      <c r="G10" s="9">
        <f>'Current Mix'!C10 - SUM('Retirement Forecast'!C10:G10)</f>
        <v>10.125</v>
      </c>
      <c r="H10" s="9">
        <f>'Current Mix'!$C10 - SUM('Retirement Forecast'!C10:H10)</f>
        <v>9.72</v>
      </c>
      <c r="I10" s="9">
        <f>'Current Mix'!$C10 - SUM('Retirement Forecast'!$C10:I10)</f>
        <v>8.748</v>
      </c>
      <c r="J10" s="9">
        <f>'Current Mix'!$C10 - SUM('Retirement Forecast'!$C10:J10)</f>
        <v>7.776</v>
      </c>
      <c r="K10" s="9">
        <f>'Current Mix'!$C10 - SUM('Retirement Forecast'!$C10:K10)</f>
        <v>6.804</v>
      </c>
      <c r="L10" s="9">
        <f>'Current Mix'!$C10 - SUM('Retirement Forecast'!$C10:L10)</f>
        <v>5.832</v>
      </c>
      <c r="M10" s="9">
        <f>'Current Mix'!$C10 - SUM('Retirement Forecast'!$C10:M10)</f>
        <v>4.86</v>
      </c>
      <c r="N10" s="9">
        <f>'Current Mix'!$C10 - SUM('Retirement Forecast'!$C10:N10)</f>
        <v>4.374</v>
      </c>
      <c r="O10" s="9">
        <f>'Current Mix'!$C10 - SUM('Retirement Forecast'!$C10:O10)</f>
        <v>3.888</v>
      </c>
      <c r="P10" s="9">
        <f>'Current Mix'!$C10 - SUM('Retirement Forecast'!$C10:P10)</f>
        <v>3.402</v>
      </c>
      <c r="Q10" s="9">
        <f>'Current Mix'!$C10 - SUM('Retirement Forecast'!$C10:Q10)</f>
        <v>2.916</v>
      </c>
      <c r="R10" s="9">
        <f>'Current Mix'!$C10 - SUM('Retirement Forecast'!$C10:R10)</f>
        <v>2.43</v>
      </c>
      <c r="S10" s="9">
        <f>'Current Mix'!$C10 - SUM('Retirement Forecast'!$C10:S10)</f>
        <v>1.944</v>
      </c>
      <c r="T10" s="9">
        <f>'Current Mix'!$C10 - SUM('Retirement Forecast'!$C10:T10)</f>
        <v>1.458</v>
      </c>
      <c r="U10" s="9">
        <f>'Current Mix'!$C10 - SUM('Retirement Forecast'!$C10:U10)</f>
        <v>0.972</v>
      </c>
      <c r="V10" s="9">
        <f>'Current Mix'!$C10 - SUM('Retirement Forecast'!$C10:V10)</f>
        <v>0.486</v>
      </c>
      <c r="W10" s="9">
        <f>'Current Mix'!$C10 - SUM('Retirement Forecast'!$C10:W10)</f>
        <v>0</v>
      </c>
    </row>
    <row r="11">
      <c r="A11" s="2" t="s">
        <v>16</v>
      </c>
      <c r="B11" s="2" t="s">
        <v>15</v>
      </c>
      <c r="C11" s="9">
        <f>'Current Mix'!C11 - SUM('Retirement Forecast'!C11)</f>
        <v>19.69583333</v>
      </c>
      <c r="D11" s="9">
        <f>'Current Mix'!C11 - SUM('Retirement Forecast'!C11:D11)</f>
        <v>19.01666667</v>
      </c>
      <c r="E11" s="9">
        <f>'Current Mix'!C11 - SUM('Retirement Forecast'!C11:E11)</f>
        <v>18.3375</v>
      </c>
      <c r="F11" s="9">
        <f>'Current Mix'!C11 - SUM('Retirement Forecast'!C11:F11)</f>
        <v>17.65833333</v>
      </c>
      <c r="G11" s="9">
        <f>'Current Mix'!C11 - SUM('Retirement Forecast'!C11:G11)</f>
        <v>16.97916667</v>
      </c>
      <c r="H11" s="9">
        <f>'Current Mix'!$C11 - SUM('Retirement Forecast'!C11:H11)</f>
        <v>16.3</v>
      </c>
      <c r="I11" s="9">
        <f>'Current Mix'!$C11 - SUM('Retirement Forecast'!$C11:I11)</f>
        <v>14.67</v>
      </c>
      <c r="J11" s="9">
        <f>'Current Mix'!$C11 - SUM('Retirement Forecast'!$C11:J11)</f>
        <v>13.04</v>
      </c>
      <c r="K11" s="9">
        <f>'Current Mix'!$C11 - SUM('Retirement Forecast'!$C11:K11)</f>
        <v>11.41</v>
      </c>
      <c r="L11" s="9">
        <f>'Current Mix'!$C11 - SUM('Retirement Forecast'!$C11:L11)</f>
        <v>9.78</v>
      </c>
      <c r="M11" s="9">
        <f>'Current Mix'!$C11 - SUM('Retirement Forecast'!$C11:M11)</f>
        <v>8.15</v>
      </c>
      <c r="N11" s="9">
        <f>'Current Mix'!$C11 - SUM('Retirement Forecast'!$C11:N11)</f>
        <v>7.335</v>
      </c>
      <c r="O11" s="9">
        <f>'Current Mix'!$C11 - SUM('Retirement Forecast'!$C11:O11)</f>
        <v>6.52</v>
      </c>
      <c r="P11" s="9">
        <f>'Current Mix'!$C11 - SUM('Retirement Forecast'!$C11:P11)</f>
        <v>5.705</v>
      </c>
      <c r="Q11" s="9">
        <f>'Current Mix'!$C11 - SUM('Retirement Forecast'!$C11:Q11)</f>
        <v>4.89</v>
      </c>
      <c r="R11" s="9">
        <f>'Current Mix'!$C11 - SUM('Retirement Forecast'!$C11:R11)</f>
        <v>4.075</v>
      </c>
      <c r="S11" s="9">
        <f>'Current Mix'!$C11 - SUM('Retirement Forecast'!$C11:S11)</f>
        <v>3.26</v>
      </c>
      <c r="T11" s="9">
        <f>'Current Mix'!$C11 - SUM('Retirement Forecast'!$C11:T11)</f>
        <v>2.445</v>
      </c>
      <c r="U11" s="9">
        <f>'Current Mix'!$C11 - SUM('Retirement Forecast'!$C11:U11)</f>
        <v>1.63</v>
      </c>
      <c r="V11" s="9">
        <f>'Current Mix'!$C11 - SUM('Retirement Forecast'!$C11:V11)</f>
        <v>0.815</v>
      </c>
      <c r="W11" s="9">
        <f>'Current Mix'!$C11 - SUM('Retirement Forecast'!$C11:W11)</f>
        <v>0</v>
      </c>
    </row>
    <row r="12">
      <c r="A12" s="2" t="s">
        <v>17</v>
      </c>
      <c r="B12" s="2" t="s">
        <v>11</v>
      </c>
      <c r="C12" s="9">
        <f>'Current Mix'!C12 - SUM('Retirement Forecast'!C12)</f>
        <v>42.55166667</v>
      </c>
      <c r="D12" s="9">
        <f>'Current Mix'!C12 - SUM('Retirement Forecast'!C12:D12)</f>
        <v>38.68333333</v>
      </c>
      <c r="E12" s="9">
        <f>'Current Mix'!C12 - SUM('Retirement Forecast'!C12:E12)</f>
        <v>34.815</v>
      </c>
      <c r="F12" s="9">
        <f>'Current Mix'!C12 - SUM('Retirement Forecast'!C12:F12)</f>
        <v>30.94666667</v>
      </c>
      <c r="G12" s="9">
        <f>'Current Mix'!C12 - SUM('Retirement Forecast'!C12:G12)</f>
        <v>27.07833333</v>
      </c>
      <c r="H12" s="9">
        <f>'Current Mix'!$C12 - SUM('Retirement Forecast'!C12:H12)</f>
        <v>23.21</v>
      </c>
      <c r="I12" s="9">
        <f>'Current Mix'!$C12 - SUM('Retirement Forecast'!$C12:I12)</f>
        <v>20.4248</v>
      </c>
      <c r="J12" s="9">
        <f>'Current Mix'!$C12 - SUM('Retirement Forecast'!$C12:J12)</f>
        <v>17.6396</v>
      </c>
      <c r="K12" s="9">
        <f>'Current Mix'!$C12 - SUM('Retirement Forecast'!$C12:K12)</f>
        <v>14.8544</v>
      </c>
      <c r="L12" s="9">
        <f>'Current Mix'!$C12 - SUM('Retirement Forecast'!$C12:L12)</f>
        <v>12.0692</v>
      </c>
      <c r="M12" s="9">
        <f>'Current Mix'!$C12 - SUM('Retirement Forecast'!$C12:M12)</f>
        <v>9.284</v>
      </c>
      <c r="N12" s="9">
        <f>'Current Mix'!$C12 - SUM('Retirement Forecast'!$C12:N12)</f>
        <v>8.3556</v>
      </c>
      <c r="O12" s="9">
        <f>'Current Mix'!$C12 - SUM('Retirement Forecast'!$C12:O12)</f>
        <v>7.4272</v>
      </c>
      <c r="P12" s="9">
        <f>'Current Mix'!$C12 - SUM('Retirement Forecast'!$C12:P12)</f>
        <v>6.4988</v>
      </c>
      <c r="Q12" s="9">
        <f>'Current Mix'!$C12 - SUM('Retirement Forecast'!$C12:Q12)</f>
        <v>5.5704</v>
      </c>
      <c r="R12" s="9">
        <f>'Current Mix'!$C12 - SUM('Retirement Forecast'!$C12:R12)</f>
        <v>4.642</v>
      </c>
      <c r="S12" s="9">
        <f>'Current Mix'!$C12 - SUM('Retirement Forecast'!$C12:S12)</f>
        <v>3.7136</v>
      </c>
      <c r="T12" s="9">
        <f>'Current Mix'!$C12 - SUM('Retirement Forecast'!$C12:T12)</f>
        <v>2.7852</v>
      </c>
      <c r="U12" s="9">
        <f>'Current Mix'!$C12 - SUM('Retirement Forecast'!$C12:U12)</f>
        <v>1.8568</v>
      </c>
      <c r="V12" s="9">
        <f>'Current Mix'!$C12 - SUM('Retirement Forecast'!$C12:V12)</f>
        <v>0.9284</v>
      </c>
      <c r="W12" s="9">
        <f>'Current Mix'!$C12 - SUM('Retirement Forecast'!$C12:W12)</f>
        <v>0</v>
      </c>
    </row>
    <row r="13">
      <c r="A13" s="2" t="s">
        <v>17</v>
      </c>
      <c r="B13" s="2" t="s">
        <v>12</v>
      </c>
      <c r="C13" s="9">
        <f>'Current Mix'!C13 - SUM('Retirement Forecast'!C13)</f>
        <v>226.78</v>
      </c>
      <c r="D13" s="9">
        <f>'Current Mix'!C13 - SUM('Retirement Forecast'!C13:D13)</f>
        <v>218.96</v>
      </c>
      <c r="E13" s="9">
        <f>'Current Mix'!C13 - SUM('Retirement Forecast'!C13:E13)</f>
        <v>211.14</v>
      </c>
      <c r="F13" s="9">
        <f>'Current Mix'!C13 - SUM('Retirement Forecast'!C13:F13)</f>
        <v>203.32</v>
      </c>
      <c r="G13" s="9">
        <f>'Current Mix'!C13 - SUM('Retirement Forecast'!C13:G13)</f>
        <v>195.5</v>
      </c>
      <c r="H13" s="9">
        <f>'Current Mix'!$C13 - SUM('Retirement Forecast'!C13:H13)</f>
        <v>187.68</v>
      </c>
      <c r="I13" s="9">
        <f>'Current Mix'!$C13 - SUM('Retirement Forecast'!$C13:I13)</f>
        <v>173.604</v>
      </c>
      <c r="J13" s="9">
        <f>'Current Mix'!$C13 - SUM('Retirement Forecast'!$C13:J13)</f>
        <v>159.528</v>
      </c>
      <c r="K13" s="9">
        <f>'Current Mix'!$C13 - SUM('Retirement Forecast'!$C13:K13)</f>
        <v>145.452</v>
      </c>
      <c r="L13" s="9">
        <f>'Current Mix'!$C13 - SUM('Retirement Forecast'!$C13:L13)</f>
        <v>131.376</v>
      </c>
      <c r="M13" s="9">
        <f>'Current Mix'!$C13 - SUM('Retirement Forecast'!$C13:M13)</f>
        <v>117.3</v>
      </c>
      <c r="N13" s="9">
        <f>'Current Mix'!$C13 - SUM('Retirement Forecast'!$C13:N13)</f>
        <v>105.57</v>
      </c>
      <c r="O13" s="9">
        <f>'Current Mix'!$C13 - SUM('Retirement Forecast'!$C13:O13)</f>
        <v>93.84</v>
      </c>
      <c r="P13" s="9">
        <f>'Current Mix'!$C13 - SUM('Retirement Forecast'!$C13:P13)</f>
        <v>82.11</v>
      </c>
      <c r="Q13" s="9">
        <f>'Current Mix'!$C13 - SUM('Retirement Forecast'!$C13:Q13)</f>
        <v>70.38</v>
      </c>
      <c r="R13" s="9">
        <f>'Current Mix'!$C13 - SUM('Retirement Forecast'!$C13:R13)</f>
        <v>58.65</v>
      </c>
      <c r="S13" s="9">
        <f>'Current Mix'!$C13 - SUM('Retirement Forecast'!$C13:S13)</f>
        <v>46.92</v>
      </c>
      <c r="T13" s="9">
        <f>'Current Mix'!$C13 - SUM('Retirement Forecast'!$C13:T13)</f>
        <v>35.19</v>
      </c>
      <c r="U13" s="9">
        <f>'Current Mix'!$C13 - SUM('Retirement Forecast'!$C13:U13)</f>
        <v>23.46</v>
      </c>
      <c r="V13" s="9">
        <f>'Current Mix'!$C13 - SUM('Retirement Forecast'!$C13:V13)</f>
        <v>11.73</v>
      </c>
      <c r="W13" s="9">
        <f>'Current Mix'!$C13 - SUM('Retirement Forecast'!$C13:W13)</f>
        <v>0</v>
      </c>
    </row>
    <row r="14">
      <c r="A14" s="2" t="s">
        <v>17</v>
      </c>
      <c r="B14" s="2" t="s">
        <v>13</v>
      </c>
      <c r="C14" s="9">
        <f>'Current Mix'!C14 - SUM('Retirement Forecast'!C14)</f>
        <v>12.5375</v>
      </c>
      <c r="D14" s="9">
        <f>'Current Mix'!C14 - SUM('Retirement Forecast'!C14:D14)</f>
        <v>12.325</v>
      </c>
      <c r="E14" s="9">
        <f>'Current Mix'!C14 - SUM('Retirement Forecast'!C14:E14)</f>
        <v>12.1125</v>
      </c>
      <c r="F14" s="9">
        <f>'Current Mix'!C14 - SUM('Retirement Forecast'!C14:F14)</f>
        <v>11.9</v>
      </c>
      <c r="G14" s="9">
        <f>'Current Mix'!C14 - SUM('Retirement Forecast'!C14:G14)</f>
        <v>11.6875</v>
      </c>
      <c r="H14" s="9">
        <f>'Current Mix'!$C14 - SUM('Retirement Forecast'!C14:H14)</f>
        <v>11.475</v>
      </c>
      <c r="I14" s="9">
        <f>'Current Mix'!$C14 - SUM('Retirement Forecast'!$C14:I14)</f>
        <v>10.965</v>
      </c>
      <c r="J14" s="9">
        <f>'Current Mix'!$C14 - SUM('Retirement Forecast'!$C14:J14)</f>
        <v>10.455</v>
      </c>
      <c r="K14" s="9">
        <f>'Current Mix'!$C14 - SUM('Retirement Forecast'!$C14:K14)</f>
        <v>9.945</v>
      </c>
      <c r="L14" s="9">
        <f>'Current Mix'!$C14 - SUM('Retirement Forecast'!$C14:L14)</f>
        <v>9.435</v>
      </c>
      <c r="M14" s="9">
        <f>'Current Mix'!$C14 - SUM('Retirement Forecast'!$C14:M14)</f>
        <v>8.925</v>
      </c>
      <c r="N14" s="9">
        <f>'Current Mix'!$C14 - SUM('Retirement Forecast'!$C14:N14)</f>
        <v>8.0325</v>
      </c>
      <c r="O14" s="9">
        <f>'Current Mix'!$C14 - SUM('Retirement Forecast'!$C14:O14)</f>
        <v>7.14</v>
      </c>
      <c r="P14" s="9">
        <f>'Current Mix'!$C14 - SUM('Retirement Forecast'!$C14:P14)</f>
        <v>6.2475</v>
      </c>
      <c r="Q14" s="9">
        <f>'Current Mix'!$C14 - SUM('Retirement Forecast'!$C14:Q14)</f>
        <v>5.355</v>
      </c>
      <c r="R14" s="9">
        <f>'Current Mix'!$C14 - SUM('Retirement Forecast'!$C14:R14)</f>
        <v>4.4625</v>
      </c>
      <c r="S14" s="9">
        <f>'Current Mix'!$C14 - SUM('Retirement Forecast'!$C14:S14)</f>
        <v>3.57</v>
      </c>
      <c r="T14" s="9">
        <f>'Current Mix'!$C14 - SUM('Retirement Forecast'!$C14:T14)</f>
        <v>2.6775</v>
      </c>
      <c r="U14" s="9">
        <f>'Current Mix'!$C14 - SUM('Retirement Forecast'!$C14:U14)</f>
        <v>1.785</v>
      </c>
      <c r="V14" s="9">
        <f>'Current Mix'!$C14 - SUM('Retirement Forecast'!$C14:V14)</f>
        <v>0.8925</v>
      </c>
      <c r="W14" s="9">
        <f>'Current Mix'!$C14 - SUM('Retirement Forecast'!$C14:W14)</f>
        <v>0</v>
      </c>
    </row>
    <row r="15">
      <c r="A15" s="2" t="s">
        <v>17</v>
      </c>
      <c r="B15" s="2" t="s">
        <v>14</v>
      </c>
      <c r="C15" s="9">
        <f>'Current Mix'!C15 - SUM('Retirement Forecast'!C15)</f>
        <v>43.065</v>
      </c>
      <c r="D15" s="9">
        <f>'Current Mix'!C15 - SUM('Retirement Forecast'!C15:D15)</f>
        <v>41.58</v>
      </c>
      <c r="E15" s="9">
        <f>'Current Mix'!C15 - SUM('Retirement Forecast'!C15:E15)</f>
        <v>40.095</v>
      </c>
      <c r="F15" s="9">
        <f>'Current Mix'!C15 - SUM('Retirement Forecast'!C15:F15)</f>
        <v>38.61</v>
      </c>
      <c r="G15" s="9">
        <f>'Current Mix'!C15 - SUM('Retirement Forecast'!C15:G15)</f>
        <v>37.125</v>
      </c>
      <c r="H15" s="9">
        <f>'Current Mix'!$C15 - SUM('Retirement Forecast'!C15:H15)</f>
        <v>35.64</v>
      </c>
      <c r="I15" s="9">
        <f>'Current Mix'!$C15 - SUM('Retirement Forecast'!$C15:I15)</f>
        <v>32.076</v>
      </c>
      <c r="J15" s="9">
        <f>'Current Mix'!$C15 - SUM('Retirement Forecast'!$C15:J15)</f>
        <v>28.512</v>
      </c>
      <c r="K15" s="9">
        <f>'Current Mix'!$C15 - SUM('Retirement Forecast'!$C15:K15)</f>
        <v>24.948</v>
      </c>
      <c r="L15" s="9">
        <f>'Current Mix'!$C15 - SUM('Retirement Forecast'!$C15:L15)</f>
        <v>21.384</v>
      </c>
      <c r="M15" s="9">
        <f>'Current Mix'!$C15 - SUM('Retirement Forecast'!$C15:M15)</f>
        <v>17.82</v>
      </c>
      <c r="N15" s="9">
        <f>'Current Mix'!$C15 - SUM('Retirement Forecast'!$C15:N15)</f>
        <v>16.038</v>
      </c>
      <c r="O15" s="9">
        <f>'Current Mix'!$C15 - SUM('Retirement Forecast'!$C15:O15)</f>
        <v>14.256</v>
      </c>
      <c r="P15" s="9">
        <f>'Current Mix'!$C15 - SUM('Retirement Forecast'!$C15:P15)</f>
        <v>12.474</v>
      </c>
      <c r="Q15" s="9">
        <f>'Current Mix'!$C15 - SUM('Retirement Forecast'!$C15:Q15)</f>
        <v>10.692</v>
      </c>
      <c r="R15" s="9">
        <f>'Current Mix'!$C15 - SUM('Retirement Forecast'!$C15:R15)</f>
        <v>8.91</v>
      </c>
      <c r="S15" s="9">
        <f>'Current Mix'!$C15 - SUM('Retirement Forecast'!$C15:S15)</f>
        <v>7.128</v>
      </c>
      <c r="T15" s="9">
        <f>'Current Mix'!$C15 - SUM('Retirement Forecast'!$C15:T15)</f>
        <v>5.346</v>
      </c>
      <c r="U15" s="9">
        <f>'Current Mix'!$C15 - SUM('Retirement Forecast'!$C15:U15)</f>
        <v>3.564</v>
      </c>
      <c r="V15" s="9">
        <f>'Current Mix'!$C15 - SUM('Retirement Forecast'!$C15:V15)</f>
        <v>1.782</v>
      </c>
      <c r="W15" s="9">
        <f>'Current Mix'!$C15 - SUM('Retirement Forecast'!$C15:W15)</f>
        <v>0</v>
      </c>
    </row>
    <row r="16">
      <c r="A16" s="2" t="s">
        <v>17</v>
      </c>
      <c r="B16" s="2" t="s">
        <v>15</v>
      </c>
      <c r="C16" s="9">
        <f>'Current Mix'!C16 - SUM('Retirement Forecast'!C16)</f>
        <v>51.20916667</v>
      </c>
      <c r="D16" s="9">
        <f>'Current Mix'!C16 - SUM('Retirement Forecast'!C16:D16)</f>
        <v>49.44333333</v>
      </c>
      <c r="E16" s="9">
        <f>'Current Mix'!C16 - SUM('Retirement Forecast'!C16:E16)</f>
        <v>47.6775</v>
      </c>
      <c r="F16" s="9">
        <f>'Current Mix'!C16 - SUM('Retirement Forecast'!C16:F16)</f>
        <v>45.91166667</v>
      </c>
      <c r="G16" s="9">
        <f>'Current Mix'!C16 - SUM('Retirement Forecast'!C16:G16)</f>
        <v>44.14583333</v>
      </c>
      <c r="H16" s="9">
        <f>'Current Mix'!$C16 - SUM('Retirement Forecast'!C16:H16)</f>
        <v>42.38</v>
      </c>
      <c r="I16" s="9">
        <f>'Current Mix'!$C16 - SUM('Retirement Forecast'!$C16:I16)</f>
        <v>38.142</v>
      </c>
      <c r="J16" s="9">
        <f>'Current Mix'!$C16 - SUM('Retirement Forecast'!$C16:J16)</f>
        <v>33.904</v>
      </c>
      <c r="K16" s="9">
        <f>'Current Mix'!$C16 - SUM('Retirement Forecast'!$C16:K16)</f>
        <v>29.666</v>
      </c>
      <c r="L16" s="9">
        <f>'Current Mix'!$C16 - SUM('Retirement Forecast'!$C16:L16)</f>
        <v>25.428</v>
      </c>
      <c r="M16" s="9">
        <f>'Current Mix'!$C16 - SUM('Retirement Forecast'!$C16:M16)</f>
        <v>21.19</v>
      </c>
      <c r="N16" s="9">
        <f>'Current Mix'!$C16 - SUM('Retirement Forecast'!$C16:N16)</f>
        <v>19.071</v>
      </c>
      <c r="O16" s="9">
        <f>'Current Mix'!$C16 - SUM('Retirement Forecast'!$C16:O16)</f>
        <v>16.952</v>
      </c>
      <c r="P16" s="9">
        <f>'Current Mix'!$C16 - SUM('Retirement Forecast'!$C16:P16)</f>
        <v>14.833</v>
      </c>
      <c r="Q16" s="9">
        <f>'Current Mix'!$C16 - SUM('Retirement Forecast'!$C16:Q16)</f>
        <v>12.714</v>
      </c>
      <c r="R16" s="9">
        <f>'Current Mix'!$C16 - SUM('Retirement Forecast'!$C16:R16)</f>
        <v>10.595</v>
      </c>
      <c r="S16" s="9">
        <f>'Current Mix'!$C16 - SUM('Retirement Forecast'!$C16:S16)</f>
        <v>8.476</v>
      </c>
      <c r="T16" s="9">
        <f>'Current Mix'!$C16 - SUM('Retirement Forecast'!$C16:T16)</f>
        <v>6.357</v>
      </c>
      <c r="U16" s="9">
        <f>'Current Mix'!$C16 - SUM('Retirement Forecast'!$C16:U16)</f>
        <v>4.238</v>
      </c>
      <c r="V16" s="9">
        <f>'Current Mix'!$C16 - SUM('Retirement Forecast'!$C16:V16)</f>
        <v>2.119</v>
      </c>
      <c r="W16" s="9">
        <f>'Current Mix'!$C16 - SUM('Retirement Forecast'!$C16:W16)</f>
        <v>0</v>
      </c>
    </row>
    <row r="17">
      <c r="A17" s="2" t="s">
        <v>18</v>
      </c>
      <c r="B17" s="2" t="s">
        <v>11</v>
      </c>
      <c r="C17" s="9">
        <f>'Current Mix'!C17 - SUM('Retirement Forecast'!C17)</f>
        <v>11.605</v>
      </c>
      <c r="D17" s="9">
        <f>'Current Mix'!C17 - SUM('Retirement Forecast'!C17:D17)</f>
        <v>10.55</v>
      </c>
      <c r="E17" s="9">
        <f>'Current Mix'!C17 - SUM('Retirement Forecast'!C17:E17)</f>
        <v>9.495</v>
      </c>
      <c r="F17" s="9">
        <f>'Current Mix'!C17 - SUM('Retirement Forecast'!C17:F17)</f>
        <v>8.44</v>
      </c>
      <c r="G17" s="9">
        <f>'Current Mix'!C17 - SUM('Retirement Forecast'!C17:G17)</f>
        <v>7.385</v>
      </c>
      <c r="H17" s="9">
        <f>'Current Mix'!$C17 - SUM('Retirement Forecast'!C17:H17)</f>
        <v>6.33</v>
      </c>
      <c r="I17" s="9">
        <f>'Current Mix'!$C17 - SUM('Retirement Forecast'!$C17:I17)</f>
        <v>5.5704</v>
      </c>
      <c r="J17" s="9">
        <f>'Current Mix'!$C17 - SUM('Retirement Forecast'!$C17:J17)</f>
        <v>4.8108</v>
      </c>
      <c r="K17" s="9">
        <f>'Current Mix'!$C17 - SUM('Retirement Forecast'!$C17:K17)</f>
        <v>4.0512</v>
      </c>
      <c r="L17" s="9">
        <f>'Current Mix'!$C17 - SUM('Retirement Forecast'!$C17:L17)</f>
        <v>3.2916</v>
      </c>
      <c r="M17" s="9">
        <f>'Current Mix'!$C17 - SUM('Retirement Forecast'!$C17:M17)</f>
        <v>2.532</v>
      </c>
      <c r="N17" s="9">
        <f>'Current Mix'!$C17 - SUM('Retirement Forecast'!$C17:N17)</f>
        <v>2.2788</v>
      </c>
      <c r="O17" s="9">
        <f>'Current Mix'!$C17 - SUM('Retirement Forecast'!$C17:O17)</f>
        <v>2.0256</v>
      </c>
      <c r="P17" s="9">
        <f>'Current Mix'!$C17 - SUM('Retirement Forecast'!$C17:P17)</f>
        <v>1.7724</v>
      </c>
      <c r="Q17" s="9">
        <f>'Current Mix'!$C17 - SUM('Retirement Forecast'!$C17:Q17)</f>
        <v>1.5192</v>
      </c>
      <c r="R17" s="9">
        <f>'Current Mix'!$C17 - SUM('Retirement Forecast'!$C17:R17)</f>
        <v>1.266</v>
      </c>
      <c r="S17" s="9">
        <f>'Current Mix'!$C17 - SUM('Retirement Forecast'!$C17:S17)</f>
        <v>1.0128</v>
      </c>
      <c r="T17" s="9">
        <f>'Current Mix'!$C17 - SUM('Retirement Forecast'!$C17:T17)</f>
        <v>0.7596</v>
      </c>
      <c r="U17" s="9">
        <f>'Current Mix'!$C17 - SUM('Retirement Forecast'!$C17:U17)</f>
        <v>0.5064</v>
      </c>
      <c r="V17" s="9">
        <f>'Current Mix'!$C17 - SUM('Retirement Forecast'!$C17:V17)</f>
        <v>0.2532</v>
      </c>
      <c r="W17" s="9">
        <f>'Current Mix'!$C17 - SUM('Retirement Forecast'!$C17:W17)</f>
        <v>0</v>
      </c>
    </row>
    <row r="18">
      <c r="A18" s="2" t="s">
        <v>18</v>
      </c>
      <c r="B18" s="2" t="s">
        <v>12</v>
      </c>
      <c r="C18" s="9">
        <f>'Current Mix'!C18 - SUM('Retirement Forecast'!C18)</f>
        <v>120.06</v>
      </c>
      <c r="D18" s="9">
        <f>'Current Mix'!C18 - SUM('Retirement Forecast'!C18:D18)</f>
        <v>115.92</v>
      </c>
      <c r="E18" s="9">
        <f>'Current Mix'!C18 - SUM('Retirement Forecast'!C18:E18)</f>
        <v>111.78</v>
      </c>
      <c r="F18" s="9">
        <f>'Current Mix'!C18 - SUM('Retirement Forecast'!C18:F18)</f>
        <v>107.64</v>
      </c>
      <c r="G18" s="9">
        <f>'Current Mix'!C18 - SUM('Retirement Forecast'!C18:G18)</f>
        <v>103.5</v>
      </c>
      <c r="H18" s="9">
        <f>'Current Mix'!$C18 - SUM('Retirement Forecast'!C18:H18)</f>
        <v>99.36</v>
      </c>
      <c r="I18" s="9">
        <f>'Current Mix'!$C18 - SUM('Retirement Forecast'!$C18:I18)</f>
        <v>91.908</v>
      </c>
      <c r="J18" s="9">
        <f>'Current Mix'!$C18 - SUM('Retirement Forecast'!$C18:J18)</f>
        <v>84.456</v>
      </c>
      <c r="K18" s="9">
        <f>'Current Mix'!$C18 - SUM('Retirement Forecast'!$C18:K18)</f>
        <v>77.004</v>
      </c>
      <c r="L18" s="9">
        <f>'Current Mix'!$C18 - SUM('Retirement Forecast'!$C18:L18)</f>
        <v>69.552</v>
      </c>
      <c r="M18" s="9">
        <f>'Current Mix'!$C18 - SUM('Retirement Forecast'!$C18:M18)</f>
        <v>62.1</v>
      </c>
      <c r="N18" s="9">
        <f>'Current Mix'!$C18 - SUM('Retirement Forecast'!$C18:N18)</f>
        <v>55.89</v>
      </c>
      <c r="O18" s="9">
        <f>'Current Mix'!$C18 - SUM('Retirement Forecast'!$C18:O18)</f>
        <v>49.68</v>
      </c>
      <c r="P18" s="9">
        <f>'Current Mix'!$C18 - SUM('Retirement Forecast'!$C18:P18)</f>
        <v>43.47</v>
      </c>
      <c r="Q18" s="9">
        <f>'Current Mix'!$C18 - SUM('Retirement Forecast'!$C18:Q18)</f>
        <v>37.26</v>
      </c>
      <c r="R18" s="9">
        <f>'Current Mix'!$C18 - SUM('Retirement Forecast'!$C18:R18)</f>
        <v>31.05</v>
      </c>
      <c r="S18" s="9">
        <f>'Current Mix'!$C18 - SUM('Retirement Forecast'!$C18:S18)</f>
        <v>24.84</v>
      </c>
      <c r="T18" s="9">
        <f>'Current Mix'!$C18 - SUM('Retirement Forecast'!$C18:T18)</f>
        <v>18.63</v>
      </c>
      <c r="U18" s="9">
        <f>'Current Mix'!$C18 - SUM('Retirement Forecast'!$C18:U18)</f>
        <v>12.42</v>
      </c>
      <c r="V18" s="9">
        <f>'Current Mix'!$C18 - SUM('Retirement Forecast'!$C18:V18)</f>
        <v>6.21</v>
      </c>
      <c r="W18" s="9">
        <f>'Current Mix'!$C18 - SUM('Retirement Forecast'!$C18:W18)</f>
        <v>0</v>
      </c>
    </row>
    <row r="19">
      <c r="A19" s="2" t="s">
        <v>18</v>
      </c>
      <c r="B19" s="2" t="s">
        <v>13</v>
      </c>
      <c r="C19" s="9">
        <f>'Current Mix'!C19 - SUM('Retirement Forecast'!C19)</f>
        <v>7.5225</v>
      </c>
      <c r="D19" s="9">
        <f>'Current Mix'!C19 - SUM('Retirement Forecast'!C19:D19)</f>
        <v>7.395</v>
      </c>
      <c r="E19" s="9">
        <f>'Current Mix'!C19 - SUM('Retirement Forecast'!C19:E19)</f>
        <v>7.2675</v>
      </c>
      <c r="F19" s="9">
        <f>'Current Mix'!C19 - SUM('Retirement Forecast'!C19:F19)</f>
        <v>7.14</v>
      </c>
      <c r="G19" s="9">
        <f>'Current Mix'!C19 - SUM('Retirement Forecast'!C19:G19)</f>
        <v>7.0125</v>
      </c>
      <c r="H19" s="9">
        <f>'Current Mix'!$C19 - SUM('Retirement Forecast'!C19:H19)</f>
        <v>6.885</v>
      </c>
      <c r="I19" s="9">
        <f>'Current Mix'!$C19 - SUM('Retirement Forecast'!$C19:I19)</f>
        <v>6.579</v>
      </c>
      <c r="J19" s="9">
        <f>'Current Mix'!$C19 - SUM('Retirement Forecast'!$C19:J19)</f>
        <v>6.273</v>
      </c>
      <c r="K19" s="9">
        <f>'Current Mix'!$C19 - SUM('Retirement Forecast'!$C19:K19)</f>
        <v>5.967</v>
      </c>
      <c r="L19" s="9">
        <f>'Current Mix'!$C19 - SUM('Retirement Forecast'!$C19:L19)</f>
        <v>5.661</v>
      </c>
      <c r="M19" s="9">
        <f>'Current Mix'!$C19 - SUM('Retirement Forecast'!$C19:M19)</f>
        <v>5.355</v>
      </c>
      <c r="N19" s="9">
        <f>'Current Mix'!$C19 - SUM('Retirement Forecast'!$C19:N19)</f>
        <v>4.8195</v>
      </c>
      <c r="O19" s="9">
        <f>'Current Mix'!$C19 - SUM('Retirement Forecast'!$C19:O19)</f>
        <v>4.284</v>
      </c>
      <c r="P19" s="9">
        <f>'Current Mix'!$C19 - SUM('Retirement Forecast'!$C19:P19)</f>
        <v>3.7485</v>
      </c>
      <c r="Q19" s="9">
        <f>'Current Mix'!$C19 - SUM('Retirement Forecast'!$C19:Q19)</f>
        <v>3.213</v>
      </c>
      <c r="R19" s="9">
        <f>'Current Mix'!$C19 - SUM('Retirement Forecast'!$C19:R19)</f>
        <v>2.6775</v>
      </c>
      <c r="S19" s="9">
        <f>'Current Mix'!$C19 - SUM('Retirement Forecast'!$C19:S19)</f>
        <v>2.142</v>
      </c>
      <c r="T19" s="9">
        <f>'Current Mix'!$C19 - SUM('Retirement Forecast'!$C19:T19)</f>
        <v>1.6065</v>
      </c>
      <c r="U19" s="9">
        <f>'Current Mix'!$C19 - SUM('Retirement Forecast'!$C19:U19)</f>
        <v>1.071</v>
      </c>
      <c r="V19" s="9">
        <f>'Current Mix'!$C19 - SUM('Retirement Forecast'!$C19:V19)</f>
        <v>0.5355</v>
      </c>
      <c r="W19" s="9">
        <f>'Current Mix'!$C19 - SUM('Retirement Forecast'!$C19:W19)</f>
        <v>0</v>
      </c>
    </row>
    <row r="20">
      <c r="A20" s="2" t="s">
        <v>18</v>
      </c>
      <c r="B20" s="2" t="s">
        <v>14</v>
      </c>
      <c r="C20" s="9">
        <f>'Current Mix'!C20 - SUM('Retirement Forecast'!C20)</f>
        <v>19.575</v>
      </c>
      <c r="D20" s="9">
        <f>'Current Mix'!C20 - SUM('Retirement Forecast'!C20:D20)</f>
        <v>18.9</v>
      </c>
      <c r="E20" s="9">
        <f>'Current Mix'!C20 - SUM('Retirement Forecast'!C20:E20)</f>
        <v>18.225</v>
      </c>
      <c r="F20" s="9">
        <f>'Current Mix'!C20 - SUM('Retirement Forecast'!C20:F20)</f>
        <v>17.55</v>
      </c>
      <c r="G20" s="9">
        <f>'Current Mix'!C20 - SUM('Retirement Forecast'!C20:G20)</f>
        <v>16.875</v>
      </c>
      <c r="H20" s="9">
        <f>'Current Mix'!$C20 - SUM('Retirement Forecast'!C20:H20)</f>
        <v>16.2</v>
      </c>
      <c r="I20" s="9">
        <f>'Current Mix'!$C20 - SUM('Retirement Forecast'!$C20:I20)</f>
        <v>14.58</v>
      </c>
      <c r="J20" s="9">
        <f>'Current Mix'!$C20 - SUM('Retirement Forecast'!$C20:J20)</f>
        <v>12.96</v>
      </c>
      <c r="K20" s="9">
        <f>'Current Mix'!$C20 - SUM('Retirement Forecast'!$C20:K20)</f>
        <v>11.34</v>
      </c>
      <c r="L20" s="9">
        <f>'Current Mix'!$C20 - SUM('Retirement Forecast'!$C20:L20)</f>
        <v>9.72</v>
      </c>
      <c r="M20" s="9">
        <f>'Current Mix'!$C20 - SUM('Retirement Forecast'!$C20:M20)</f>
        <v>8.1</v>
      </c>
      <c r="N20" s="9">
        <f>'Current Mix'!$C20 - SUM('Retirement Forecast'!$C20:N20)</f>
        <v>7.29</v>
      </c>
      <c r="O20" s="9">
        <f>'Current Mix'!$C20 - SUM('Retirement Forecast'!$C20:O20)</f>
        <v>6.48</v>
      </c>
      <c r="P20" s="9">
        <f>'Current Mix'!$C20 - SUM('Retirement Forecast'!$C20:P20)</f>
        <v>5.67</v>
      </c>
      <c r="Q20" s="9">
        <f>'Current Mix'!$C20 - SUM('Retirement Forecast'!$C20:Q20)</f>
        <v>4.86</v>
      </c>
      <c r="R20" s="9">
        <f>'Current Mix'!$C20 - SUM('Retirement Forecast'!$C20:R20)</f>
        <v>4.05</v>
      </c>
      <c r="S20" s="9">
        <f>'Current Mix'!$C20 - SUM('Retirement Forecast'!$C20:S20)</f>
        <v>3.24</v>
      </c>
      <c r="T20" s="9">
        <f>'Current Mix'!$C20 - SUM('Retirement Forecast'!$C20:T20)</f>
        <v>2.43</v>
      </c>
      <c r="U20" s="9">
        <f>'Current Mix'!$C20 - SUM('Retirement Forecast'!$C20:U20)</f>
        <v>1.62</v>
      </c>
      <c r="V20" s="9">
        <f>'Current Mix'!$C20 - SUM('Retirement Forecast'!$C20:V20)</f>
        <v>0.81</v>
      </c>
      <c r="W20" s="9">
        <f>'Current Mix'!$C20 - SUM('Retirement Forecast'!$C20:W20)</f>
        <v>0</v>
      </c>
    </row>
    <row r="21" ht="15.75" customHeight="1">
      <c r="A21" s="2" t="s">
        <v>18</v>
      </c>
      <c r="B21" s="2" t="s">
        <v>15</v>
      </c>
      <c r="C21" s="9">
        <f>'Current Mix'!C21 - SUM('Retirement Forecast'!C21)</f>
        <v>59.0875</v>
      </c>
      <c r="D21" s="9">
        <f>'Current Mix'!C21 - SUM('Retirement Forecast'!C21:D21)</f>
        <v>57.05</v>
      </c>
      <c r="E21" s="9">
        <f>'Current Mix'!C21 - SUM('Retirement Forecast'!C21:E21)</f>
        <v>55.0125</v>
      </c>
      <c r="F21" s="9">
        <f>'Current Mix'!C21 - SUM('Retirement Forecast'!C21:F21)</f>
        <v>52.975</v>
      </c>
      <c r="G21" s="9">
        <f>'Current Mix'!C21 - SUM('Retirement Forecast'!C21:G21)</f>
        <v>50.9375</v>
      </c>
      <c r="H21" s="9">
        <f>'Current Mix'!$C21 - SUM('Retirement Forecast'!C21:H21)</f>
        <v>48.9</v>
      </c>
      <c r="I21" s="9">
        <f>'Current Mix'!$C21 - SUM('Retirement Forecast'!$C21:I21)</f>
        <v>44.01</v>
      </c>
      <c r="J21" s="9">
        <f>'Current Mix'!$C21 - SUM('Retirement Forecast'!$C21:J21)</f>
        <v>39.12</v>
      </c>
      <c r="K21" s="9">
        <f>'Current Mix'!$C21 - SUM('Retirement Forecast'!$C21:K21)</f>
        <v>34.23</v>
      </c>
      <c r="L21" s="9">
        <f>'Current Mix'!$C21 - SUM('Retirement Forecast'!$C21:L21)</f>
        <v>29.34</v>
      </c>
      <c r="M21" s="9">
        <f>'Current Mix'!$C21 - SUM('Retirement Forecast'!$C21:M21)</f>
        <v>24.45</v>
      </c>
      <c r="N21" s="9">
        <f>'Current Mix'!$C21 - SUM('Retirement Forecast'!$C21:N21)</f>
        <v>22.005</v>
      </c>
      <c r="O21" s="9">
        <f>'Current Mix'!$C21 - SUM('Retirement Forecast'!$C21:O21)</f>
        <v>19.56</v>
      </c>
      <c r="P21" s="9">
        <f>'Current Mix'!$C21 - SUM('Retirement Forecast'!$C21:P21)</f>
        <v>17.115</v>
      </c>
      <c r="Q21" s="9">
        <f>'Current Mix'!$C21 - SUM('Retirement Forecast'!$C21:Q21)</f>
        <v>14.67</v>
      </c>
      <c r="R21" s="9">
        <f>'Current Mix'!$C21 - SUM('Retirement Forecast'!$C21:R21)</f>
        <v>12.225</v>
      </c>
      <c r="S21" s="9">
        <f>'Current Mix'!$C21 - SUM('Retirement Forecast'!$C21:S21)</f>
        <v>9.78</v>
      </c>
      <c r="T21" s="9">
        <f>'Current Mix'!$C21 - SUM('Retirement Forecast'!$C21:T21)</f>
        <v>7.335</v>
      </c>
      <c r="U21" s="9">
        <f>'Current Mix'!$C21 - SUM('Retirement Forecast'!$C21:U21)</f>
        <v>4.89</v>
      </c>
      <c r="V21" s="9">
        <f>'Current Mix'!$C21 - SUM('Retirement Forecast'!$C21:V21)</f>
        <v>2.445</v>
      </c>
      <c r="W21" s="9">
        <f>'Current Mix'!$C21 - SUM('Retirement Forecast'!$C21:W21)</f>
        <v>0</v>
      </c>
    </row>
    <row r="22" ht="15.75" customHeight="1"/>
    <row r="23" ht="15.75" customHeight="1"/>
    <row r="24" ht="15.75" customHeight="1"/>
    <row r="25" ht="15.75" customHeight="1">
      <c r="A25" s="10" t="s">
        <v>22</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W$22">
    <sortState ref="A1:W22">
      <sortCondition ref="A1:A22"/>
    </sortState>
  </autoFilter>
  <mergeCells count="1">
    <mergeCell ref="A25:K28"/>
  </mergeCell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5.29"/>
    <col customWidth="1" min="3" max="26" width="8.71"/>
  </cols>
  <sheetData>
    <row r="1">
      <c r="A1" s="2" t="s">
        <v>4</v>
      </c>
      <c r="B1" s="2" t="s">
        <v>5</v>
      </c>
      <c r="C1" s="2">
        <v>2025.0</v>
      </c>
      <c r="D1" s="2">
        <v>2026.0</v>
      </c>
      <c r="E1" s="2">
        <v>2027.0</v>
      </c>
      <c r="F1" s="2">
        <v>2028.0</v>
      </c>
      <c r="G1" s="2">
        <v>2029.0</v>
      </c>
      <c r="H1" s="2">
        <v>2030.0</v>
      </c>
      <c r="I1" s="2">
        <v>2031.0</v>
      </c>
      <c r="J1" s="2">
        <v>2032.0</v>
      </c>
      <c r="K1" s="2">
        <v>2033.0</v>
      </c>
      <c r="L1" s="2">
        <v>2034.0</v>
      </c>
      <c r="M1" s="2">
        <v>2035.0</v>
      </c>
      <c r="N1" s="2">
        <v>2036.0</v>
      </c>
      <c r="O1" s="2">
        <v>2037.0</v>
      </c>
      <c r="P1" s="2">
        <v>2038.0</v>
      </c>
      <c r="Q1" s="2">
        <v>2039.0</v>
      </c>
      <c r="R1" s="2">
        <v>2040.0</v>
      </c>
      <c r="S1" s="2">
        <v>2041.0</v>
      </c>
      <c r="T1" s="2">
        <v>2042.0</v>
      </c>
      <c r="U1" s="2">
        <v>2043.0</v>
      </c>
      <c r="V1" s="2">
        <v>2044.0</v>
      </c>
      <c r="W1" s="2">
        <v>2045.0</v>
      </c>
    </row>
    <row r="2">
      <c r="A2" s="2" t="s">
        <v>10</v>
      </c>
      <c r="B2" s="2" t="s">
        <v>11</v>
      </c>
      <c r="C2" s="9">
        <f>'Remaining Capacity'!C2*'Current Mix'!D2*8760/1000</f>
        <v>118.6031</v>
      </c>
      <c r="D2" s="9">
        <f>'Remaining Capacity'!D2*'Current Mix'!D2*8760/1000</f>
        <v>107.821</v>
      </c>
      <c r="E2" s="9">
        <f>'Remaining Capacity'!E2*'Current Mix'!D2*8760/1000</f>
        <v>97.0389</v>
      </c>
      <c r="F2" s="9">
        <f>'Remaining Capacity'!F2*'Current Mix'!D2*8760/1000</f>
        <v>86.2568</v>
      </c>
      <c r="G2" s="9">
        <f>'Remaining Capacity'!G2*'Current Mix'!D2*8760/1000</f>
        <v>75.4747</v>
      </c>
      <c r="H2" s="9">
        <f>'Remaining Capacity'!H2*'Current Mix'!D2*8760/1000</f>
        <v>64.6926</v>
      </c>
      <c r="I2" s="9">
        <f>'Remaining Capacity'!I2*'Current Mix'!D2*8760/1000</f>
        <v>56.929488</v>
      </c>
      <c r="J2" s="9">
        <f>'Remaining Capacity'!J2*'Current Mix'!D2*8760/1000</f>
        <v>49.166376</v>
      </c>
      <c r="K2" s="9">
        <f>'Remaining Capacity'!K2*'Current Mix'!D2*8760/1000</f>
        <v>41.403264</v>
      </c>
      <c r="L2" s="9">
        <f>'Remaining Capacity'!L2*'Current Mix'!D2*8760/1000</f>
        <v>33.640152</v>
      </c>
      <c r="M2" s="9">
        <f>'Remaining Capacity'!M2*'Current Mix'!D2*8760/1000</f>
        <v>25.87704</v>
      </c>
      <c r="N2" s="9">
        <f>'Remaining Capacity'!N2*'Current Mix'!D2*8760/1000</f>
        <v>23.289336</v>
      </c>
      <c r="O2" s="9">
        <f>'Remaining Capacity'!O2*'Current Mix'!D2*8760/1000</f>
        <v>20.701632</v>
      </c>
      <c r="P2" s="9">
        <f>'Remaining Capacity'!P2*'Current Mix'!D2*8760/1000</f>
        <v>18.113928</v>
      </c>
      <c r="Q2" s="9">
        <f>'Remaining Capacity'!Q2*'Current Mix'!D2*8760/1000</f>
        <v>15.526224</v>
      </c>
      <c r="R2" s="9">
        <f>'Remaining Capacity'!R2*'Current Mix'!D2*8760/1000</f>
        <v>12.93852</v>
      </c>
      <c r="S2" s="9">
        <f>'Remaining Capacity'!S2*'Current Mix'!D2*8760/1000</f>
        <v>10.350816</v>
      </c>
      <c r="T2" s="9">
        <f>'Remaining Capacity'!T2*'Current Mix'!D2*8760/1000</f>
        <v>7.763112</v>
      </c>
      <c r="U2" s="9">
        <f>'Remaining Capacity'!U2*'Current Mix'!D2*8760/1000</f>
        <v>5.175408</v>
      </c>
      <c r="V2" s="9">
        <f>'Remaining Capacity'!V2*'Current Mix'!D2*8760/1000</f>
        <v>2.587704</v>
      </c>
      <c r="W2" s="9">
        <f>'Remaining Capacity'!W2*'Current Mix'!D2*8760/1000</f>
        <v>0</v>
      </c>
    </row>
    <row r="3">
      <c r="A3" s="2" t="s">
        <v>10</v>
      </c>
      <c r="B3" s="2" t="s">
        <v>12</v>
      </c>
      <c r="C3" s="9">
        <f>'Remaining Capacity'!C3*'Current Mix'!D3*8760/1000</f>
        <v>805.154376</v>
      </c>
      <c r="D3" s="9">
        <f>'Remaining Capacity'!D3*'Current Mix'!D3*8760/1000</f>
        <v>777.390432</v>
      </c>
      <c r="E3" s="9">
        <f>'Remaining Capacity'!E3*'Current Mix'!D3*8760/1000</f>
        <v>749.626488</v>
      </c>
      <c r="F3" s="9">
        <f>'Remaining Capacity'!F3*'Current Mix'!D3*8760/1000</f>
        <v>721.862544</v>
      </c>
      <c r="G3" s="9">
        <f>'Remaining Capacity'!G3*'Current Mix'!D3*8760/1000</f>
        <v>694.0986</v>
      </c>
      <c r="H3" s="9">
        <f>'Remaining Capacity'!H3*'Current Mix'!D3*8760/1000</f>
        <v>666.334656</v>
      </c>
      <c r="I3" s="9">
        <f>'Remaining Capacity'!I3*'Current Mix'!D3*8760/1000</f>
        <v>616.3595568</v>
      </c>
      <c r="J3" s="9">
        <f>'Remaining Capacity'!J3*'Current Mix'!D3*8760/1000</f>
        <v>566.3844576</v>
      </c>
      <c r="K3" s="9">
        <f>'Remaining Capacity'!K3*'Current Mix'!D3*8760/1000</f>
        <v>516.4093584</v>
      </c>
      <c r="L3" s="9">
        <f>'Remaining Capacity'!L3*'Current Mix'!D3*8760/1000</f>
        <v>466.4342592</v>
      </c>
      <c r="M3" s="9">
        <f>'Remaining Capacity'!M3*'Current Mix'!D3*8760/1000</f>
        <v>416.45916</v>
      </c>
      <c r="N3" s="9">
        <f>'Remaining Capacity'!N3*'Current Mix'!D3*8760/1000</f>
        <v>374.813244</v>
      </c>
      <c r="O3" s="9">
        <f>'Remaining Capacity'!O3*'Current Mix'!D3*8760/1000</f>
        <v>333.167328</v>
      </c>
      <c r="P3" s="9">
        <f>'Remaining Capacity'!P3*'Current Mix'!D3*8760/1000</f>
        <v>291.521412</v>
      </c>
      <c r="Q3" s="9">
        <f>'Remaining Capacity'!Q3*'Current Mix'!D3*8760/1000</f>
        <v>249.875496</v>
      </c>
      <c r="R3" s="9">
        <f>'Remaining Capacity'!R3*'Current Mix'!D3*8760/1000</f>
        <v>208.22958</v>
      </c>
      <c r="S3" s="9">
        <f>'Remaining Capacity'!S3*'Current Mix'!D3*8760/1000</f>
        <v>166.583664</v>
      </c>
      <c r="T3" s="9">
        <f>'Remaining Capacity'!T3*'Current Mix'!D3*8760/1000</f>
        <v>124.937748</v>
      </c>
      <c r="U3" s="9">
        <f>'Remaining Capacity'!U3*'Current Mix'!D3*8760/1000</f>
        <v>83.291832</v>
      </c>
      <c r="V3" s="9">
        <f>'Remaining Capacity'!V3*'Current Mix'!D3*8760/1000</f>
        <v>41.645916</v>
      </c>
      <c r="W3" s="9">
        <f>'Remaining Capacity'!W3*'Current Mix'!D3*8760/1000</f>
        <v>0</v>
      </c>
    </row>
    <row r="4">
      <c r="A4" s="2" t="s">
        <v>10</v>
      </c>
      <c r="B4" s="2" t="s">
        <v>13</v>
      </c>
      <c r="C4" s="9">
        <f>'Remaining Capacity'!C4*'Current Mix'!D4*8760/1000</f>
        <v>219.876657</v>
      </c>
      <c r="D4" s="9">
        <f>'Remaining Capacity'!D4*'Current Mix'!D4*8760/1000</f>
        <v>216.149934</v>
      </c>
      <c r="E4" s="9">
        <f>'Remaining Capacity'!E4*'Current Mix'!D4*8760/1000</f>
        <v>212.423211</v>
      </c>
      <c r="F4" s="9">
        <f>'Remaining Capacity'!F4*'Current Mix'!D4*8760/1000</f>
        <v>208.696488</v>
      </c>
      <c r="G4" s="9">
        <f>'Remaining Capacity'!G4*'Current Mix'!D4*8760/1000</f>
        <v>204.969765</v>
      </c>
      <c r="H4" s="9">
        <f>'Remaining Capacity'!H4*'Current Mix'!D4*8760/1000</f>
        <v>201.243042</v>
      </c>
      <c r="I4" s="9">
        <f>'Remaining Capacity'!I4*'Current Mix'!D4*8760/1000</f>
        <v>192.2989068</v>
      </c>
      <c r="J4" s="9">
        <f>'Remaining Capacity'!J4*'Current Mix'!D4*8760/1000</f>
        <v>183.3547716</v>
      </c>
      <c r="K4" s="9">
        <f>'Remaining Capacity'!K4*'Current Mix'!D4*8760/1000</f>
        <v>174.4106364</v>
      </c>
      <c r="L4" s="9">
        <f>'Remaining Capacity'!L4*'Current Mix'!D4*8760/1000</f>
        <v>165.4665012</v>
      </c>
      <c r="M4" s="9">
        <f>'Remaining Capacity'!M4*'Current Mix'!D4*8760/1000</f>
        <v>156.522366</v>
      </c>
      <c r="N4" s="9">
        <f>'Remaining Capacity'!N4*'Current Mix'!D4*8760/1000</f>
        <v>140.8701294</v>
      </c>
      <c r="O4" s="9">
        <f>'Remaining Capacity'!O4*'Current Mix'!D4*8760/1000</f>
        <v>125.2178928</v>
      </c>
      <c r="P4" s="9">
        <f>'Remaining Capacity'!P4*'Current Mix'!D4*8760/1000</f>
        <v>109.5656562</v>
      </c>
      <c r="Q4" s="9">
        <f>'Remaining Capacity'!Q4*'Current Mix'!D4*8760/1000</f>
        <v>93.9134196</v>
      </c>
      <c r="R4" s="9">
        <f>'Remaining Capacity'!R4*'Current Mix'!D4*8760/1000</f>
        <v>78.261183</v>
      </c>
      <c r="S4" s="9">
        <f>'Remaining Capacity'!S4*'Current Mix'!D4*8760/1000</f>
        <v>62.6089464</v>
      </c>
      <c r="T4" s="9">
        <f>'Remaining Capacity'!T4*'Current Mix'!D4*8760/1000</f>
        <v>46.9567098</v>
      </c>
      <c r="U4" s="9">
        <f>'Remaining Capacity'!U4*'Current Mix'!D4*8760/1000</f>
        <v>31.3044732</v>
      </c>
      <c r="V4" s="9">
        <f>'Remaining Capacity'!V4*'Current Mix'!D4*8760/1000</f>
        <v>15.6522366</v>
      </c>
      <c r="W4" s="9">
        <f>'Remaining Capacity'!W4*'Current Mix'!D4*8760/1000</f>
        <v>0</v>
      </c>
    </row>
    <row r="5">
      <c r="A5" s="2" t="s">
        <v>10</v>
      </c>
      <c r="B5" s="2" t="s">
        <v>14</v>
      </c>
      <c r="C5" s="9">
        <f>'Remaining Capacity'!C5*'Current Mix'!D5*8760/1000</f>
        <v>244.869156</v>
      </c>
      <c r="D5" s="9">
        <f>'Remaining Capacity'!D5*'Current Mix'!D5*8760/1000</f>
        <v>236.425392</v>
      </c>
      <c r="E5" s="9">
        <f>'Remaining Capacity'!E5*'Current Mix'!D5*8760/1000</f>
        <v>227.981628</v>
      </c>
      <c r="F5" s="9">
        <f>'Remaining Capacity'!F5*'Current Mix'!D5*8760/1000</f>
        <v>219.537864</v>
      </c>
      <c r="G5" s="9">
        <f>'Remaining Capacity'!G5*'Current Mix'!D5*8760/1000</f>
        <v>211.0941</v>
      </c>
      <c r="H5" s="9">
        <f>'Remaining Capacity'!H5*'Current Mix'!D5*8760/1000</f>
        <v>202.650336</v>
      </c>
      <c r="I5" s="9">
        <f>'Remaining Capacity'!I5*'Current Mix'!D5*8760/1000</f>
        <v>182.3853024</v>
      </c>
      <c r="J5" s="9">
        <f>'Remaining Capacity'!J5*'Current Mix'!D5*8760/1000</f>
        <v>162.1202688</v>
      </c>
      <c r="K5" s="9">
        <f>'Remaining Capacity'!K5*'Current Mix'!D5*8760/1000</f>
        <v>141.8552352</v>
      </c>
      <c r="L5" s="9">
        <f>'Remaining Capacity'!L5*'Current Mix'!D5*8760/1000</f>
        <v>121.5902016</v>
      </c>
      <c r="M5" s="9">
        <f>'Remaining Capacity'!M5*'Current Mix'!D5*8760/1000</f>
        <v>101.325168</v>
      </c>
      <c r="N5" s="9">
        <f>'Remaining Capacity'!N5*'Current Mix'!D5*8760/1000</f>
        <v>91.1926512</v>
      </c>
      <c r="O5" s="9">
        <f>'Remaining Capacity'!O5*'Current Mix'!D5*8760/1000</f>
        <v>81.0601344</v>
      </c>
      <c r="P5" s="9">
        <f>'Remaining Capacity'!P5*'Current Mix'!D5*8760/1000</f>
        <v>70.9276176</v>
      </c>
      <c r="Q5" s="9">
        <f>'Remaining Capacity'!Q5*'Current Mix'!D5*8760/1000</f>
        <v>60.7951008</v>
      </c>
      <c r="R5" s="9">
        <f>'Remaining Capacity'!R5*'Current Mix'!D5*8760/1000</f>
        <v>50.662584</v>
      </c>
      <c r="S5" s="9">
        <f>'Remaining Capacity'!S5*'Current Mix'!D5*8760/1000</f>
        <v>40.5300672</v>
      </c>
      <c r="T5" s="9">
        <f>'Remaining Capacity'!T5*'Current Mix'!D5*8760/1000</f>
        <v>30.3975504</v>
      </c>
      <c r="U5" s="9">
        <f>'Remaining Capacity'!U5*'Current Mix'!D5*8760/1000</f>
        <v>20.2650336</v>
      </c>
      <c r="V5" s="9">
        <f>'Remaining Capacity'!V5*'Current Mix'!D5*8760/1000</f>
        <v>10.1325168</v>
      </c>
      <c r="W5" s="9">
        <f>'Remaining Capacity'!W5*'Current Mix'!D5*8760/1000</f>
        <v>0</v>
      </c>
    </row>
    <row r="6">
      <c r="A6" s="2" t="s">
        <v>10</v>
      </c>
      <c r="B6" s="2" t="s">
        <v>15</v>
      </c>
      <c r="C6" s="9">
        <f>'Remaining Capacity'!C6*'Current Mix'!D6*8760/1000</f>
        <v>60.387425</v>
      </c>
      <c r="D6" s="9">
        <f>'Remaining Capacity'!D6*'Current Mix'!D6*8760/1000</f>
        <v>58.3051</v>
      </c>
      <c r="E6" s="9">
        <f>'Remaining Capacity'!E6*'Current Mix'!D6*8760/1000</f>
        <v>56.222775</v>
      </c>
      <c r="F6" s="9">
        <f>'Remaining Capacity'!F6*'Current Mix'!D6*8760/1000</f>
        <v>54.14045</v>
      </c>
      <c r="G6" s="9">
        <f>'Remaining Capacity'!G6*'Current Mix'!D6*8760/1000</f>
        <v>52.058125</v>
      </c>
      <c r="H6" s="9">
        <f>'Remaining Capacity'!H6*'Current Mix'!D6*8760/1000</f>
        <v>49.9758</v>
      </c>
      <c r="I6" s="9">
        <f>'Remaining Capacity'!I6*'Current Mix'!D6*8760/1000</f>
        <v>44.97822</v>
      </c>
      <c r="J6" s="9">
        <f>'Remaining Capacity'!J6*'Current Mix'!D6*8760/1000</f>
        <v>39.98064</v>
      </c>
      <c r="K6" s="9">
        <f>'Remaining Capacity'!K6*'Current Mix'!D6*8760/1000</f>
        <v>34.98306</v>
      </c>
      <c r="L6" s="9">
        <f>'Remaining Capacity'!L6*'Current Mix'!D6*8760/1000</f>
        <v>29.98548</v>
      </c>
      <c r="M6" s="9">
        <f>'Remaining Capacity'!M6*'Current Mix'!D6*8760/1000</f>
        <v>24.9879</v>
      </c>
      <c r="N6" s="9">
        <f>'Remaining Capacity'!N6*'Current Mix'!D6*8760/1000</f>
        <v>22.48911</v>
      </c>
      <c r="O6" s="9">
        <f>'Remaining Capacity'!O6*'Current Mix'!D6*8760/1000</f>
        <v>19.99032</v>
      </c>
      <c r="P6" s="9">
        <f>'Remaining Capacity'!P6*'Current Mix'!D6*8760/1000</f>
        <v>17.49153</v>
      </c>
      <c r="Q6" s="9">
        <f>'Remaining Capacity'!Q6*'Current Mix'!D6*8760/1000</f>
        <v>14.99274</v>
      </c>
      <c r="R6" s="9">
        <f>'Remaining Capacity'!R6*'Current Mix'!D6*8760/1000</f>
        <v>12.49395</v>
      </c>
      <c r="S6" s="9">
        <f>'Remaining Capacity'!S6*'Current Mix'!D6*8760/1000</f>
        <v>9.99516</v>
      </c>
      <c r="T6" s="9">
        <f>'Remaining Capacity'!T6*'Current Mix'!D6*8760/1000</f>
        <v>7.49637</v>
      </c>
      <c r="U6" s="9">
        <f>'Remaining Capacity'!U6*'Current Mix'!D6*8760/1000</f>
        <v>4.99758</v>
      </c>
      <c r="V6" s="9">
        <f>'Remaining Capacity'!V6*'Current Mix'!D6*8760/1000</f>
        <v>2.49879</v>
      </c>
      <c r="W6" s="9">
        <f>'Remaining Capacity'!W6*'Current Mix'!D6*8760/1000</f>
        <v>0</v>
      </c>
    </row>
    <row r="7">
      <c r="A7" s="2" t="s">
        <v>16</v>
      </c>
      <c r="B7" s="2" t="s">
        <v>11</v>
      </c>
      <c r="C7" s="9">
        <f>'Remaining Capacity'!C7*'Current Mix'!D7*8760/1000</f>
        <v>45.74691</v>
      </c>
      <c r="D7" s="9">
        <f>'Remaining Capacity'!D7*'Current Mix'!D7*8760/1000</f>
        <v>41.5881</v>
      </c>
      <c r="E7" s="9">
        <f>'Remaining Capacity'!E7*'Current Mix'!D7*8760/1000</f>
        <v>37.42929</v>
      </c>
      <c r="F7" s="9">
        <f>'Remaining Capacity'!F7*'Current Mix'!D7*8760/1000</f>
        <v>33.27048</v>
      </c>
      <c r="G7" s="9">
        <f>'Remaining Capacity'!G7*'Current Mix'!D7*8760/1000</f>
        <v>29.11167</v>
      </c>
      <c r="H7" s="9">
        <f>'Remaining Capacity'!H7*'Current Mix'!D7*8760/1000</f>
        <v>24.95286</v>
      </c>
      <c r="I7" s="9">
        <f>'Remaining Capacity'!I7*'Current Mix'!D7*8760/1000</f>
        <v>21.9585168</v>
      </c>
      <c r="J7" s="9">
        <f>'Remaining Capacity'!J7*'Current Mix'!D7*8760/1000</f>
        <v>18.9641736</v>
      </c>
      <c r="K7" s="9">
        <f>'Remaining Capacity'!K7*'Current Mix'!D7*8760/1000</f>
        <v>15.9698304</v>
      </c>
      <c r="L7" s="9">
        <f>'Remaining Capacity'!L7*'Current Mix'!D7*8760/1000</f>
        <v>12.9754872</v>
      </c>
      <c r="M7" s="9">
        <f>'Remaining Capacity'!M7*'Current Mix'!D7*8760/1000</f>
        <v>9.981144</v>
      </c>
      <c r="N7" s="9">
        <f>'Remaining Capacity'!N7*'Current Mix'!D7*8760/1000</f>
        <v>8.9830296</v>
      </c>
      <c r="O7" s="9">
        <f>'Remaining Capacity'!O7*'Current Mix'!D7*8760/1000</f>
        <v>7.9849152</v>
      </c>
      <c r="P7" s="9">
        <f>'Remaining Capacity'!P7*'Current Mix'!D7*8760/1000</f>
        <v>6.9868008</v>
      </c>
      <c r="Q7" s="9">
        <f>'Remaining Capacity'!Q7*'Current Mix'!D7*8760/1000</f>
        <v>5.9886864</v>
      </c>
      <c r="R7" s="9">
        <f>'Remaining Capacity'!R7*'Current Mix'!D7*8760/1000</f>
        <v>4.990572</v>
      </c>
      <c r="S7" s="9">
        <f>'Remaining Capacity'!S7*'Current Mix'!D7*8760/1000</f>
        <v>3.9924576</v>
      </c>
      <c r="T7" s="9">
        <f>'Remaining Capacity'!T7*'Current Mix'!D7*8760/1000</f>
        <v>2.9943432</v>
      </c>
      <c r="U7" s="9">
        <f>'Remaining Capacity'!U7*'Current Mix'!D7*8760/1000</f>
        <v>1.9962288</v>
      </c>
      <c r="V7" s="9">
        <f>'Remaining Capacity'!V7*'Current Mix'!D7*8760/1000</f>
        <v>0.9981144</v>
      </c>
      <c r="W7" s="9">
        <f>'Remaining Capacity'!W7*'Current Mix'!D7*8760/1000</f>
        <v>0</v>
      </c>
    </row>
    <row r="8">
      <c r="A8" s="2" t="s">
        <v>16</v>
      </c>
      <c r="B8" s="2" t="s">
        <v>12</v>
      </c>
      <c r="C8" s="9">
        <f>'Remaining Capacity'!C8*'Current Mix'!D8*8760/1000</f>
        <v>706.99332</v>
      </c>
      <c r="D8" s="9">
        <f>'Remaining Capacity'!D8*'Current Mix'!D8*8760/1000</f>
        <v>682.61424</v>
      </c>
      <c r="E8" s="9">
        <f>'Remaining Capacity'!E8*'Current Mix'!D8*8760/1000</f>
        <v>658.23516</v>
      </c>
      <c r="F8" s="9">
        <f>'Remaining Capacity'!F8*'Current Mix'!D8*8760/1000</f>
        <v>633.85608</v>
      </c>
      <c r="G8" s="9">
        <f>'Remaining Capacity'!G8*'Current Mix'!D8*8760/1000</f>
        <v>609.477</v>
      </c>
      <c r="H8" s="9">
        <f>'Remaining Capacity'!H8*'Current Mix'!D8*8760/1000</f>
        <v>585.09792</v>
      </c>
      <c r="I8" s="9">
        <f>'Remaining Capacity'!I8*'Current Mix'!D8*8760/1000</f>
        <v>541.215576</v>
      </c>
      <c r="J8" s="9">
        <f>'Remaining Capacity'!J8*'Current Mix'!D8*8760/1000</f>
        <v>497.333232</v>
      </c>
      <c r="K8" s="9">
        <f>'Remaining Capacity'!K8*'Current Mix'!D8*8760/1000</f>
        <v>453.450888</v>
      </c>
      <c r="L8" s="9">
        <f>'Remaining Capacity'!L8*'Current Mix'!D8*8760/1000</f>
        <v>409.568544</v>
      </c>
      <c r="M8" s="9">
        <f>'Remaining Capacity'!M8*'Current Mix'!D8*8760/1000</f>
        <v>365.6862</v>
      </c>
      <c r="N8" s="9">
        <f>'Remaining Capacity'!N8*'Current Mix'!D8*8760/1000</f>
        <v>329.11758</v>
      </c>
      <c r="O8" s="9">
        <f>'Remaining Capacity'!O8*'Current Mix'!D8*8760/1000</f>
        <v>292.54896</v>
      </c>
      <c r="P8" s="9">
        <f>'Remaining Capacity'!P8*'Current Mix'!D8*8760/1000</f>
        <v>255.98034</v>
      </c>
      <c r="Q8" s="9">
        <f>'Remaining Capacity'!Q8*'Current Mix'!D8*8760/1000</f>
        <v>219.41172</v>
      </c>
      <c r="R8" s="9">
        <f>'Remaining Capacity'!R8*'Current Mix'!D8*8760/1000</f>
        <v>182.8431</v>
      </c>
      <c r="S8" s="9">
        <f>'Remaining Capacity'!S8*'Current Mix'!D8*8760/1000</f>
        <v>146.27448</v>
      </c>
      <c r="T8" s="9">
        <f>'Remaining Capacity'!T8*'Current Mix'!D8*8760/1000</f>
        <v>109.70586</v>
      </c>
      <c r="U8" s="9">
        <f>'Remaining Capacity'!U8*'Current Mix'!D8*8760/1000</f>
        <v>73.13724</v>
      </c>
      <c r="V8" s="9">
        <f>'Remaining Capacity'!V8*'Current Mix'!D8*8760/1000</f>
        <v>36.56862</v>
      </c>
      <c r="W8" s="9">
        <f>'Remaining Capacity'!W8*'Current Mix'!D8*8760/1000</f>
        <v>0</v>
      </c>
    </row>
    <row r="9">
      <c r="A9" s="2" t="s">
        <v>16</v>
      </c>
      <c r="B9" s="2" t="s">
        <v>13</v>
      </c>
      <c r="C9" s="9">
        <f>'Remaining Capacity'!C9*'Current Mix'!D9*8760/1000</f>
        <v>175.945257</v>
      </c>
      <c r="D9" s="9">
        <f>'Remaining Capacity'!D9*'Current Mix'!D9*8760/1000</f>
        <v>172.963134</v>
      </c>
      <c r="E9" s="9">
        <f>'Remaining Capacity'!E9*'Current Mix'!D9*8760/1000</f>
        <v>169.981011</v>
      </c>
      <c r="F9" s="9">
        <f>'Remaining Capacity'!F9*'Current Mix'!D9*8760/1000</f>
        <v>166.998888</v>
      </c>
      <c r="G9" s="9">
        <f>'Remaining Capacity'!G9*'Current Mix'!D9*8760/1000</f>
        <v>164.016765</v>
      </c>
      <c r="H9" s="9">
        <f>'Remaining Capacity'!H9*'Current Mix'!D9*8760/1000</f>
        <v>161.034642</v>
      </c>
      <c r="I9" s="9">
        <f>'Remaining Capacity'!I9*'Current Mix'!D9*8760/1000</f>
        <v>153.8775468</v>
      </c>
      <c r="J9" s="9">
        <f>'Remaining Capacity'!J9*'Current Mix'!D9*8760/1000</f>
        <v>146.7204516</v>
      </c>
      <c r="K9" s="9">
        <f>'Remaining Capacity'!K9*'Current Mix'!D9*8760/1000</f>
        <v>139.5633564</v>
      </c>
      <c r="L9" s="9">
        <f>'Remaining Capacity'!L9*'Current Mix'!D9*8760/1000</f>
        <v>132.4062612</v>
      </c>
      <c r="M9" s="9">
        <f>'Remaining Capacity'!M9*'Current Mix'!D9*8760/1000</f>
        <v>125.249166</v>
      </c>
      <c r="N9" s="9">
        <f>'Remaining Capacity'!N9*'Current Mix'!D9*8760/1000</f>
        <v>112.7242494</v>
      </c>
      <c r="O9" s="9">
        <f>'Remaining Capacity'!O9*'Current Mix'!D9*8760/1000</f>
        <v>100.1993328</v>
      </c>
      <c r="P9" s="9">
        <f>'Remaining Capacity'!P9*'Current Mix'!D9*8760/1000</f>
        <v>87.6744162</v>
      </c>
      <c r="Q9" s="9">
        <f>'Remaining Capacity'!Q9*'Current Mix'!D9*8760/1000</f>
        <v>75.1494996</v>
      </c>
      <c r="R9" s="9">
        <f>'Remaining Capacity'!R9*'Current Mix'!D9*8760/1000</f>
        <v>62.624583</v>
      </c>
      <c r="S9" s="9">
        <f>'Remaining Capacity'!S9*'Current Mix'!D9*8760/1000</f>
        <v>50.0996664</v>
      </c>
      <c r="T9" s="9">
        <f>'Remaining Capacity'!T9*'Current Mix'!D9*8760/1000</f>
        <v>37.5747498</v>
      </c>
      <c r="U9" s="9">
        <f>'Remaining Capacity'!U9*'Current Mix'!D9*8760/1000</f>
        <v>25.0498332</v>
      </c>
      <c r="V9" s="9">
        <f>'Remaining Capacity'!V9*'Current Mix'!D9*8760/1000</f>
        <v>12.5249166</v>
      </c>
      <c r="W9" s="9">
        <f>'Remaining Capacity'!W9*'Current Mix'!D9*8760/1000</f>
        <v>0</v>
      </c>
    </row>
    <row r="10">
      <c r="A10" s="2" t="s">
        <v>16</v>
      </c>
      <c r="B10" s="2" t="s">
        <v>14</v>
      </c>
      <c r="C10" s="9">
        <f>'Remaining Capacity'!C10*'Current Mix'!D10*8760/1000</f>
        <v>36.01017</v>
      </c>
      <c r="D10" s="9">
        <f>'Remaining Capacity'!D10*'Current Mix'!D10*8760/1000</f>
        <v>34.76844</v>
      </c>
      <c r="E10" s="9">
        <f>'Remaining Capacity'!E10*'Current Mix'!D10*8760/1000</f>
        <v>33.52671</v>
      </c>
      <c r="F10" s="9">
        <f>'Remaining Capacity'!F10*'Current Mix'!D10*8760/1000</f>
        <v>32.28498</v>
      </c>
      <c r="G10" s="9">
        <f>'Remaining Capacity'!G10*'Current Mix'!D10*8760/1000</f>
        <v>31.04325</v>
      </c>
      <c r="H10" s="9">
        <f>'Remaining Capacity'!H10*'Current Mix'!D10*8760/1000</f>
        <v>29.80152</v>
      </c>
      <c r="I10" s="9">
        <f>'Remaining Capacity'!I10*'Current Mix'!D10*8760/1000</f>
        <v>26.821368</v>
      </c>
      <c r="J10" s="9">
        <f>'Remaining Capacity'!J10*'Current Mix'!D10*8760/1000</f>
        <v>23.841216</v>
      </c>
      <c r="K10" s="9">
        <f>'Remaining Capacity'!K10*'Current Mix'!D10*8760/1000</f>
        <v>20.861064</v>
      </c>
      <c r="L10" s="9">
        <f>'Remaining Capacity'!L10*'Current Mix'!D10*8760/1000</f>
        <v>17.880912</v>
      </c>
      <c r="M10" s="9">
        <f>'Remaining Capacity'!M10*'Current Mix'!D10*8760/1000</f>
        <v>14.90076</v>
      </c>
      <c r="N10" s="9">
        <f>'Remaining Capacity'!N10*'Current Mix'!D10*8760/1000</f>
        <v>13.410684</v>
      </c>
      <c r="O10" s="9">
        <f>'Remaining Capacity'!O10*'Current Mix'!D10*8760/1000</f>
        <v>11.920608</v>
      </c>
      <c r="P10" s="9">
        <f>'Remaining Capacity'!P10*'Current Mix'!D10*8760/1000</f>
        <v>10.430532</v>
      </c>
      <c r="Q10" s="9">
        <f>'Remaining Capacity'!Q10*'Current Mix'!D10*8760/1000</f>
        <v>8.940456</v>
      </c>
      <c r="R10" s="9">
        <f>'Remaining Capacity'!R10*'Current Mix'!D10*8760/1000</f>
        <v>7.45038</v>
      </c>
      <c r="S10" s="9">
        <f>'Remaining Capacity'!S10*'Current Mix'!D10*8760/1000</f>
        <v>5.960304</v>
      </c>
      <c r="T10" s="9">
        <f>'Remaining Capacity'!T10*'Current Mix'!D10*8760/1000</f>
        <v>4.470228</v>
      </c>
      <c r="U10" s="9">
        <f>'Remaining Capacity'!U10*'Current Mix'!D10*8760/1000</f>
        <v>2.980152</v>
      </c>
      <c r="V10" s="9">
        <f>'Remaining Capacity'!V10*'Current Mix'!D10*8760/1000</f>
        <v>1.490076</v>
      </c>
      <c r="W10" s="9">
        <f>'Remaining Capacity'!W10*'Current Mix'!D10*8760/1000</f>
        <v>0</v>
      </c>
    </row>
    <row r="11">
      <c r="A11" s="2" t="s">
        <v>16</v>
      </c>
      <c r="B11" s="2" t="s">
        <v>15</v>
      </c>
      <c r="C11" s="9">
        <f>'Remaining Capacity'!C11*'Current Mix'!D11*8760/1000</f>
        <v>37.95781</v>
      </c>
      <c r="D11" s="9">
        <f>'Remaining Capacity'!D11*'Current Mix'!D11*8760/1000</f>
        <v>36.64892</v>
      </c>
      <c r="E11" s="9">
        <f>'Remaining Capacity'!E11*'Current Mix'!D11*8760/1000</f>
        <v>35.34003</v>
      </c>
      <c r="F11" s="9">
        <f>'Remaining Capacity'!F11*'Current Mix'!D11*8760/1000</f>
        <v>34.03114</v>
      </c>
      <c r="G11" s="9">
        <f>'Remaining Capacity'!G11*'Current Mix'!D11*8760/1000</f>
        <v>32.72225</v>
      </c>
      <c r="H11" s="9">
        <f>'Remaining Capacity'!H11*'Current Mix'!D11*8760/1000</f>
        <v>31.41336</v>
      </c>
      <c r="I11" s="9">
        <f>'Remaining Capacity'!I11*'Current Mix'!D11*8760/1000</f>
        <v>28.272024</v>
      </c>
      <c r="J11" s="9">
        <f>'Remaining Capacity'!J11*'Current Mix'!D11*8760/1000</f>
        <v>25.130688</v>
      </c>
      <c r="K11" s="9">
        <f>'Remaining Capacity'!K11*'Current Mix'!D11*8760/1000</f>
        <v>21.989352</v>
      </c>
      <c r="L11" s="9">
        <f>'Remaining Capacity'!L11*'Current Mix'!D11*8760/1000</f>
        <v>18.848016</v>
      </c>
      <c r="M11" s="9">
        <f>'Remaining Capacity'!M11*'Current Mix'!D11*8760/1000</f>
        <v>15.70668</v>
      </c>
      <c r="N11" s="9">
        <f>'Remaining Capacity'!N11*'Current Mix'!D11*8760/1000</f>
        <v>14.136012</v>
      </c>
      <c r="O11" s="9">
        <f>'Remaining Capacity'!O11*'Current Mix'!D11*8760/1000</f>
        <v>12.565344</v>
      </c>
      <c r="P11" s="9">
        <f>'Remaining Capacity'!P11*'Current Mix'!D11*8760/1000</f>
        <v>10.994676</v>
      </c>
      <c r="Q11" s="9">
        <f>'Remaining Capacity'!Q11*'Current Mix'!D11*8760/1000</f>
        <v>9.424008</v>
      </c>
      <c r="R11" s="9">
        <f>'Remaining Capacity'!R11*'Current Mix'!D11*8760/1000</f>
        <v>7.85334</v>
      </c>
      <c r="S11" s="9">
        <f>'Remaining Capacity'!S11*'Current Mix'!D11*8760/1000</f>
        <v>6.282672</v>
      </c>
      <c r="T11" s="9">
        <f>'Remaining Capacity'!T11*'Current Mix'!D11*8760/1000</f>
        <v>4.712004</v>
      </c>
      <c r="U11" s="9">
        <f>'Remaining Capacity'!U11*'Current Mix'!D11*8760/1000</f>
        <v>3.141336</v>
      </c>
      <c r="V11" s="9">
        <f>'Remaining Capacity'!V11*'Current Mix'!D11*8760/1000</f>
        <v>1.570668</v>
      </c>
      <c r="W11" s="9">
        <f>'Remaining Capacity'!W11*'Current Mix'!D11*8760/1000</f>
        <v>0</v>
      </c>
    </row>
    <row r="12">
      <c r="A12" s="2" t="s">
        <v>17</v>
      </c>
      <c r="B12" s="2" t="s">
        <v>11</v>
      </c>
      <c r="C12" s="9">
        <f>'Remaining Capacity'!C12*'Current Mix'!D12*8760/1000</f>
        <v>193.831352</v>
      </c>
      <c r="D12" s="9">
        <f>'Remaining Capacity'!D12*'Current Mix'!D12*8760/1000</f>
        <v>176.21032</v>
      </c>
      <c r="E12" s="9">
        <f>'Remaining Capacity'!E12*'Current Mix'!D12*8760/1000</f>
        <v>158.589288</v>
      </c>
      <c r="F12" s="9">
        <f>'Remaining Capacity'!F12*'Current Mix'!D12*8760/1000</f>
        <v>140.968256</v>
      </c>
      <c r="G12" s="9">
        <f>'Remaining Capacity'!G12*'Current Mix'!D12*8760/1000</f>
        <v>123.347224</v>
      </c>
      <c r="H12" s="9">
        <f>'Remaining Capacity'!H12*'Current Mix'!D12*8760/1000</f>
        <v>105.726192</v>
      </c>
      <c r="I12" s="9">
        <f>'Remaining Capacity'!I12*'Current Mix'!D12*8760/1000</f>
        <v>93.03904896</v>
      </c>
      <c r="J12" s="9">
        <f>'Remaining Capacity'!J12*'Current Mix'!D12*8760/1000</f>
        <v>80.35190592</v>
      </c>
      <c r="K12" s="9">
        <f>'Remaining Capacity'!K12*'Current Mix'!D12*8760/1000</f>
        <v>67.66476288</v>
      </c>
      <c r="L12" s="9">
        <f>'Remaining Capacity'!L12*'Current Mix'!D12*8760/1000</f>
        <v>54.97761984</v>
      </c>
      <c r="M12" s="9">
        <f>'Remaining Capacity'!M12*'Current Mix'!D12*8760/1000</f>
        <v>42.2904768</v>
      </c>
      <c r="N12" s="9">
        <f>'Remaining Capacity'!N12*'Current Mix'!D12*8760/1000</f>
        <v>38.06142912</v>
      </c>
      <c r="O12" s="9">
        <f>'Remaining Capacity'!O12*'Current Mix'!D12*8760/1000</f>
        <v>33.83238144</v>
      </c>
      <c r="P12" s="9">
        <f>'Remaining Capacity'!P12*'Current Mix'!D12*8760/1000</f>
        <v>29.60333376</v>
      </c>
      <c r="Q12" s="9">
        <f>'Remaining Capacity'!Q12*'Current Mix'!D12*8760/1000</f>
        <v>25.37428608</v>
      </c>
      <c r="R12" s="9">
        <f>'Remaining Capacity'!R12*'Current Mix'!D12*8760/1000</f>
        <v>21.1452384</v>
      </c>
      <c r="S12" s="9">
        <f>'Remaining Capacity'!S12*'Current Mix'!D12*8760/1000</f>
        <v>16.91619072</v>
      </c>
      <c r="T12" s="9">
        <f>'Remaining Capacity'!T12*'Current Mix'!D12*8760/1000</f>
        <v>12.68714304</v>
      </c>
      <c r="U12" s="9">
        <f>'Remaining Capacity'!U12*'Current Mix'!D12*8760/1000</f>
        <v>8.45809536</v>
      </c>
      <c r="V12" s="9">
        <f>'Remaining Capacity'!V12*'Current Mix'!D12*8760/1000</f>
        <v>4.22904768</v>
      </c>
      <c r="W12" s="9">
        <f>'Remaining Capacity'!W12*'Current Mix'!D12*8760/1000</f>
        <v>0</v>
      </c>
    </row>
    <row r="13">
      <c r="A13" s="2" t="s">
        <v>17</v>
      </c>
      <c r="B13" s="2" t="s">
        <v>12</v>
      </c>
      <c r="C13" s="9">
        <f>'Remaining Capacity'!C13*'Current Mix'!D13*8760/1000</f>
        <v>1152.223824</v>
      </c>
      <c r="D13" s="9">
        <f>'Remaining Capacity'!D13*'Current Mix'!D13*8760/1000</f>
        <v>1112.491968</v>
      </c>
      <c r="E13" s="9">
        <f>'Remaining Capacity'!E13*'Current Mix'!D13*8760/1000</f>
        <v>1072.760112</v>
      </c>
      <c r="F13" s="9">
        <f>'Remaining Capacity'!F13*'Current Mix'!D13*8760/1000</f>
        <v>1033.028256</v>
      </c>
      <c r="G13" s="9">
        <f>'Remaining Capacity'!G13*'Current Mix'!D13*8760/1000</f>
        <v>993.2964</v>
      </c>
      <c r="H13" s="9">
        <f>'Remaining Capacity'!H13*'Current Mix'!D13*8760/1000</f>
        <v>953.564544</v>
      </c>
      <c r="I13" s="9">
        <f>'Remaining Capacity'!I13*'Current Mix'!D13*8760/1000</f>
        <v>882.0472032</v>
      </c>
      <c r="J13" s="9">
        <f>'Remaining Capacity'!J13*'Current Mix'!D13*8760/1000</f>
        <v>810.5298624</v>
      </c>
      <c r="K13" s="9">
        <f>'Remaining Capacity'!K13*'Current Mix'!D13*8760/1000</f>
        <v>739.0125216</v>
      </c>
      <c r="L13" s="9">
        <f>'Remaining Capacity'!L13*'Current Mix'!D13*8760/1000</f>
        <v>667.4951808</v>
      </c>
      <c r="M13" s="9">
        <f>'Remaining Capacity'!M13*'Current Mix'!D13*8760/1000</f>
        <v>595.97784</v>
      </c>
      <c r="N13" s="9">
        <f>'Remaining Capacity'!N13*'Current Mix'!D13*8760/1000</f>
        <v>536.380056</v>
      </c>
      <c r="O13" s="9">
        <f>'Remaining Capacity'!O13*'Current Mix'!D13*8760/1000</f>
        <v>476.782272</v>
      </c>
      <c r="P13" s="9">
        <f>'Remaining Capacity'!P13*'Current Mix'!D13*8760/1000</f>
        <v>417.184488</v>
      </c>
      <c r="Q13" s="9">
        <f>'Remaining Capacity'!Q13*'Current Mix'!D13*8760/1000</f>
        <v>357.586704</v>
      </c>
      <c r="R13" s="9">
        <f>'Remaining Capacity'!R13*'Current Mix'!D13*8760/1000</f>
        <v>297.98892</v>
      </c>
      <c r="S13" s="9">
        <f>'Remaining Capacity'!S13*'Current Mix'!D13*8760/1000</f>
        <v>238.391136</v>
      </c>
      <c r="T13" s="9">
        <f>'Remaining Capacity'!T13*'Current Mix'!D13*8760/1000</f>
        <v>178.793352</v>
      </c>
      <c r="U13" s="9">
        <f>'Remaining Capacity'!U13*'Current Mix'!D13*8760/1000</f>
        <v>119.195568</v>
      </c>
      <c r="V13" s="9">
        <f>'Remaining Capacity'!V13*'Current Mix'!D13*8760/1000</f>
        <v>59.597784</v>
      </c>
      <c r="W13" s="9">
        <f>'Remaining Capacity'!W13*'Current Mix'!D13*8760/1000</f>
        <v>0</v>
      </c>
    </row>
    <row r="14">
      <c r="A14" s="2" t="s">
        <v>17</v>
      </c>
      <c r="B14" s="2" t="s">
        <v>13</v>
      </c>
      <c r="C14" s="9">
        <f>'Remaining Capacity'!C14*'Current Mix'!D14*8760/1000</f>
        <v>95.550795</v>
      </c>
      <c r="D14" s="9">
        <f>'Remaining Capacity'!D14*'Current Mix'!D14*8760/1000</f>
        <v>93.93129</v>
      </c>
      <c r="E14" s="9">
        <f>'Remaining Capacity'!E14*'Current Mix'!D14*8760/1000</f>
        <v>92.311785</v>
      </c>
      <c r="F14" s="9">
        <f>'Remaining Capacity'!F14*'Current Mix'!D14*8760/1000</f>
        <v>90.69228</v>
      </c>
      <c r="G14" s="9">
        <f>'Remaining Capacity'!G14*'Current Mix'!D14*8760/1000</f>
        <v>89.072775</v>
      </c>
      <c r="H14" s="9">
        <f>'Remaining Capacity'!H14*'Current Mix'!D14*8760/1000</f>
        <v>87.45327</v>
      </c>
      <c r="I14" s="9">
        <f>'Remaining Capacity'!I14*'Current Mix'!D14*8760/1000</f>
        <v>83.566458</v>
      </c>
      <c r="J14" s="9">
        <f>'Remaining Capacity'!J14*'Current Mix'!D14*8760/1000</f>
        <v>79.679646</v>
      </c>
      <c r="K14" s="9">
        <f>'Remaining Capacity'!K14*'Current Mix'!D14*8760/1000</f>
        <v>75.792834</v>
      </c>
      <c r="L14" s="9">
        <f>'Remaining Capacity'!L14*'Current Mix'!D14*8760/1000</f>
        <v>71.906022</v>
      </c>
      <c r="M14" s="9">
        <f>'Remaining Capacity'!M14*'Current Mix'!D14*8760/1000</f>
        <v>68.01921</v>
      </c>
      <c r="N14" s="9">
        <f>'Remaining Capacity'!N14*'Current Mix'!D14*8760/1000</f>
        <v>61.217289</v>
      </c>
      <c r="O14" s="9">
        <f>'Remaining Capacity'!O14*'Current Mix'!D14*8760/1000</f>
        <v>54.415368</v>
      </c>
      <c r="P14" s="9">
        <f>'Remaining Capacity'!P14*'Current Mix'!D14*8760/1000</f>
        <v>47.613447</v>
      </c>
      <c r="Q14" s="9">
        <f>'Remaining Capacity'!Q14*'Current Mix'!D14*8760/1000</f>
        <v>40.811526</v>
      </c>
      <c r="R14" s="9">
        <f>'Remaining Capacity'!R14*'Current Mix'!D14*8760/1000</f>
        <v>34.009605</v>
      </c>
      <c r="S14" s="9">
        <f>'Remaining Capacity'!S14*'Current Mix'!D14*8760/1000</f>
        <v>27.207684</v>
      </c>
      <c r="T14" s="9">
        <f>'Remaining Capacity'!T14*'Current Mix'!D14*8760/1000</f>
        <v>20.405763</v>
      </c>
      <c r="U14" s="9">
        <f>'Remaining Capacity'!U14*'Current Mix'!D14*8760/1000</f>
        <v>13.603842</v>
      </c>
      <c r="V14" s="9">
        <f>'Remaining Capacity'!V14*'Current Mix'!D14*8760/1000</f>
        <v>6.801921</v>
      </c>
      <c r="W14" s="9">
        <f>'Remaining Capacity'!W14*'Current Mix'!D14*8760/1000</f>
        <v>0</v>
      </c>
    </row>
    <row r="15">
      <c r="A15" s="2" t="s">
        <v>17</v>
      </c>
      <c r="B15" s="2" t="s">
        <v>14</v>
      </c>
      <c r="C15" s="9">
        <f>'Remaining Capacity'!C15*'Current Mix'!D15*8760/1000</f>
        <v>143.354772</v>
      </c>
      <c r="D15" s="9">
        <f>'Remaining Capacity'!D15*'Current Mix'!D15*8760/1000</f>
        <v>138.411504</v>
      </c>
      <c r="E15" s="9">
        <f>'Remaining Capacity'!E15*'Current Mix'!D15*8760/1000</f>
        <v>133.468236</v>
      </c>
      <c r="F15" s="9">
        <f>'Remaining Capacity'!F15*'Current Mix'!D15*8760/1000</f>
        <v>128.524968</v>
      </c>
      <c r="G15" s="9">
        <f>'Remaining Capacity'!G15*'Current Mix'!D15*8760/1000</f>
        <v>123.5817</v>
      </c>
      <c r="H15" s="9">
        <f>'Remaining Capacity'!H15*'Current Mix'!D15*8760/1000</f>
        <v>118.638432</v>
      </c>
      <c r="I15" s="9">
        <f>'Remaining Capacity'!I15*'Current Mix'!D15*8760/1000</f>
        <v>106.7745888</v>
      </c>
      <c r="J15" s="9">
        <f>'Remaining Capacity'!J15*'Current Mix'!D15*8760/1000</f>
        <v>94.9107456</v>
      </c>
      <c r="K15" s="9">
        <f>'Remaining Capacity'!K15*'Current Mix'!D15*8760/1000</f>
        <v>83.0469024</v>
      </c>
      <c r="L15" s="9">
        <f>'Remaining Capacity'!L15*'Current Mix'!D15*8760/1000</f>
        <v>71.1830592</v>
      </c>
      <c r="M15" s="9">
        <f>'Remaining Capacity'!M15*'Current Mix'!D15*8760/1000</f>
        <v>59.319216</v>
      </c>
      <c r="N15" s="9">
        <f>'Remaining Capacity'!N15*'Current Mix'!D15*8760/1000</f>
        <v>53.3872944</v>
      </c>
      <c r="O15" s="9">
        <f>'Remaining Capacity'!O15*'Current Mix'!D15*8760/1000</f>
        <v>47.4553728</v>
      </c>
      <c r="P15" s="9">
        <f>'Remaining Capacity'!P15*'Current Mix'!D15*8760/1000</f>
        <v>41.5234512</v>
      </c>
      <c r="Q15" s="9">
        <f>'Remaining Capacity'!Q15*'Current Mix'!D15*8760/1000</f>
        <v>35.5915296</v>
      </c>
      <c r="R15" s="9">
        <f>'Remaining Capacity'!R15*'Current Mix'!D15*8760/1000</f>
        <v>29.659608</v>
      </c>
      <c r="S15" s="9">
        <f>'Remaining Capacity'!S15*'Current Mix'!D15*8760/1000</f>
        <v>23.7276864</v>
      </c>
      <c r="T15" s="9">
        <f>'Remaining Capacity'!T15*'Current Mix'!D15*8760/1000</f>
        <v>17.7957648</v>
      </c>
      <c r="U15" s="9">
        <f>'Remaining Capacity'!U15*'Current Mix'!D15*8760/1000</f>
        <v>11.8638432</v>
      </c>
      <c r="V15" s="9">
        <f>'Remaining Capacity'!V15*'Current Mix'!D15*8760/1000</f>
        <v>5.9319216</v>
      </c>
      <c r="W15" s="9">
        <f>'Remaining Capacity'!W15*'Current Mix'!D15*8760/1000</f>
        <v>0</v>
      </c>
    </row>
    <row r="16">
      <c r="A16" s="2" t="s">
        <v>17</v>
      </c>
      <c r="B16" s="2" t="s">
        <v>15</v>
      </c>
      <c r="C16" s="9">
        <f>'Remaining Capacity'!C16*'Current Mix'!D16*8760/1000</f>
        <v>121.119921</v>
      </c>
      <c r="D16" s="9">
        <f>'Remaining Capacity'!D16*'Current Mix'!D16*8760/1000</f>
        <v>116.943372</v>
      </c>
      <c r="E16" s="9">
        <f>'Remaining Capacity'!E16*'Current Mix'!D16*8760/1000</f>
        <v>112.766823</v>
      </c>
      <c r="F16" s="9">
        <f>'Remaining Capacity'!F16*'Current Mix'!D16*8760/1000</f>
        <v>108.590274</v>
      </c>
      <c r="G16" s="9">
        <f>'Remaining Capacity'!G16*'Current Mix'!D16*8760/1000</f>
        <v>104.413725</v>
      </c>
      <c r="H16" s="9">
        <f>'Remaining Capacity'!H16*'Current Mix'!D16*8760/1000</f>
        <v>100.237176</v>
      </c>
      <c r="I16" s="9">
        <f>'Remaining Capacity'!I16*'Current Mix'!D16*8760/1000</f>
        <v>90.2134584</v>
      </c>
      <c r="J16" s="9">
        <f>'Remaining Capacity'!J16*'Current Mix'!D16*8760/1000</f>
        <v>80.1897408</v>
      </c>
      <c r="K16" s="9">
        <f>'Remaining Capacity'!K16*'Current Mix'!D16*8760/1000</f>
        <v>70.1660232</v>
      </c>
      <c r="L16" s="9">
        <f>'Remaining Capacity'!L16*'Current Mix'!D16*8760/1000</f>
        <v>60.1423056</v>
      </c>
      <c r="M16" s="9">
        <f>'Remaining Capacity'!M16*'Current Mix'!D16*8760/1000</f>
        <v>50.118588</v>
      </c>
      <c r="N16" s="9">
        <f>'Remaining Capacity'!N16*'Current Mix'!D16*8760/1000</f>
        <v>45.1067292</v>
      </c>
      <c r="O16" s="9">
        <f>'Remaining Capacity'!O16*'Current Mix'!D16*8760/1000</f>
        <v>40.0948704</v>
      </c>
      <c r="P16" s="9">
        <f>'Remaining Capacity'!P16*'Current Mix'!D16*8760/1000</f>
        <v>35.0830116</v>
      </c>
      <c r="Q16" s="9">
        <f>'Remaining Capacity'!Q16*'Current Mix'!D16*8760/1000</f>
        <v>30.0711528</v>
      </c>
      <c r="R16" s="9">
        <f>'Remaining Capacity'!R16*'Current Mix'!D16*8760/1000</f>
        <v>25.059294</v>
      </c>
      <c r="S16" s="9">
        <f>'Remaining Capacity'!S16*'Current Mix'!D16*8760/1000</f>
        <v>20.0474352</v>
      </c>
      <c r="T16" s="9">
        <f>'Remaining Capacity'!T16*'Current Mix'!D16*8760/1000</f>
        <v>15.0355764</v>
      </c>
      <c r="U16" s="9">
        <f>'Remaining Capacity'!U16*'Current Mix'!D16*8760/1000</f>
        <v>10.0237176</v>
      </c>
      <c r="V16" s="9">
        <f>'Remaining Capacity'!V16*'Current Mix'!D16*8760/1000</f>
        <v>5.0118588</v>
      </c>
      <c r="W16" s="9">
        <f>'Remaining Capacity'!W16*'Current Mix'!D16*8760/1000</f>
        <v>0</v>
      </c>
    </row>
    <row r="17">
      <c r="A17" s="2" t="s">
        <v>18</v>
      </c>
      <c r="B17" s="2" t="s">
        <v>11</v>
      </c>
      <c r="C17" s="9">
        <f>'Remaining Capacity'!C17*'Current Mix'!D17*8760/1000</f>
        <v>48.796704</v>
      </c>
      <c r="D17" s="9">
        <f>'Remaining Capacity'!D17*'Current Mix'!D17*8760/1000</f>
        <v>44.36064</v>
      </c>
      <c r="E17" s="9">
        <f>'Remaining Capacity'!E17*'Current Mix'!D17*8760/1000</f>
        <v>39.924576</v>
      </c>
      <c r="F17" s="9">
        <f>'Remaining Capacity'!F17*'Current Mix'!D17*8760/1000</f>
        <v>35.488512</v>
      </c>
      <c r="G17" s="9">
        <f>'Remaining Capacity'!G17*'Current Mix'!D17*8760/1000</f>
        <v>31.052448</v>
      </c>
      <c r="H17" s="9">
        <f>'Remaining Capacity'!H17*'Current Mix'!D17*8760/1000</f>
        <v>26.616384</v>
      </c>
      <c r="I17" s="9">
        <f>'Remaining Capacity'!I17*'Current Mix'!D17*8760/1000</f>
        <v>23.42241792</v>
      </c>
      <c r="J17" s="9">
        <f>'Remaining Capacity'!J17*'Current Mix'!D17*8760/1000</f>
        <v>20.22845184</v>
      </c>
      <c r="K17" s="9">
        <f>'Remaining Capacity'!K17*'Current Mix'!D17*8760/1000</f>
        <v>17.03448576</v>
      </c>
      <c r="L17" s="9">
        <f>'Remaining Capacity'!L17*'Current Mix'!D17*8760/1000</f>
        <v>13.84051968</v>
      </c>
      <c r="M17" s="9">
        <f>'Remaining Capacity'!M17*'Current Mix'!D17*8760/1000</f>
        <v>10.6465536</v>
      </c>
      <c r="N17" s="9">
        <f>'Remaining Capacity'!N17*'Current Mix'!D17*8760/1000</f>
        <v>9.58189824</v>
      </c>
      <c r="O17" s="9">
        <f>'Remaining Capacity'!O17*'Current Mix'!D17*8760/1000</f>
        <v>8.51724288</v>
      </c>
      <c r="P17" s="9">
        <f>'Remaining Capacity'!P17*'Current Mix'!D17*8760/1000</f>
        <v>7.45258752</v>
      </c>
      <c r="Q17" s="9">
        <f>'Remaining Capacity'!Q17*'Current Mix'!D17*8760/1000</f>
        <v>6.38793216</v>
      </c>
      <c r="R17" s="9">
        <f>'Remaining Capacity'!R17*'Current Mix'!D17*8760/1000</f>
        <v>5.3232768</v>
      </c>
      <c r="S17" s="9">
        <f>'Remaining Capacity'!S17*'Current Mix'!D17*8760/1000</f>
        <v>4.25862144</v>
      </c>
      <c r="T17" s="9">
        <f>'Remaining Capacity'!T17*'Current Mix'!D17*8760/1000</f>
        <v>3.19396608</v>
      </c>
      <c r="U17" s="9">
        <f>'Remaining Capacity'!U17*'Current Mix'!D17*8760/1000</f>
        <v>2.12931072</v>
      </c>
      <c r="V17" s="9">
        <f>'Remaining Capacity'!V17*'Current Mix'!D17*8760/1000</f>
        <v>1.06465536</v>
      </c>
      <c r="W17" s="9">
        <f>'Remaining Capacity'!W17*'Current Mix'!D17*8760/1000</f>
        <v>0</v>
      </c>
    </row>
    <row r="18">
      <c r="A18" s="2" t="s">
        <v>18</v>
      </c>
      <c r="B18" s="2" t="s">
        <v>12</v>
      </c>
      <c r="C18" s="9">
        <f>'Remaining Capacity'!C18*'Current Mix'!D18*8760/1000</f>
        <v>567.931824</v>
      </c>
      <c r="D18" s="9">
        <f>'Remaining Capacity'!D18*'Current Mix'!D18*8760/1000</f>
        <v>548.347968</v>
      </c>
      <c r="E18" s="9">
        <f>'Remaining Capacity'!E18*'Current Mix'!D18*8760/1000</f>
        <v>528.764112</v>
      </c>
      <c r="F18" s="9">
        <f>'Remaining Capacity'!F18*'Current Mix'!D18*8760/1000</f>
        <v>509.180256</v>
      </c>
      <c r="G18" s="9">
        <f>'Remaining Capacity'!G18*'Current Mix'!D18*8760/1000</f>
        <v>489.5964</v>
      </c>
      <c r="H18" s="9">
        <f>'Remaining Capacity'!H18*'Current Mix'!D18*8760/1000</f>
        <v>470.012544</v>
      </c>
      <c r="I18" s="9">
        <f>'Remaining Capacity'!I18*'Current Mix'!D18*8760/1000</f>
        <v>434.7616032</v>
      </c>
      <c r="J18" s="9">
        <f>'Remaining Capacity'!J18*'Current Mix'!D18*8760/1000</f>
        <v>399.5106624</v>
      </c>
      <c r="K18" s="9">
        <f>'Remaining Capacity'!K18*'Current Mix'!D18*8760/1000</f>
        <v>364.2597216</v>
      </c>
      <c r="L18" s="9">
        <f>'Remaining Capacity'!L18*'Current Mix'!D18*8760/1000</f>
        <v>329.0087808</v>
      </c>
      <c r="M18" s="9">
        <f>'Remaining Capacity'!M18*'Current Mix'!D18*8760/1000</f>
        <v>293.75784</v>
      </c>
      <c r="N18" s="9">
        <f>'Remaining Capacity'!N18*'Current Mix'!D18*8760/1000</f>
        <v>264.382056</v>
      </c>
      <c r="O18" s="9">
        <f>'Remaining Capacity'!O18*'Current Mix'!D18*8760/1000</f>
        <v>235.006272</v>
      </c>
      <c r="P18" s="9">
        <f>'Remaining Capacity'!P18*'Current Mix'!D18*8760/1000</f>
        <v>205.630488</v>
      </c>
      <c r="Q18" s="9">
        <f>'Remaining Capacity'!Q18*'Current Mix'!D18*8760/1000</f>
        <v>176.254704</v>
      </c>
      <c r="R18" s="9">
        <f>'Remaining Capacity'!R18*'Current Mix'!D18*8760/1000</f>
        <v>146.87892</v>
      </c>
      <c r="S18" s="9">
        <f>'Remaining Capacity'!S18*'Current Mix'!D18*8760/1000</f>
        <v>117.503136</v>
      </c>
      <c r="T18" s="9">
        <f>'Remaining Capacity'!T18*'Current Mix'!D18*8760/1000</f>
        <v>88.127352</v>
      </c>
      <c r="U18" s="9">
        <f>'Remaining Capacity'!U18*'Current Mix'!D18*8760/1000</f>
        <v>58.751568</v>
      </c>
      <c r="V18" s="9">
        <f>'Remaining Capacity'!V18*'Current Mix'!D18*8760/1000</f>
        <v>29.375784</v>
      </c>
      <c r="W18" s="9">
        <f>'Remaining Capacity'!W18*'Current Mix'!D18*8760/1000</f>
        <v>0</v>
      </c>
    </row>
    <row r="19">
      <c r="A19" s="2" t="s">
        <v>18</v>
      </c>
      <c r="B19" s="2" t="s">
        <v>13</v>
      </c>
      <c r="C19" s="9">
        <f>'Remaining Capacity'!C19*'Current Mix'!D19*8760/1000</f>
        <v>56.012535</v>
      </c>
      <c r="D19" s="9">
        <f>'Remaining Capacity'!D19*'Current Mix'!D19*8760/1000</f>
        <v>55.06317</v>
      </c>
      <c r="E19" s="9">
        <f>'Remaining Capacity'!E19*'Current Mix'!D19*8760/1000</f>
        <v>54.113805</v>
      </c>
      <c r="F19" s="9">
        <f>'Remaining Capacity'!F19*'Current Mix'!D19*8760/1000</f>
        <v>53.16444</v>
      </c>
      <c r="G19" s="9">
        <f>'Remaining Capacity'!G19*'Current Mix'!D19*8760/1000</f>
        <v>52.215075</v>
      </c>
      <c r="H19" s="9">
        <f>'Remaining Capacity'!H19*'Current Mix'!D19*8760/1000</f>
        <v>51.26571</v>
      </c>
      <c r="I19" s="9">
        <f>'Remaining Capacity'!I19*'Current Mix'!D19*8760/1000</f>
        <v>48.987234</v>
      </c>
      <c r="J19" s="9">
        <f>'Remaining Capacity'!J19*'Current Mix'!D19*8760/1000</f>
        <v>46.708758</v>
      </c>
      <c r="K19" s="9">
        <f>'Remaining Capacity'!K19*'Current Mix'!D19*8760/1000</f>
        <v>44.430282</v>
      </c>
      <c r="L19" s="9">
        <f>'Remaining Capacity'!L19*'Current Mix'!D19*8760/1000</f>
        <v>42.151806</v>
      </c>
      <c r="M19" s="9">
        <f>'Remaining Capacity'!M19*'Current Mix'!D19*8760/1000</f>
        <v>39.87333</v>
      </c>
      <c r="N19" s="9">
        <f>'Remaining Capacity'!N19*'Current Mix'!D19*8760/1000</f>
        <v>35.885997</v>
      </c>
      <c r="O19" s="9">
        <f>'Remaining Capacity'!O19*'Current Mix'!D19*8760/1000</f>
        <v>31.898664</v>
      </c>
      <c r="P19" s="9">
        <f>'Remaining Capacity'!P19*'Current Mix'!D19*8760/1000</f>
        <v>27.911331</v>
      </c>
      <c r="Q19" s="9">
        <f>'Remaining Capacity'!Q19*'Current Mix'!D19*8760/1000</f>
        <v>23.923998</v>
      </c>
      <c r="R19" s="9">
        <f>'Remaining Capacity'!R19*'Current Mix'!D19*8760/1000</f>
        <v>19.936665</v>
      </c>
      <c r="S19" s="9">
        <f>'Remaining Capacity'!S19*'Current Mix'!D19*8760/1000</f>
        <v>15.949332</v>
      </c>
      <c r="T19" s="9">
        <f>'Remaining Capacity'!T19*'Current Mix'!D19*8760/1000</f>
        <v>11.961999</v>
      </c>
      <c r="U19" s="9">
        <f>'Remaining Capacity'!U19*'Current Mix'!D19*8760/1000</f>
        <v>7.974666</v>
      </c>
      <c r="V19" s="9">
        <f>'Remaining Capacity'!V19*'Current Mix'!D19*8760/1000</f>
        <v>3.987333</v>
      </c>
      <c r="W19" s="9">
        <f>'Remaining Capacity'!W19*'Current Mix'!D19*8760/1000</f>
        <v>0</v>
      </c>
    </row>
    <row r="20">
      <c r="A20" s="2" t="s">
        <v>18</v>
      </c>
      <c r="B20" s="2" t="s">
        <v>14</v>
      </c>
      <c r="C20" s="9">
        <f>'Remaining Capacity'!C20*'Current Mix'!D20*8760/1000</f>
        <v>68.5908</v>
      </c>
      <c r="D20" s="9">
        <f>'Remaining Capacity'!D20*'Current Mix'!D20*8760/1000</f>
        <v>66.2256</v>
      </c>
      <c r="E20" s="9">
        <f>'Remaining Capacity'!E20*'Current Mix'!D20*8760/1000</f>
        <v>63.8604</v>
      </c>
      <c r="F20" s="9">
        <f>'Remaining Capacity'!F20*'Current Mix'!D20*8760/1000</f>
        <v>61.4952</v>
      </c>
      <c r="G20" s="9">
        <f>'Remaining Capacity'!G20*'Current Mix'!D20*8760/1000</f>
        <v>59.13</v>
      </c>
      <c r="H20" s="9">
        <f>'Remaining Capacity'!H20*'Current Mix'!D20*8760/1000</f>
        <v>56.7648</v>
      </c>
      <c r="I20" s="9">
        <f>'Remaining Capacity'!I20*'Current Mix'!D20*8760/1000</f>
        <v>51.08832</v>
      </c>
      <c r="J20" s="9">
        <f>'Remaining Capacity'!J20*'Current Mix'!D20*8760/1000</f>
        <v>45.41184</v>
      </c>
      <c r="K20" s="9">
        <f>'Remaining Capacity'!K20*'Current Mix'!D20*8760/1000</f>
        <v>39.73536</v>
      </c>
      <c r="L20" s="9">
        <f>'Remaining Capacity'!L20*'Current Mix'!D20*8760/1000</f>
        <v>34.05888</v>
      </c>
      <c r="M20" s="9">
        <f>'Remaining Capacity'!M20*'Current Mix'!D20*8760/1000</f>
        <v>28.3824</v>
      </c>
      <c r="N20" s="9">
        <f>'Remaining Capacity'!N20*'Current Mix'!D20*8760/1000</f>
        <v>25.54416</v>
      </c>
      <c r="O20" s="9">
        <f>'Remaining Capacity'!O20*'Current Mix'!D20*8760/1000</f>
        <v>22.70592</v>
      </c>
      <c r="P20" s="9">
        <f>'Remaining Capacity'!P20*'Current Mix'!D20*8760/1000</f>
        <v>19.86768</v>
      </c>
      <c r="Q20" s="9">
        <f>'Remaining Capacity'!Q20*'Current Mix'!D20*8760/1000</f>
        <v>17.02944</v>
      </c>
      <c r="R20" s="9">
        <f>'Remaining Capacity'!R20*'Current Mix'!D20*8760/1000</f>
        <v>14.1912</v>
      </c>
      <c r="S20" s="9">
        <f>'Remaining Capacity'!S20*'Current Mix'!D20*8760/1000</f>
        <v>11.35296</v>
      </c>
      <c r="T20" s="9">
        <f>'Remaining Capacity'!T20*'Current Mix'!D20*8760/1000</f>
        <v>8.51472</v>
      </c>
      <c r="U20" s="9">
        <f>'Remaining Capacity'!U20*'Current Mix'!D20*8760/1000</f>
        <v>5.67648</v>
      </c>
      <c r="V20" s="9">
        <f>'Remaining Capacity'!V20*'Current Mix'!D20*8760/1000</f>
        <v>2.83824</v>
      </c>
      <c r="W20" s="9">
        <f>'Remaining Capacity'!W20*'Current Mix'!D20*8760/1000</f>
        <v>0</v>
      </c>
    </row>
    <row r="21" ht="15.75" customHeight="1">
      <c r="A21" s="2" t="s">
        <v>18</v>
      </c>
      <c r="B21" s="2" t="s">
        <v>15</v>
      </c>
      <c r="C21" s="9">
        <f>'Remaining Capacity'!C21*'Current Mix'!D21*8760/1000</f>
        <v>155.28195</v>
      </c>
      <c r="D21" s="9">
        <f>'Remaining Capacity'!D21*'Current Mix'!D21*8760/1000</f>
        <v>149.9274</v>
      </c>
      <c r="E21" s="9">
        <f>'Remaining Capacity'!E21*'Current Mix'!D21*8760/1000</f>
        <v>144.57285</v>
      </c>
      <c r="F21" s="9">
        <f>'Remaining Capacity'!F21*'Current Mix'!D21*8760/1000</f>
        <v>139.2183</v>
      </c>
      <c r="G21" s="9">
        <f>'Remaining Capacity'!G21*'Current Mix'!D21*8760/1000</f>
        <v>133.86375</v>
      </c>
      <c r="H21" s="9">
        <f>'Remaining Capacity'!H21*'Current Mix'!D21*8760/1000</f>
        <v>128.5092</v>
      </c>
      <c r="I21" s="9">
        <f>'Remaining Capacity'!I21*'Current Mix'!D21*8760/1000</f>
        <v>115.65828</v>
      </c>
      <c r="J21" s="9">
        <f>'Remaining Capacity'!J21*'Current Mix'!D21*8760/1000</f>
        <v>102.80736</v>
      </c>
      <c r="K21" s="9">
        <f>'Remaining Capacity'!K21*'Current Mix'!D21*8760/1000</f>
        <v>89.95644</v>
      </c>
      <c r="L21" s="9">
        <f>'Remaining Capacity'!L21*'Current Mix'!D21*8760/1000</f>
        <v>77.10552</v>
      </c>
      <c r="M21" s="9">
        <f>'Remaining Capacity'!M21*'Current Mix'!D21*8760/1000</f>
        <v>64.2546</v>
      </c>
      <c r="N21" s="9">
        <f>'Remaining Capacity'!N21*'Current Mix'!D21*8760/1000</f>
        <v>57.82914</v>
      </c>
      <c r="O21" s="9">
        <f>'Remaining Capacity'!O21*'Current Mix'!D21*8760/1000</f>
        <v>51.40368</v>
      </c>
      <c r="P21" s="9">
        <f>'Remaining Capacity'!P21*'Current Mix'!D21*8760/1000</f>
        <v>44.97822</v>
      </c>
      <c r="Q21" s="9">
        <f>'Remaining Capacity'!Q21*'Current Mix'!D21*8760/1000</f>
        <v>38.55276</v>
      </c>
      <c r="R21" s="9">
        <f>'Remaining Capacity'!R21*'Current Mix'!D21*8760/1000</f>
        <v>32.1273</v>
      </c>
      <c r="S21" s="9">
        <f>'Remaining Capacity'!S21*'Current Mix'!D21*8760/1000</f>
        <v>25.70184</v>
      </c>
      <c r="T21" s="9">
        <f>'Remaining Capacity'!T21*'Current Mix'!D21*8760/1000</f>
        <v>19.27638</v>
      </c>
      <c r="U21" s="9">
        <f>'Remaining Capacity'!U21*'Current Mix'!D21*8760/1000</f>
        <v>12.85092</v>
      </c>
      <c r="V21" s="9">
        <f>'Remaining Capacity'!V21*'Current Mix'!D21*8760/1000</f>
        <v>6.42546</v>
      </c>
      <c r="W21" s="9">
        <f>'Remaining Capacity'!W21*'Current Mix'!D21*8760/1000</f>
        <v>0</v>
      </c>
    </row>
    <row r="22" ht="15.75" customHeight="1"/>
    <row r="23" ht="15.75" customHeight="1">
      <c r="A23" s="10" t="s">
        <v>23</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W$21">
    <sortState ref="A1:W21">
      <sortCondition ref="A1:A21"/>
    </sortState>
  </autoFilter>
  <mergeCells count="1">
    <mergeCell ref="A23:J26"/>
  </mergeCell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2" width="13.14"/>
    <col customWidth="1" min="3" max="3" width="11.29"/>
    <col customWidth="1" min="4" max="26" width="8.71"/>
  </cols>
  <sheetData>
    <row r="1">
      <c r="A1" s="2" t="s">
        <v>4</v>
      </c>
      <c r="B1" s="2" t="s">
        <v>5</v>
      </c>
      <c r="C1" s="2">
        <v>2025.0</v>
      </c>
      <c r="D1" s="2">
        <v>2026.0</v>
      </c>
      <c r="E1" s="2">
        <v>2027.0</v>
      </c>
      <c r="F1" s="2">
        <v>2028.0</v>
      </c>
      <c r="G1" s="2">
        <v>2029.0</v>
      </c>
      <c r="H1" s="2">
        <v>2030.0</v>
      </c>
      <c r="I1" s="2">
        <v>2031.0</v>
      </c>
      <c r="J1" s="2">
        <v>2032.0</v>
      </c>
      <c r="K1" s="2">
        <v>2033.0</v>
      </c>
      <c r="L1" s="2">
        <v>2034.0</v>
      </c>
      <c r="M1" s="2">
        <v>2035.0</v>
      </c>
      <c r="N1" s="2">
        <v>2036.0</v>
      </c>
      <c r="O1" s="2">
        <v>2037.0</v>
      </c>
      <c r="P1" s="2">
        <v>2038.0</v>
      </c>
      <c r="Q1" s="2">
        <v>2039.0</v>
      </c>
      <c r="R1" s="2">
        <v>2040.0</v>
      </c>
      <c r="S1" s="2">
        <v>2041.0</v>
      </c>
      <c r="T1" s="2">
        <v>2042.0</v>
      </c>
      <c r="U1" s="2">
        <v>2043.0</v>
      </c>
      <c r="V1" s="2">
        <v>2044.0</v>
      </c>
      <c r="W1" s="2">
        <v>2045.0</v>
      </c>
    </row>
    <row r="2">
      <c r="A2" s="2" t="s">
        <v>10</v>
      </c>
      <c r="B2" s="2" t="s">
        <v>11</v>
      </c>
      <c r="C2" s="9">
        <f>'Generation Forecast'!C2 - 'Demand Forecast'!C2</f>
        <v>-140.3969</v>
      </c>
      <c r="D2" s="9">
        <f>'Generation Forecast'!D2 - 'Demand Forecast'!D2</f>
        <v>-153.769</v>
      </c>
      <c r="E2" s="9">
        <f>'Generation Forecast'!E2 - 'Demand Forecast'!E2</f>
        <v>-167.167</v>
      </c>
      <c r="F2" s="9">
        <f>'Generation Forecast'!F2 - 'Demand Forecast'!F2</f>
        <v>-180.591159</v>
      </c>
      <c r="G2" s="9">
        <f>'Generation Forecast'!G2 - 'Demand Forecast'!G2</f>
        <v>-194.0417386</v>
      </c>
      <c r="H2" s="9">
        <f>'Generation Forecast'!H2 - 'Demand Forecast'!H2</f>
        <v>-207.519003</v>
      </c>
      <c r="I2" s="9">
        <f>'Generation Forecast'!I2 - 'Demand Forecast'!I2</f>
        <v>-218.004231</v>
      </c>
      <c r="J2" s="9">
        <f>'Generation Forecast'!J2 - 'Demand Forecast'!J2</f>
        <v>-228.5166802</v>
      </c>
      <c r="K2" s="9">
        <f>'Generation Forecast'!K2 - 'Demand Forecast'!K2</f>
        <v>-239.0566228</v>
      </c>
      <c r="L2" s="9">
        <f>'Generation Forecast'!L2 - 'Demand Forecast'!L2</f>
        <v>-249.6243336</v>
      </c>
      <c r="M2" s="9">
        <f>'Generation Forecast'!M2 - 'Demand Forecast'!M2</f>
        <v>-260.2200905</v>
      </c>
      <c r="N2" s="9">
        <f>'Generation Forecast'!N2 - 'Demand Forecast'!N2</f>
        <v>-265.6687658</v>
      </c>
      <c r="O2" s="9">
        <f>'Generation Forecast'!O2 - 'Demand Forecast'!O2</f>
        <v>-271.1460508</v>
      </c>
      <c r="P2" s="9">
        <f>'Generation Forecast'!P2 - 'Demand Forecast'!P2</f>
        <v>-276.6522316</v>
      </c>
      <c r="Q2" s="9">
        <f>'Generation Forecast'!Q2 - 'Demand Forecast'!Q2</f>
        <v>-282.1875972</v>
      </c>
      <c r="R2" s="9">
        <f>'Generation Forecast'!R2 - 'Demand Forecast'!R2</f>
        <v>-287.7524394</v>
      </c>
      <c r="S2" s="9">
        <f>'Generation Forecast'!S2 - 'Demand Forecast'!S2</f>
        <v>-293.347053</v>
      </c>
      <c r="T2" s="9">
        <f>'Generation Forecast'!T2 - 'Demand Forecast'!T2</f>
        <v>-298.9717357</v>
      </c>
      <c r="U2" s="9">
        <f>'Generation Forecast'!U2 - 'Demand Forecast'!U2</f>
        <v>-304.6267882</v>
      </c>
      <c r="V2" s="9">
        <f>'Generation Forecast'!V2 - 'Demand Forecast'!V2</f>
        <v>-310.3125142</v>
      </c>
      <c r="W2" s="9">
        <f>'Generation Forecast'!W2 - 'Demand Forecast'!W2</f>
        <v>-316.0292203</v>
      </c>
    </row>
    <row r="3">
      <c r="A3" s="2" t="s">
        <v>10</v>
      </c>
      <c r="B3" s="2" t="s">
        <v>12</v>
      </c>
      <c r="C3" s="9">
        <f>'Generation Forecast'!C3 - 'Demand Forecast'!C3</f>
        <v>568.254376</v>
      </c>
      <c r="D3" s="9">
        <f>'Generation Forecast'!D3 - 'Demand Forecast'!D3</f>
        <v>538.121432</v>
      </c>
      <c r="E3" s="9">
        <f>'Generation Forecast'!E3 - 'Demand Forecast'!E3</f>
        <v>507.964798</v>
      </c>
      <c r="F3" s="9">
        <f>'Generation Forecast'!F3 - 'Demand Forecast'!F3</f>
        <v>477.7842371</v>
      </c>
      <c r="G3" s="9">
        <f>'Generation Forecast'!G3 - 'Demand Forecast'!G3</f>
        <v>447.57951</v>
      </c>
      <c r="H3" s="9">
        <f>'Generation Forecast'!H3 - 'Demand Forecast'!H3</f>
        <v>417.3503751</v>
      </c>
      <c r="I3" s="9">
        <f>'Generation Forecast'!I3 - 'Demand Forecast'!I3</f>
        <v>364.8854331</v>
      </c>
      <c r="J3" s="9">
        <f>'Generation Forecast'!J3 - 'Demand Forecast'!J3</f>
        <v>312.3955927</v>
      </c>
      <c r="K3" s="9">
        <f>'Generation Forecast'!K3 - 'Demand Forecast'!K3</f>
        <v>259.8806048</v>
      </c>
      <c r="L3" s="9">
        <f>'Generation Forecast'!L3 - 'Demand Forecast'!L3</f>
        <v>207.3402181</v>
      </c>
      <c r="M3" s="9">
        <f>'Generation Forecast'!M3 - 'Demand Forecast'!M3</f>
        <v>154.7741785</v>
      </c>
      <c r="N3" s="9">
        <f>'Generation Forecast'!N3 - 'Demand Forecast'!N3</f>
        <v>110.5114127</v>
      </c>
      <c r="O3" s="9">
        <f>'Generation Forecast'!O3 - 'Demand Forecast'!O3</f>
        <v>66.22247836</v>
      </c>
      <c r="P3" s="9">
        <f>'Generation Forecast'!P3 - 'Demand Forecast'!P3</f>
        <v>21.90711387</v>
      </c>
      <c r="Q3" s="9">
        <f>'Generation Forecast'!Q3 - 'Demand Forecast'!Q3</f>
        <v>-22.43494512</v>
      </c>
      <c r="R3" s="9">
        <f>'Generation Forecast'!R3 - 'Demand Forecast'!R3</f>
        <v>-66.80396553</v>
      </c>
      <c r="S3" s="9">
        <f>'Generation Forecast'!S3 - 'Demand Forecast'!S3</f>
        <v>-111.200217</v>
      </c>
      <c r="T3" s="9">
        <f>'Generation Forecast'!T3 - 'Demand Forecast'!T3</f>
        <v>-155.6239718</v>
      </c>
      <c r="U3" s="9">
        <f>'Generation Forecast'!U3 - 'Demand Forecast'!U3</f>
        <v>-200.075505</v>
      </c>
      <c r="V3" s="9">
        <f>'Generation Forecast'!V3 - 'Demand Forecast'!V3</f>
        <v>-244.5550944</v>
      </c>
      <c r="W3" s="9">
        <f>'Generation Forecast'!W3 - 'Demand Forecast'!W3</f>
        <v>-289.0630205</v>
      </c>
    </row>
    <row r="4">
      <c r="A4" s="2" t="s">
        <v>10</v>
      </c>
      <c r="B4" s="2" t="s">
        <v>13</v>
      </c>
      <c r="C4" s="9">
        <f>'Generation Forecast'!C4 - 'Demand Forecast'!C4</f>
        <v>30.376657</v>
      </c>
      <c r="D4" s="9">
        <f>'Generation Forecast'!D4 - 'Demand Forecast'!D4</f>
        <v>24.754934</v>
      </c>
      <c r="E4" s="9">
        <f>'Generation Forecast'!E4 - 'Demand Forecast'!E4</f>
        <v>19.114261</v>
      </c>
      <c r="F4" s="9">
        <f>'Generation Forecast'!F4 - 'Demand Forecast'!F4</f>
        <v>13.4544485</v>
      </c>
      <c r="G4" s="9">
        <f>'Generation Forecast'!G4 - 'Demand Forecast'!G4</f>
        <v>7.775305105</v>
      </c>
      <c r="H4" s="9">
        <f>'Generation Forecast'!H4 - 'Demand Forecast'!H4</f>
        <v>2.076637506</v>
      </c>
      <c r="I4" s="9">
        <f>'Generation Forecast'!I4 - 'Demand Forecast'!I4</f>
        <v>-8.859161739</v>
      </c>
      <c r="J4" s="9">
        <f>'Generation Forecast'!J4 - 'Demand Forecast'!J4</f>
        <v>-19.81487762</v>
      </c>
      <c r="K4" s="9">
        <f>'Generation Forecast'!K4 - 'Demand Forecast'!K4</f>
        <v>-30.79070932</v>
      </c>
      <c r="L4" s="9">
        <f>'Generation Forecast'!L4 - 'Demand Forecast'!L4</f>
        <v>-41.78685797</v>
      </c>
      <c r="M4" s="9">
        <f>'Generation Forecast'!M4 - 'Demand Forecast'!M4</f>
        <v>-52.80352677</v>
      </c>
      <c r="N4" s="9">
        <f>'Generation Forecast'!N4 - 'Demand Forecast'!N4</f>
        <v>-70.54902229</v>
      </c>
      <c r="O4" s="9">
        <f>'Generation Forecast'!O4 - 'Demand Forecast'!O4</f>
        <v>-88.31545041</v>
      </c>
      <c r="P4" s="9">
        <f>'Generation Forecast'!P4 - 'Demand Forecast'!P4</f>
        <v>-106.1030204</v>
      </c>
      <c r="Q4" s="9">
        <f>'Generation Forecast'!Q4 - 'Demand Forecast'!Q4</f>
        <v>-123.9119438</v>
      </c>
      <c r="R4" s="9">
        <f>'Generation Forecast'!R4 - 'Demand Forecast'!R4</f>
        <v>-141.742434</v>
      </c>
      <c r="S4" s="9">
        <f>'Generation Forecast'!S4 - 'Demand Forecast'!S4</f>
        <v>-159.5947068</v>
      </c>
      <c r="T4" s="9">
        <f>'Generation Forecast'!T4 - 'Demand Forecast'!T4</f>
        <v>-177.4689799</v>
      </c>
      <c r="U4" s="9">
        <f>'Generation Forecast'!U4 - 'Demand Forecast'!U4</f>
        <v>-195.3654734</v>
      </c>
      <c r="V4" s="9">
        <f>'Generation Forecast'!V4 - 'Demand Forecast'!V4</f>
        <v>-213.2844095</v>
      </c>
      <c r="W4" s="9">
        <f>'Generation Forecast'!W4 - 'Demand Forecast'!W4</f>
        <v>-231.2260126</v>
      </c>
    </row>
    <row r="5">
      <c r="A5" s="2" t="s">
        <v>10</v>
      </c>
      <c r="B5" s="2" t="s">
        <v>14</v>
      </c>
      <c r="C5" s="9">
        <f>'Generation Forecast'!C5 - 'Demand Forecast'!C5</f>
        <v>-134.130844</v>
      </c>
      <c r="D5" s="9">
        <f>'Generation Forecast'!D5 - 'Demand Forecast'!D5</f>
        <v>-146.364608</v>
      </c>
      <c r="E5" s="9">
        <f>'Generation Forecast'!E5 - 'Demand Forecast'!E5</f>
        <v>-158.636272</v>
      </c>
      <c r="F5" s="9">
        <f>'Generation Forecast'!F5 - 'Demand Forecast'!F5</f>
        <v>-170.946215</v>
      </c>
      <c r="G5" s="9">
        <f>'Generation Forecast'!G5 - 'Demand Forecast'!G5</f>
        <v>-183.2948198</v>
      </c>
      <c r="H5" s="9">
        <f>'Generation Forecast'!H5 - 'Demand Forecast'!H5</f>
        <v>-195.682473</v>
      </c>
      <c r="I5" s="9">
        <f>'Generation Forecast'!I5 - 'Demand Forecast'!I5</f>
        <v>-219.9308347</v>
      </c>
      <c r="J5" s="9">
        <f>'Generation Forecast'!J5 - 'Demand Forecast'!J5</f>
        <v>-244.2190296</v>
      </c>
      <c r="K5" s="9">
        <f>'Generation Forecast'!K5 - 'Demand Forecast'!K5</f>
        <v>-268.5474562</v>
      </c>
      <c r="L5" s="9">
        <f>'Generation Forecast'!L5 - 'Demand Forecast'!L5</f>
        <v>-292.9165167</v>
      </c>
      <c r="M5" s="9">
        <f>'Generation Forecast'!M5 - 'Demand Forecast'!M5</f>
        <v>-317.3266175</v>
      </c>
      <c r="N5" s="9">
        <f>'Generation Forecast'!N5 - 'Demand Forecast'!N5</f>
        <v>-331.6456522</v>
      </c>
      <c r="O5" s="9">
        <f>'Generation Forecast'!O5 - 'Demand Forecast'!O5</f>
        <v>-346.006552</v>
      </c>
      <c r="P5" s="9">
        <f>'Generation Forecast'!P5 - 'Demand Forecast'!P5</f>
        <v>-360.4097357</v>
      </c>
      <c r="Q5" s="9">
        <f>'Generation Forecast'!Q5 - 'Demand Forecast'!Q5</f>
        <v>-374.855626</v>
      </c>
      <c r="R5" s="9">
        <f>'Generation Forecast'!R5 - 'Demand Forecast'!R5</f>
        <v>-389.3446501</v>
      </c>
      <c r="S5" s="9">
        <f>'Generation Forecast'!S5 - 'Demand Forecast'!S5</f>
        <v>-403.8772392</v>
      </c>
      <c r="T5" s="9">
        <f>'Generation Forecast'!T5 - 'Demand Forecast'!T5</f>
        <v>-418.4538291</v>
      </c>
      <c r="U5" s="9">
        <f>'Generation Forecast'!U5 - 'Demand Forecast'!U5</f>
        <v>-433.0748597</v>
      </c>
      <c r="V5" s="9">
        <f>'Generation Forecast'!V5 - 'Demand Forecast'!V5</f>
        <v>-447.7407754</v>
      </c>
      <c r="W5" s="9">
        <f>'Generation Forecast'!W5 - 'Demand Forecast'!W5</f>
        <v>-462.4520251</v>
      </c>
    </row>
    <row r="6">
      <c r="A6" s="2" t="s">
        <v>10</v>
      </c>
      <c r="B6" s="2" t="s">
        <v>15</v>
      </c>
      <c r="C6" s="9">
        <f>'Generation Forecast'!C6 - 'Demand Forecast'!C6</f>
        <v>-64.612575</v>
      </c>
      <c r="D6" s="9">
        <f>'Generation Forecast'!D6 - 'Demand Forecast'!D6</f>
        <v>-67.9449</v>
      </c>
      <c r="E6" s="9">
        <f>'Generation Forecast'!E6 - 'Demand Forecast'!E6</f>
        <v>-71.289725</v>
      </c>
      <c r="F6" s="9">
        <f>'Generation Forecast'!F6 - 'Demand Forecast'!F6</f>
        <v>-74.647175</v>
      </c>
      <c r="G6" s="9">
        <f>'Generation Forecast'!G6 - 'Demand Forecast'!G6</f>
        <v>-78.01737625</v>
      </c>
      <c r="H6" s="9">
        <f>'Generation Forecast'!H6 - 'Demand Forecast'!H6</f>
        <v>-81.40045626</v>
      </c>
      <c r="I6" s="9">
        <f>'Generation Forecast'!I6 - 'Demand Forecast'!I6</f>
        <v>-87.71179883</v>
      </c>
      <c r="J6" s="9">
        <f>'Generation Forecast'!J6 - 'Demand Forecast'!J6</f>
        <v>-94.03627901</v>
      </c>
      <c r="K6" s="9">
        <f>'Generation Forecast'!K6 - 'Demand Forecast'!K6</f>
        <v>-100.3740282</v>
      </c>
      <c r="L6" s="9">
        <f>'Generation Forecast'!L6 - 'Demand Forecast'!L6</f>
        <v>-106.7251791</v>
      </c>
      <c r="M6" s="9">
        <f>'Generation Forecast'!M6 - 'Demand Forecast'!M6</f>
        <v>-113.0898657</v>
      </c>
      <c r="N6" s="9">
        <f>'Generation Forecast'!N6 - 'Demand Forecast'!N6</f>
        <v>-116.9694333</v>
      </c>
      <c r="O6" s="9">
        <f>'Generation Forecast'!O6 - 'Demand Forecast'!O6</f>
        <v>-120.8628088</v>
      </c>
      <c r="P6" s="9">
        <f>'Generation Forecast'!P6 - 'Demand Forecast'!P6</f>
        <v>-124.7701301</v>
      </c>
      <c r="Q6" s="9">
        <f>'Generation Forecast'!Q6 - 'Demand Forecast'!Q6</f>
        <v>-128.6915367</v>
      </c>
      <c r="R6" s="9">
        <f>'Generation Forecast'!R6 - 'Demand Forecast'!R6</f>
        <v>-132.6271694</v>
      </c>
      <c r="S6" s="9">
        <f>'Generation Forecast'!S6 - 'Demand Forecast'!S6</f>
        <v>-136.5771706</v>
      </c>
      <c r="T6" s="9">
        <f>'Generation Forecast'!T6 - 'Demand Forecast'!T6</f>
        <v>-140.5416839</v>
      </c>
      <c r="U6" s="9">
        <f>'Generation Forecast'!U6 - 'Demand Forecast'!U6</f>
        <v>-144.5208545</v>
      </c>
      <c r="V6" s="9">
        <f>'Generation Forecast'!V6 - 'Demand Forecast'!V6</f>
        <v>-148.5148288</v>
      </c>
      <c r="W6" s="9">
        <f>'Generation Forecast'!W6 - 'Demand Forecast'!W6</f>
        <v>-152.523755</v>
      </c>
    </row>
    <row r="7">
      <c r="A7" s="2" t="s">
        <v>16</v>
      </c>
      <c r="B7" s="2" t="s">
        <v>11</v>
      </c>
      <c r="C7" s="9">
        <f>'Generation Forecast'!C7 - 'Demand Forecast'!C7</f>
        <v>-46.25309</v>
      </c>
      <c r="D7" s="9">
        <f>'Generation Forecast'!D7 - 'Demand Forecast'!D7</f>
        <v>-51.3319</v>
      </c>
      <c r="E7" s="9">
        <f>'Generation Forecast'!E7 - 'Demand Forecast'!E7</f>
        <v>-56.41991</v>
      </c>
      <c r="F7" s="9">
        <f>'Generation Forecast'!F7 - 'Demand Forecast'!F7</f>
        <v>-61.517212</v>
      </c>
      <c r="G7" s="9">
        <f>'Generation Forecast'!G7 - 'Demand Forecast'!G7</f>
        <v>-66.62389892</v>
      </c>
      <c r="H7" s="9">
        <f>'Generation Forecast'!H7 - 'Demand Forecast'!H7</f>
        <v>-71.74006461</v>
      </c>
      <c r="I7" s="9">
        <f>'Generation Forecast'!I7 - 'Demand Forecast'!I7</f>
        <v>-75.70133706</v>
      </c>
      <c r="J7" s="9">
        <f>'Generation Forecast'!J7 - 'Demand Forecast'!J7</f>
        <v>-79.67227879</v>
      </c>
      <c r="K7" s="9">
        <f>'Generation Forecast'!K7 - 'Demand Forecast'!K7</f>
        <v>-83.65298652</v>
      </c>
      <c r="L7" s="9">
        <f>'Generation Forecast'!L7 - 'Demand Forecast'!L7</f>
        <v>-87.64355789</v>
      </c>
      <c r="M7" s="9">
        <f>'Generation Forecast'!M7 - 'Demand Forecast'!M7</f>
        <v>-91.64409154</v>
      </c>
      <c r="N7" s="9">
        <f>'Generation Forecast'!N7 - 'Demand Forecast'!N7</f>
        <v>-93.65845829</v>
      </c>
      <c r="O7" s="9">
        <f>'Generation Forecast'!O7 - 'Demand Forecast'!O7</f>
        <v>-95.68298757</v>
      </c>
      <c r="P7" s="9">
        <f>'Generation Forecast'!P7 - 'Demand Forecast'!P7</f>
        <v>-97.717781</v>
      </c>
      <c r="Q7" s="9">
        <f>'Generation Forecast'!Q7 - 'Demand Forecast'!Q7</f>
        <v>-99.76294122</v>
      </c>
      <c r="R7" s="9">
        <f>'Generation Forecast'!R7 - 'Demand Forecast'!R7</f>
        <v>-101.8185719</v>
      </c>
      <c r="S7" s="9">
        <f>'Generation Forecast'!S7 - 'Demand Forecast'!S7</f>
        <v>-103.8847777</v>
      </c>
      <c r="T7" s="9">
        <f>'Generation Forecast'!T7 - 'Demand Forecast'!T7</f>
        <v>-105.9616645</v>
      </c>
      <c r="U7" s="9">
        <f>'Generation Forecast'!U7 - 'Demand Forecast'!U7</f>
        <v>-108.049339</v>
      </c>
      <c r="V7" s="9">
        <f>'Generation Forecast'!V7 - 'Demand Forecast'!V7</f>
        <v>-110.147909</v>
      </c>
      <c r="W7" s="9">
        <f>'Generation Forecast'!W7 - 'Demand Forecast'!W7</f>
        <v>-112.2574837</v>
      </c>
    </row>
    <row r="8">
      <c r="A8" s="2" t="s">
        <v>16</v>
      </c>
      <c r="B8" s="2" t="s">
        <v>12</v>
      </c>
      <c r="C8" s="9">
        <f>'Generation Forecast'!C8 - 'Demand Forecast'!C8</f>
        <v>351.59332</v>
      </c>
      <c r="D8" s="9">
        <f>'Generation Forecast'!D8 - 'Demand Forecast'!D8</f>
        <v>323.66024</v>
      </c>
      <c r="E8" s="9">
        <f>'Generation Forecast'!E8 - 'Demand Forecast'!E8</f>
        <v>295.69162</v>
      </c>
      <c r="F8" s="9">
        <f>'Generation Forecast'!F8 - 'Demand Forecast'!F8</f>
        <v>267.6871046</v>
      </c>
      <c r="G8" s="9">
        <f>'Generation Forecast'!G8 - 'Demand Forecast'!G8</f>
        <v>239.6463348</v>
      </c>
      <c r="H8" s="9">
        <f>'Generation Forecast'!H8 - 'Demand Forecast'!H8</f>
        <v>211.5689482</v>
      </c>
      <c r="I8" s="9">
        <f>'Generation Forecast'!I8 - 'Demand Forecast'!I8</f>
        <v>163.9513145</v>
      </c>
      <c r="J8" s="9">
        <f>'Generation Forecast'!J8 - 'Demand Forecast'!J8</f>
        <v>116.2963279</v>
      </c>
      <c r="K8" s="9">
        <f>'Generation Forecast'!K8 - 'Demand Forecast'!K8</f>
        <v>68.60361482</v>
      </c>
      <c r="L8" s="9">
        <f>'Generation Forecast'!L8 - 'Demand Forecast'!L8</f>
        <v>20.87279809</v>
      </c>
      <c r="M8" s="9">
        <f>'Generation Forecast'!M8 - 'Demand Forecast'!M8</f>
        <v>-26.89650337</v>
      </c>
      <c r="N8" s="9">
        <f>'Generation Forecast'!N8 - 'Demand Forecast'!N8</f>
        <v>-67.3909504</v>
      </c>
      <c r="O8" s="9">
        <f>'Generation Forecast'!O8 - 'Demand Forecast'!O8</f>
        <v>-107.9246557</v>
      </c>
      <c r="P8" s="9">
        <f>'Generation Forecast'!P8 - 'Demand Forecast'!P8</f>
        <v>-148.4980119</v>
      </c>
      <c r="Q8" s="9">
        <f>'Generation Forecast'!Q8 - 'Demand Forecast'!Q8</f>
        <v>-189.1114154</v>
      </c>
      <c r="R8" s="9">
        <f>'Generation Forecast'!R8 - 'Demand Forecast'!R8</f>
        <v>-229.7652667</v>
      </c>
      <c r="S8" s="9">
        <f>'Generation Forecast'!S8 - 'Demand Forecast'!S8</f>
        <v>-270.4599704</v>
      </c>
      <c r="T8" s="9">
        <f>'Generation Forecast'!T8 - 'Demand Forecast'!T8</f>
        <v>-311.1959349</v>
      </c>
      <c r="U8" s="9">
        <f>'Generation Forecast'!U8 - 'Demand Forecast'!U8</f>
        <v>-351.9735729</v>
      </c>
      <c r="V8" s="9">
        <f>'Generation Forecast'!V8 - 'Demand Forecast'!V8</f>
        <v>-392.793301</v>
      </c>
      <c r="W8" s="9">
        <f>'Generation Forecast'!W8 - 'Demand Forecast'!W8</f>
        <v>-433.6555402</v>
      </c>
    </row>
    <row r="9">
      <c r="A9" s="2" t="s">
        <v>16</v>
      </c>
      <c r="B9" s="2" t="s">
        <v>13</v>
      </c>
      <c r="C9" s="9">
        <f>'Generation Forecast'!C9 - 'Demand Forecast'!C9</f>
        <v>-279.054743</v>
      </c>
      <c r="D9" s="9">
        <f>'Generation Forecast'!D9 - 'Demand Forecast'!D9</f>
        <v>-286.586866</v>
      </c>
      <c r="E9" s="9">
        <f>'Generation Forecast'!E9 - 'Demand Forecast'!E9</f>
        <v>-294.164489</v>
      </c>
      <c r="F9" s="9">
        <f>'Generation Forecast'!F9 - 'Demand Forecast'!F9</f>
        <v>-301.788067</v>
      </c>
      <c r="G9" s="9">
        <f>'Generation Forecast'!G9 - 'Demand Forecast'!G9</f>
        <v>-309.4580596</v>
      </c>
      <c r="H9" s="9">
        <f>'Generation Forecast'!H9 - 'Demand Forecast'!H9</f>
        <v>-317.1749308</v>
      </c>
      <c r="I9" s="9">
        <f>'Generation Forecast'!I9 - 'Demand Forecast'!I9</f>
        <v>-329.1141217</v>
      </c>
      <c r="J9" s="9">
        <f>'Generation Forecast'!J9 - 'Demand Forecast'!J9</f>
        <v>-341.1011336</v>
      </c>
      <c r="K9" s="9">
        <f>'Generation Forecast'!K9 - 'Demand Forecast'!K9</f>
        <v>-353.1364447</v>
      </c>
      <c r="L9" s="9">
        <f>'Generation Forecast'!L9 - 'Demand Forecast'!L9</f>
        <v>-365.2205379</v>
      </c>
      <c r="M9" s="9">
        <f>'Generation Forecast'!M9 - 'Demand Forecast'!M9</f>
        <v>-377.3539011</v>
      </c>
      <c r="N9" s="9">
        <f>'Generation Forecast'!N9 - 'Demand Forecast'!N9</f>
        <v>-394.9048483</v>
      </c>
      <c r="O9" s="9">
        <f>'Generation Forecast'!O9 - 'Demand Forecast'!O9</f>
        <v>-412.5060559</v>
      </c>
      <c r="P9" s="9">
        <f>'Generation Forecast'!P9 - 'Demand Forecast'!P9</f>
        <v>-430.1580264</v>
      </c>
      <c r="Q9" s="9">
        <f>'Generation Forecast'!Q9 - 'Demand Forecast'!Q9</f>
        <v>-447.8612674</v>
      </c>
      <c r="R9" s="9">
        <f>'Generation Forecast'!R9 - 'Demand Forecast'!R9</f>
        <v>-465.6162917</v>
      </c>
      <c r="S9" s="9">
        <f>'Generation Forecast'!S9 - 'Demand Forecast'!S9</f>
        <v>-483.423617</v>
      </c>
      <c r="T9" s="9">
        <f>'Generation Forecast'!T9 - 'Demand Forecast'!T9</f>
        <v>-501.2837665</v>
      </c>
      <c r="U9" s="9">
        <f>'Generation Forecast'!U9 - 'Demand Forecast'!U9</f>
        <v>-519.1972682</v>
      </c>
      <c r="V9" s="9">
        <f>'Generation Forecast'!V9 - 'Demand Forecast'!V9</f>
        <v>-537.1646559</v>
      </c>
      <c r="W9" s="9">
        <f>'Generation Forecast'!W9 - 'Demand Forecast'!W9</f>
        <v>-555.1864682</v>
      </c>
    </row>
    <row r="10">
      <c r="A10" s="2" t="s">
        <v>16</v>
      </c>
      <c r="B10" s="2" t="s">
        <v>14</v>
      </c>
      <c r="C10" s="9">
        <f>'Generation Forecast'!C10 - 'Demand Forecast'!C10</f>
        <v>-200.88983</v>
      </c>
      <c r="D10" s="9">
        <f>'Generation Forecast'!D10 - 'Demand Forecast'!D10</f>
        <v>-204.50056</v>
      </c>
      <c r="E10" s="9">
        <f>'Generation Forecast'!E10 - 'Demand Forecast'!E10</f>
        <v>-208.13498</v>
      </c>
      <c r="F10" s="9">
        <f>'Generation Forecast'!F10 - 'Demand Forecast'!F10</f>
        <v>-211.7933269</v>
      </c>
      <c r="G10" s="9">
        <f>'Generation Forecast'!G10 - 'Demand Forecast'!G10</f>
        <v>-215.47584</v>
      </c>
      <c r="H10" s="9">
        <f>'Generation Forecast'!H10 - 'Demand Forecast'!H10</f>
        <v>-219.1827609</v>
      </c>
      <c r="I10" s="9">
        <f>'Generation Forecast'!I10 - 'Demand Forecast'!I10</f>
        <v>-224.6527557</v>
      </c>
      <c r="J10" s="9">
        <f>'Generation Forecast'!J10 - 'Demand Forecast'!J10</f>
        <v>-230.1476489</v>
      </c>
      <c r="K10" s="9">
        <f>'Generation Forecast'!K10 - 'Demand Forecast'!K10</f>
        <v>-235.6676896</v>
      </c>
      <c r="L10" s="9">
        <f>'Generation Forecast'!L10 - 'Demand Forecast'!L10</f>
        <v>-241.2131291</v>
      </c>
      <c r="M10" s="9">
        <f>'Generation Forecast'!M10 - 'Demand Forecast'!M10</f>
        <v>-246.7842215</v>
      </c>
      <c r="N10" s="9">
        <f>'Generation Forecast'!N10 - 'Demand Forecast'!N10</f>
        <v>-250.8911473</v>
      </c>
      <c r="O10" s="9">
        <f>'Generation Forecast'!O10 - 'Demand Forecast'!O10</f>
        <v>-255.0242416</v>
      </c>
      <c r="P10" s="9">
        <f>'Generation Forecast'!P10 - 'Demand Forecast'!P10</f>
        <v>-259.1837661</v>
      </c>
      <c r="Q10" s="9">
        <f>'Generation Forecast'!Q10 - 'Demand Forecast'!Q10</f>
        <v>-263.3699851</v>
      </c>
      <c r="R10" s="9">
        <f>'Generation Forecast'!R10 - 'Demand Forecast'!R10</f>
        <v>-267.5831655</v>
      </c>
      <c r="S10" s="9">
        <f>'Generation Forecast'!S10 - 'Demand Forecast'!S10</f>
        <v>-271.823577</v>
      </c>
      <c r="T10" s="9">
        <f>'Generation Forecast'!T10 - 'Demand Forecast'!T10</f>
        <v>-276.0914918</v>
      </c>
      <c r="U10" s="9">
        <f>'Generation Forecast'!U10 - 'Demand Forecast'!U10</f>
        <v>-280.387185</v>
      </c>
      <c r="V10" s="9">
        <f>'Generation Forecast'!V10 - 'Demand Forecast'!V10</f>
        <v>-284.7109344</v>
      </c>
      <c r="W10" s="9">
        <f>'Generation Forecast'!W10 - 'Demand Forecast'!W10</f>
        <v>-289.0630205</v>
      </c>
    </row>
    <row r="11">
      <c r="A11" s="2" t="s">
        <v>16</v>
      </c>
      <c r="B11" s="2" t="s">
        <v>15</v>
      </c>
      <c r="C11" s="9">
        <f>'Generation Forecast'!C11 - 'Demand Forecast'!C11</f>
        <v>-80.54219</v>
      </c>
      <c r="D11" s="9">
        <f>'Generation Forecast'!D11 - 'Demand Forecast'!D11</f>
        <v>-83.03608</v>
      </c>
      <c r="E11" s="9">
        <f>'Generation Forecast'!E11 - 'Demand Forecast'!E11</f>
        <v>-85.54182</v>
      </c>
      <c r="F11" s="9">
        <f>'Generation Forecast'!F11 - 'Demand Forecast'!F11</f>
        <v>-88.0595285</v>
      </c>
      <c r="G11" s="9">
        <f>'Generation Forecast'!G11 - 'Demand Forecast'!G11</f>
        <v>-90.58932519</v>
      </c>
      <c r="H11" s="9">
        <f>'Generation Forecast'!H11 - 'Demand Forecast'!H11</f>
        <v>-93.13133094</v>
      </c>
      <c r="I11" s="9">
        <f>'Generation Forecast'!I11 - 'Demand Forecast'!I11</f>
        <v>-97.51811385</v>
      </c>
      <c r="J11" s="9">
        <f>'Generation Forecast'!J11 - 'Demand Forecast'!J11</f>
        <v>-101.9173512</v>
      </c>
      <c r="K11" s="9">
        <f>'Generation Forecast'!K11 - 'Demand Forecast'!K11</f>
        <v>-106.3291676</v>
      </c>
      <c r="L11" s="9">
        <f>'Generation Forecast'!L11 - 'Demand Forecast'!L11</f>
        <v>-110.7536888</v>
      </c>
      <c r="M11" s="9">
        <f>'Generation Forecast'!M11 - 'Demand Forecast'!M11</f>
        <v>-115.1910419</v>
      </c>
      <c r="N11" s="9">
        <f>'Generation Forecast'!N11 - 'Demand Forecast'!N11</f>
        <v>-118.0706871</v>
      </c>
      <c r="O11" s="9">
        <f>'Generation Forecast'!O11 - 'Demand Forecast'!O11</f>
        <v>-120.9634221</v>
      </c>
      <c r="P11" s="9">
        <f>'Generation Forecast'!P11 - 'Demand Forecast'!P11</f>
        <v>-123.8693777</v>
      </c>
      <c r="Q11" s="9">
        <f>'Generation Forecast'!Q11 - 'Demand Forecast'!Q11</f>
        <v>-126.7886863</v>
      </c>
      <c r="R11" s="9">
        <f>'Generation Forecast'!R11 - 'Demand Forecast'!R11</f>
        <v>-129.7214812</v>
      </c>
      <c r="S11" s="9">
        <f>'Generation Forecast'!S11 - 'Demand Forecast'!S11</f>
        <v>-132.6678974</v>
      </c>
      <c r="T11" s="9">
        <f>'Generation Forecast'!T11 - 'Demand Forecast'!T11</f>
        <v>-135.6280711</v>
      </c>
      <c r="U11" s="9">
        <f>'Generation Forecast'!U11 - 'Demand Forecast'!U11</f>
        <v>-138.6021399</v>
      </c>
      <c r="V11" s="9">
        <f>'Generation Forecast'!V11 - 'Demand Forecast'!V11</f>
        <v>-141.5902426</v>
      </c>
      <c r="W11" s="9">
        <f>'Generation Forecast'!W11 - 'Demand Forecast'!W11</f>
        <v>-144.5925197</v>
      </c>
    </row>
    <row r="12">
      <c r="A12" s="2" t="s">
        <v>17</v>
      </c>
      <c r="B12" s="2" t="s">
        <v>11</v>
      </c>
      <c r="C12" s="9">
        <f>'Generation Forecast'!C12 - 'Demand Forecast'!C12</f>
        <v>-139.168648</v>
      </c>
      <c r="D12" s="9">
        <f>'Generation Forecast'!D12 - 'Demand Forecast'!D12</f>
        <v>-160.11968</v>
      </c>
      <c r="E12" s="9">
        <f>'Generation Forecast'!E12 - 'Demand Forecast'!E12</f>
        <v>-181.104012</v>
      </c>
      <c r="F12" s="9">
        <f>'Generation Forecast'!F12 - 'Demand Forecast'!F12</f>
        <v>-202.121977</v>
      </c>
      <c r="G12" s="9">
        <f>'Generation Forecast'!G12 - 'Demand Forecast'!G12</f>
        <v>-223.1739113</v>
      </c>
      <c r="H12" s="9">
        <f>'Generation Forecast'!H12 - 'Demand Forecast'!H12</f>
        <v>-244.2601547</v>
      </c>
      <c r="I12" s="9">
        <f>'Generation Forecast'!I12 - 'Demand Forecast'!I12</f>
        <v>-260.4471612</v>
      </c>
      <c r="J12" s="9">
        <f>'Generation Forecast'!J12 - 'Demand Forecast'!J12</f>
        <v>-276.6691663</v>
      </c>
      <c r="K12" s="9">
        <f>'Generation Forecast'!K12 - 'Demand Forecast'!K12</f>
        <v>-292.9265201</v>
      </c>
      <c r="L12" s="9">
        <f>'Generation Forecast'!L12 - 'Demand Forecast'!L12</f>
        <v>-309.219576</v>
      </c>
      <c r="M12" s="9">
        <f>'Generation Forecast'!M12 - 'Demand Forecast'!M12</f>
        <v>-325.548691</v>
      </c>
      <c r="N12" s="9">
        <f>'Generation Forecast'!N12 - 'Demand Forecast'!N12</f>
        <v>-333.4561303</v>
      </c>
      <c r="O12" s="9">
        <f>'Generation Forecast'!O12 - 'Demand Forecast'!O12</f>
        <v>-341.4003536</v>
      </c>
      <c r="P12" s="9">
        <f>'Generation Forecast'!P12 - 'Demand Forecast'!P12</f>
        <v>-349.3817286</v>
      </c>
      <c r="Q12" s="9">
        <f>'Generation Forecast'!Q12 - 'Demand Forecast'!Q12</f>
        <v>-357.4006269</v>
      </c>
      <c r="R12" s="9">
        <f>'Generation Forecast'!R12 - 'Demand Forecast'!R12</f>
        <v>-365.4574237</v>
      </c>
      <c r="S12" s="9">
        <f>'Generation Forecast'!S12 - 'Demand Forecast'!S12</f>
        <v>-373.552498</v>
      </c>
      <c r="T12" s="9">
        <f>'Generation Forecast'!T12 - 'Demand Forecast'!T12</f>
        <v>-381.6862326</v>
      </c>
      <c r="U12" s="9">
        <f>'Generation Forecast'!U12 - 'Demand Forecast'!U12</f>
        <v>-389.859014</v>
      </c>
      <c r="V12" s="9">
        <f>'Generation Forecast'!V12 - 'Demand Forecast'!V12</f>
        <v>-398.0712328</v>
      </c>
      <c r="W12" s="9">
        <f>'Generation Forecast'!W12 - 'Demand Forecast'!W12</f>
        <v>-406.3232833</v>
      </c>
    </row>
    <row r="13">
      <c r="A13" s="2" t="s">
        <v>17</v>
      </c>
      <c r="B13" s="2" t="s">
        <v>12</v>
      </c>
      <c r="C13" s="9">
        <f>'Generation Forecast'!C13 - 'Demand Forecast'!C13</f>
        <v>690.223824</v>
      </c>
      <c r="D13" s="9">
        <f>'Generation Forecast'!D13 - 'Demand Forecast'!D13</f>
        <v>645.871968</v>
      </c>
      <c r="E13" s="9">
        <f>'Generation Forecast'!E13 - 'Demand Forecast'!E13</f>
        <v>601.473912</v>
      </c>
      <c r="F13" s="9">
        <f>'Generation Forecast'!F13 - 'Demand Forecast'!F13</f>
        <v>557.029194</v>
      </c>
      <c r="G13" s="9">
        <f>'Generation Forecast'!G13 - 'Demand Forecast'!G13</f>
        <v>512.5373474</v>
      </c>
      <c r="H13" s="9">
        <f>'Generation Forecast'!H13 - 'Demand Forecast'!H13</f>
        <v>467.9979009</v>
      </c>
      <c r="I13" s="9">
        <f>'Generation Forecast'!I13 - 'Demand Forecast'!I13</f>
        <v>391.6248936</v>
      </c>
      <c r="J13" s="9">
        <f>'Generation Forecast'!J13 - 'Demand Forecast'!J13</f>
        <v>315.2033297</v>
      </c>
      <c r="K13" s="9">
        <f>'Generation Forecast'!K13 - 'Demand Forecast'!K13</f>
        <v>238.7327236</v>
      </c>
      <c r="L13" s="9">
        <f>'Generation Forecast'!L13 - 'Demand Forecast'!L13</f>
        <v>162.2125848</v>
      </c>
      <c r="M13" s="9">
        <f>'Generation Forecast'!M13 - 'Demand Forecast'!M13</f>
        <v>85.64241806</v>
      </c>
      <c r="N13" s="9">
        <f>'Generation Forecast'!N13 - 'Demand Forecast'!N13</f>
        <v>20.94127984</v>
      </c>
      <c r="O13" s="9">
        <f>'Generation Forecast'!O13 - 'Demand Forecast'!O13</f>
        <v>-43.81089192</v>
      </c>
      <c r="P13" s="9">
        <f>'Generation Forecast'!P13 - 'Demand Forecast'!P13</f>
        <v>-108.6146076</v>
      </c>
      <c r="Q13" s="9">
        <f>'Generation Forecast'!Q13 - 'Demand Forecast'!Q13</f>
        <v>-173.4703825</v>
      </c>
      <c r="R13" s="9">
        <f>'Generation Forecast'!R13 - 'Demand Forecast'!R13</f>
        <v>-238.3787374</v>
      </c>
      <c r="S13" s="9">
        <f>'Generation Forecast'!S13 - 'Demand Forecast'!S13</f>
        <v>-303.340198</v>
      </c>
      <c r="T13" s="9">
        <f>'Generation Forecast'!T13 - 'Demand Forecast'!T13</f>
        <v>-368.3552953</v>
      </c>
      <c r="U13" s="9">
        <f>'Generation Forecast'!U13 - 'Demand Forecast'!U13</f>
        <v>-433.4245658</v>
      </c>
      <c r="V13" s="9">
        <f>'Generation Forecast'!V13 - 'Demand Forecast'!V13</f>
        <v>-498.5485511</v>
      </c>
      <c r="W13" s="9">
        <f>'Generation Forecast'!W13 - 'Demand Forecast'!W13</f>
        <v>-563.7277985</v>
      </c>
    </row>
    <row r="14">
      <c r="A14" s="2" t="s">
        <v>17</v>
      </c>
      <c r="B14" s="2" t="s">
        <v>13</v>
      </c>
      <c r="C14" s="9">
        <f>'Generation Forecast'!C14 - 'Demand Forecast'!C14</f>
        <v>-212.449205</v>
      </c>
      <c r="D14" s="9">
        <f>'Generation Forecast'!D14 - 'Demand Forecast'!D14</f>
        <v>-217.14871</v>
      </c>
      <c r="E14" s="9">
        <f>'Generation Forecast'!E14 - 'Demand Forecast'!E14</f>
        <v>-221.879015</v>
      </c>
      <c r="F14" s="9">
        <f>'Generation Forecast'!F14 - 'Demand Forecast'!F14</f>
        <v>-226.640428</v>
      </c>
      <c r="G14" s="9">
        <f>'Generation Forecast'!G14 - 'Demand Forecast'!G14</f>
        <v>-231.4332601</v>
      </c>
      <c r="H14" s="9">
        <f>'Generation Forecast'!H14 - 'Demand Forecast'!H14</f>
        <v>-236.2578254</v>
      </c>
      <c r="I14" s="9">
        <f>'Generation Forecast'!I14 - 'Demand Forecast'!I14</f>
        <v>-243.3817484</v>
      </c>
      <c r="J14" s="9">
        <f>'Generation Forecast'!J14 - 'Demand Forecast'!J14</f>
        <v>-250.5380424</v>
      </c>
      <c r="K14" s="9">
        <f>'Generation Forecast'!K14 - 'Demand Forecast'!K14</f>
        <v>-257.7270313</v>
      </c>
      <c r="L14" s="9">
        <f>'Generation Forecast'!L14 - 'Demand Forecast'!L14</f>
        <v>-264.949042</v>
      </c>
      <c r="M14" s="9">
        <f>'Generation Forecast'!M14 - 'Demand Forecast'!M14</f>
        <v>-272.2044046</v>
      </c>
      <c r="N14" s="9">
        <f>'Generation Forecast'!N14 - 'Demand Forecast'!N14</f>
        <v>-282.4085618</v>
      </c>
      <c r="O14" s="9">
        <f>'Generation Forecast'!O14 - 'Demand Forecast'!O14</f>
        <v>-292.6467413</v>
      </c>
      <c r="P14" s="9">
        <f>'Generation Forecast'!P14 - 'Demand Forecast'!P14</f>
        <v>-302.9192834</v>
      </c>
      <c r="Q14" s="9">
        <f>'Generation Forecast'!Q14 - 'Demand Forecast'!Q14</f>
        <v>-313.2265317</v>
      </c>
      <c r="R14" s="9">
        <f>'Generation Forecast'!R14 - 'Demand Forecast'!R14</f>
        <v>-323.5688333</v>
      </c>
      <c r="S14" s="9">
        <f>'Generation Forecast'!S14 - 'Demand Forecast'!S14</f>
        <v>-333.9465386</v>
      </c>
      <c r="T14" s="9">
        <f>'Generation Forecast'!T14 - 'Demand Forecast'!T14</f>
        <v>-344.3600019</v>
      </c>
      <c r="U14" s="9">
        <f>'Generation Forecast'!U14 - 'Demand Forecast'!U14</f>
        <v>-354.8095805</v>
      </c>
      <c r="V14" s="9">
        <f>'Generation Forecast'!V14 - 'Demand Forecast'!V14</f>
        <v>-365.2956357</v>
      </c>
      <c r="W14" s="9">
        <f>'Generation Forecast'!W14 - 'Demand Forecast'!W14</f>
        <v>-375.8185323</v>
      </c>
    </row>
    <row r="15">
      <c r="A15" s="2" t="s">
        <v>17</v>
      </c>
      <c r="B15" s="2" t="s">
        <v>14</v>
      </c>
      <c r="C15" s="9">
        <f>'Generation Forecast'!C15 - 'Demand Forecast'!C15</f>
        <v>-164.645228</v>
      </c>
      <c r="D15" s="9">
        <f>'Generation Forecast'!D15 - 'Demand Forecast'!D15</f>
        <v>-172.668496</v>
      </c>
      <c r="E15" s="9">
        <f>'Generation Forecast'!E15 - 'Demand Forecast'!E15</f>
        <v>-180.722564</v>
      </c>
      <c r="F15" s="9">
        <f>'Generation Forecast'!F15 - 'Demand Forecast'!F15</f>
        <v>-188.80774</v>
      </c>
      <c r="G15" s="9">
        <f>'Generation Forecast'!G15 - 'Demand Forecast'!G15</f>
        <v>-196.9243351</v>
      </c>
      <c r="H15" s="9">
        <f>'Generation Forecast'!H15 - 'Demand Forecast'!H15</f>
        <v>-205.0726634</v>
      </c>
      <c r="I15" s="9">
        <f>'Generation Forecast'!I15 - 'Demand Forecast'!I15</f>
        <v>-220.1736176</v>
      </c>
      <c r="J15" s="9">
        <f>'Generation Forecast'!J15 - 'Demand Forecast'!J15</f>
        <v>-235.3069428</v>
      </c>
      <c r="K15" s="9">
        <f>'Generation Forecast'!K15 - 'Demand Forecast'!K15</f>
        <v>-250.4729629</v>
      </c>
      <c r="L15" s="9">
        <f>'Generation Forecast'!L15 - 'Demand Forecast'!L15</f>
        <v>-265.6720048</v>
      </c>
      <c r="M15" s="9">
        <f>'Generation Forecast'!M15 - 'Demand Forecast'!M15</f>
        <v>-280.9043986</v>
      </c>
      <c r="N15" s="9">
        <f>'Generation Forecast'!N15 - 'Demand Forecast'!N15</f>
        <v>-290.2385564</v>
      </c>
      <c r="O15" s="9">
        <f>'Generation Forecast'!O15 - 'Demand Forecast'!O15</f>
        <v>-299.6067365</v>
      </c>
      <c r="P15" s="9">
        <f>'Generation Forecast'!P15 - 'Demand Forecast'!P15</f>
        <v>-309.0092792</v>
      </c>
      <c r="Q15" s="9">
        <f>'Generation Forecast'!Q15 - 'Demand Forecast'!Q15</f>
        <v>-318.4465281</v>
      </c>
      <c r="R15" s="9">
        <f>'Generation Forecast'!R15 - 'Demand Forecast'!R15</f>
        <v>-327.9188303</v>
      </c>
      <c r="S15" s="9">
        <f>'Generation Forecast'!S15 - 'Demand Forecast'!S15</f>
        <v>-337.4265362</v>
      </c>
      <c r="T15" s="9">
        <f>'Generation Forecast'!T15 - 'Demand Forecast'!T15</f>
        <v>-346.9700001</v>
      </c>
      <c r="U15" s="9">
        <f>'Generation Forecast'!U15 - 'Demand Forecast'!U15</f>
        <v>-356.5495793</v>
      </c>
      <c r="V15" s="9">
        <f>'Generation Forecast'!V15 - 'Demand Forecast'!V15</f>
        <v>-366.1656351</v>
      </c>
      <c r="W15" s="9">
        <f>'Generation Forecast'!W15 - 'Demand Forecast'!W15</f>
        <v>-375.8185323</v>
      </c>
    </row>
    <row r="16">
      <c r="A16" s="2" t="s">
        <v>17</v>
      </c>
      <c r="B16" s="2" t="s">
        <v>15</v>
      </c>
      <c r="C16" s="9">
        <f>'Generation Forecast'!C16 - 'Demand Forecast'!C16</f>
        <v>-353.880079</v>
      </c>
      <c r="D16" s="9">
        <f>'Generation Forecast'!D16 - 'Demand Forecast'!D16</f>
        <v>-362.806628</v>
      </c>
      <c r="E16" s="9">
        <f>'Generation Forecast'!E16 - 'Demand Forecast'!E16</f>
        <v>-371.780677</v>
      </c>
      <c r="F16" s="9">
        <f>'Generation Forecast'!F16 - 'Demand Forecast'!F16</f>
        <v>-380.802701</v>
      </c>
      <c r="G16" s="9">
        <f>'Generation Forecast'!G16 - 'Demand Forecast'!G16</f>
        <v>-389.8731798</v>
      </c>
      <c r="H16" s="9">
        <f>'Generation Forecast'!H16 - 'Demand Forecast'!H16</f>
        <v>-398.9925978</v>
      </c>
      <c r="I16" s="9">
        <f>'Generation Forecast'!I16 - 'Demand Forecast'!I16</f>
        <v>-414.0086131</v>
      </c>
      <c r="J16" s="9">
        <f>'Generation Forecast'!J16 - 'Demand Forecast'!J16</f>
        <v>-429.0745515</v>
      </c>
      <c r="K16" s="9">
        <f>'Generation Forecast'!K16 - 'Demand Forecast'!K16</f>
        <v>-444.190912</v>
      </c>
      <c r="L16" s="9">
        <f>'Generation Forecast'!L16 - 'Demand Forecast'!L16</f>
        <v>-459.3581989</v>
      </c>
      <c r="M16" s="9">
        <f>'Generation Forecast'!M16 - 'Demand Forecast'!M16</f>
        <v>-474.5769216</v>
      </c>
      <c r="N16" s="9">
        <f>'Generation Forecast'!N16 - 'Demand Forecast'!N16</f>
        <v>-484.8357355</v>
      </c>
      <c r="O16" s="9">
        <f>'Generation Forecast'!O16 - 'Demand Forecast'!O16</f>
        <v>-495.1470189</v>
      </c>
      <c r="P16" s="9">
        <f>'Generation Forecast'!P16 - 'Demand Forecast'!P16</f>
        <v>-505.5112966</v>
      </c>
      <c r="Q16" s="9">
        <f>'Generation Forecast'!Q16 - 'Demand Forecast'!Q16</f>
        <v>-515.9290985</v>
      </c>
      <c r="R16" s="9">
        <f>'Generation Forecast'!R16 - 'Demand Forecast'!R16</f>
        <v>-526.4009598</v>
      </c>
      <c r="S16" s="9">
        <f>'Generation Forecast'!S16 - 'Demand Forecast'!S16</f>
        <v>-536.9274211</v>
      </c>
      <c r="T16" s="9">
        <f>'Generation Forecast'!T16 - 'Demand Forecast'!T16</f>
        <v>-547.5090285</v>
      </c>
      <c r="U16" s="9">
        <f>'Generation Forecast'!U16 - 'Demand Forecast'!U16</f>
        <v>-558.1463334</v>
      </c>
      <c r="V16" s="9">
        <f>'Generation Forecast'!V16 - 'Demand Forecast'!V16</f>
        <v>-568.8398927</v>
      </c>
      <c r="W16" s="9">
        <f>'Generation Forecast'!W16 - 'Demand Forecast'!W16</f>
        <v>-579.590269</v>
      </c>
    </row>
    <row r="17">
      <c r="A17" s="2" t="s">
        <v>18</v>
      </c>
      <c r="B17" s="2" t="s">
        <v>11</v>
      </c>
      <c r="C17" s="9">
        <f>'Generation Forecast'!C17 - 'Demand Forecast'!C17</f>
        <v>-6.203296</v>
      </c>
      <c r="D17" s="9">
        <f>'Generation Forecast'!D17 - 'Demand Forecast'!D17</f>
        <v>-11.18936</v>
      </c>
      <c r="E17" s="9">
        <f>'Generation Forecast'!E17 - 'Demand Forecast'!E17</f>
        <v>-16.180924</v>
      </c>
      <c r="F17" s="9">
        <f>'Generation Forecast'!F17 - 'Demand Forecast'!F17</f>
        <v>-21.178043</v>
      </c>
      <c r="G17" s="9">
        <f>'Generation Forecast'!G17 - 'Demand Forecast'!G17</f>
        <v>-26.18077255</v>
      </c>
      <c r="H17" s="9">
        <f>'Generation Forecast'!H17 - 'Demand Forecast'!H17</f>
        <v>-31.18916876</v>
      </c>
      <c r="I17" s="9">
        <f>'Generation Forecast'!I17 - 'Demand Forecast'!I17</f>
        <v>-34.96119036</v>
      </c>
      <c r="J17" s="9">
        <f>'Generation Forecast'!J17 - 'Demand Forecast'!J17</f>
        <v>-38.73899253</v>
      </c>
      <c r="K17" s="9">
        <f>'Generation Forecast'!K17 - 'Demand Forecast'!K17</f>
        <v>-42.52263305</v>
      </c>
      <c r="L17" s="9">
        <f>'Generation Forecast'!L17 - 'Demand Forecast'!L17</f>
        <v>-46.31217032</v>
      </c>
      <c r="M17" s="9">
        <f>'Generation Forecast'!M17 - 'Demand Forecast'!M17</f>
        <v>-50.1076633</v>
      </c>
      <c r="N17" s="9">
        <f>'Generation Forecast'!N17 - 'Demand Forecast'!N17</f>
        <v>-51.77986083</v>
      </c>
      <c r="O17" s="9">
        <f>'Generation Forecast'!O17 - 'Demand Forecast'!O17</f>
        <v>-53.45813378</v>
      </c>
      <c r="P17" s="9">
        <f>'Generation Forecast'!P17 - 'Demand Forecast'!P17</f>
        <v>-55.1425429</v>
      </c>
      <c r="Q17" s="9">
        <f>'Generation Forecast'!Q17 - 'Demand Forecast'!Q17</f>
        <v>-56.83314957</v>
      </c>
      <c r="R17" s="9">
        <f>'Generation Forecast'!R17 - 'Demand Forecast'!R17</f>
        <v>-58.53001575</v>
      </c>
      <c r="S17" s="9">
        <f>'Generation Forecast'!S17 - 'Demand Forecast'!S17</f>
        <v>-60.23320403</v>
      </c>
      <c r="T17" s="9">
        <f>'Generation Forecast'!T17 - 'Demand Forecast'!T17</f>
        <v>-61.94277765</v>
      </c>
      <c r="U17" s="9">
        <f>'Generation Forecast'!U17 - 'Demand Forecast'!U17</f>
        <v>-63.65880044</v>
      </c>
      <c r="V17" s="9">
        <f>'Generation Forecast'!V17 - 'Demand Forecast'!V17</f>
        <v>-65.38133691</v>
      </c>
      <c r="W17" s="9">
        <f>'Generation Forecast'!W17 - 'Demand Forecast'!W17</f>
        <v>-67.1104522</v>
      </c>
    </row>
    <row r="18">
      <c r="A18" s="2" t="s">
        <v>18</v>
      </c>
      <c r="B18" s="2" t="s">
        <v>12</v>
      </c>
      <c r="C18" s="9">
        <f>'Generation Forecast'!C18 - 'Demand Forecast'!C18</f>
        <v>301.431824</v>
      </c>
      <c r="D18" s="9">
        <f>'Generation Forecast'!D18 - 'Demand Forecast'!D18</f>
        <v>279.182968</v>
      </c>
      <c r="E18" s="9">
        <f>'Generation Forecast'!E18 - 'Demand Forecast'!E18</f>
        <v>256.907462</v>
      </c>
      <c r="F18" s="9">
        <f>'Generation Forecast'!F18 - 'Demand Forecast'!F18</f>
        <v>234.6050395</v>
      </c>
      <c r="G18" s="9">
        <f>'Generation Forecast'!G18 - 'Demand Forecast'!G18</f>
        <v>212.2754313</v>
      </c>
      <c r="H18" s="9">
        <f>'Generation Forecast'!H18 - 'Demand Forecast'!H18</f>
        <v>189.9183656</v>
      </c>
      <c r="I18" s="9">
        <f>'Generation Forecast'!I18 - 'Demand Forecast'!I18</f>
        <v>151.8664831</v>
      </c>
      <c r="J18" s="9">
        <f>'Generation Forecast'!J18 - 'Demand Forecast'!J18</f>
        <v>113.7865911</v>
      </c>
      <c r="K18" s="9">
        <f>'Generation Forecast'!K18 - 'Demand Forecast'!K18</f>
        <v>75.67840955</v>
      </c>
      <c r="L18" s="9">
        <f>'Generation Forecast'!L18 - 'Demand Forecast'!L18</f>
        <v>37.54165563</v>
      </c>
      <c r="M18" s="9">
        <f>'Generation Forecast'!M18 - 'Demand Forecast'!M18</f>
        <v>-0.6239564221</v>
      </c>
      <c r="N18" s="9">
        <f>'Generation Forecast'!N18 - 'Demand Forecast'!N18</f>
        <v>-32.94355839</v>
      </c>
      <c r="O18" s="9">
        <f>'Generation Forecast'!O18 - 'Demand Forecast'!O18</f>
        <v>-65.29259853</v>
      </c>
      <c r="P18" s="9">
        <f>'Generation Forecast'!P18 - 'Demand Forecast'!P18</f>
        <v>-97.67137124</v>
      </c>
      <c r="Q18" s="9">
        <f>'Generation Forecast'!Q18 - 'Demand Forecast'!Q18</f>
        <v>-130.0801738</v>
      </c>
      <c r="R18" s="9">
        <f>'Generation Forecast'!R18 - 'Demand Forecast'!R18</f>
        <v>-162.5193066</v>
      </c>
      <c r="S18" s="9">
        <f>'Generation Forecast'!S18 - 'Demand Forecast'!S18</f>
        <v>-194.9890729</v>
      </c>
      <c r="T18" s="9">
        <f>'Generation Forecast'!T18 - 'Demand Forecast'!T18</f>
        <v>-227.489779</v>
      </c>
      <c r="U18" s="9">
        <f>'Generation Forecast'!U18 - 'Demand Forecast'!U18</f>
        <v>-260.0217343</v>
      </c>
      <c r="V18" s="9">
        <f>'Generation Forecast'!V18 - 'Demand Forecast'!V18</f>
        <v>-292.5852513</v>
      </c>
      <c r="W18" s="9">
        <f>'Generation Forecast'!W18 - 'Demand Forecast'!W18</f>
        <v>-325.1806456</v>
      </c>
    </row>
    <row r="19">
      <c r="A19" s="2" t="s">
        <v>18</v>
      </c>
      <c r="B19" s="2" t="s">
        <v>13</v>
      </c>
      <c r="C19" s="9">
        <f>'Generation Forecast'!C19 - 'Demand Forecast'!C19</f>
        <v>-50.587465</v>
      </c>
      <c r="D19" s="9">
        <f>'Generation Forecast'!D19 - 'Demand Forecast'!D19</f>
        <v>-52.60283</v>
      </c>
      <c r="E19" s="9">
        <f>'Generation Forecast'!E19 - 'Demand Forecast'!E19</f>
        <v>-54.628855</v>
      </c>
      <c r="F19" s="9">
        <f>'Generation Forecast'!F19 - 'Demand Forecast'!F19</f>
        <v>-56.6656466</v>
      </c>
      <c r="G19" s="9">
        <f>'Generation Forecast'!G19 - 'Demand Forecast'!G19</f>
        <v>-58.71331247</v>
      </c>
      <c r="H19" s="9">
        <f>'Generation Forecast'!H19 - 'Demand Forecast'!H19</f>
        <v>-60.77196134</v>
      </c>
      <c r="I19" s="9">
        <f>'Generation Forecast'!I19 - 'Demand Forecast'!I19</f>
        <v>-64.17081405</v>
      </c>
      <c r="J19" s="9">
        <f>'Generation Forecast'!J19 - 'Demand Forecast'!J19</f>
        <v>-67.58087053</v>
      </c>
      <c r="K19" s="9">
        <f>'Generation Forecast'!K19 - 'Demand Forecast'!K19</f>
        <v>-71.00224282</v>
      </c>
      <c r="L19" s="9">
        <f>'Generation Forecast'!L19 - 'Demand Forecast'!L19</f>
        <v>-74.43504407</v>
      </c>
      <c r="M19" s="9">
        <f>'Generation Forecast'!M19 - 'Demand Forecast'!M19</f>
        <v>-77.87938857</v>
      </c>
      <c r="N19" s="9">
        <f>'Generation Forecast'!N19 - 'Demand Forecast'!N19</f>
        <v>-83.04424875</v>
      </c>
      <c r="O19" s="9">
        <f>'Generation Forecast'!O19 - 'Demand Forecast'!O19</f>
        <v>-88.22088421</v>
      </c>
      <c r="P19" s="9">
        <f>'Generation Forecast'!P19 - 'Demand Forecast'!P19</f>
        <v>-93.40941269</v>
      </c>
      <c r="Q19" s="9">
        <f>'Generation Forecast'!Q19 - 'Demand Forecast'!Q19</f>
        <v>-98.60995313</v>
      </c>
      <c r="R19" s="9">
        <f>'Generation Forecast'!R19 - 'Demand Forecast'!R19</f>
        <v>-103.8226256</v>
      </c>
      <c r="S19" s="9">
        <f>'Generation Forecast'!S19 - 'Demand Forecast'!S19</f>
        <v>-109.0475515</v>
      </c>
      <c r="T19" s="9">
        <f>'Generation Forecast'!T19 - 'Demand Forecast'!T19</f>
        <v>-114.2848534</v>
      </c>
      <c r="U19" s="9">
        <f>'Generation Forecast'!U19 - 'Demand Forecast'!U19</f>
        <v>-119.5346549</v>
      </c>
      <c r="V19" s="9">
        <f>'Generation Forecast'!V19 - 'Demand Forecast'!V19</f>
        <v>-124.7970811</v>
      </c>
      <c r="W19" s="9">
        <f>'Generation Forecast'!W19 - 'Demand Forecast'!W19</f>
        <v>-130.0722583</v>
      </c>
    </row>
    <row r="20">
      <c r="A20" s="2" t="s">
        <v>18</v>
      </c>
      <c r="B20" s="2" t="s">
        <v>14</v>
      </c>
      <c r="C20" s="9">
        <f>'Generation Forecast'!C20 - 'Demand Forecast'!C20</f>
        <v>-197.9092</v>
      </c>
      <c r="D20" s="9">
        <f>'Generation Forecast'!D20 - 'Demand Forecast'!D20</f>
        <v>-202.9394</v>
      </c>
      <c r="E20" s="9">
        <f>'Generation Forecast'!E20 - 'Demand Forecast'!E20</f>
        <v>-207.99625</v>
      </c>
      <c r="F20" s="9">
        <f>'Generation Forecast'!F20 - 'Demand Forecast'!F20</f>
        <v>-213.0800165</v>
      </c>
      <c r="G20" s="9">
        <f>'Generation Forecast'!G20 - 'Demand Forecast'!G20</f>
        <v>-218.1909687</v>
      </c>
      <c r="H20" s="9">
        <f>'Generation Forecast'!H20 - 'Demand Forecast'!H20</f>
        <v>-223.3293784</v>
      </c>
      <c r="I20" s="9">
        <f>'Generation Forecast'!I20 - 'Demand Forecast'!I20</f>
        <v>-231.8068001</v>
      </c>
      <c r="J20" s="9">
        <f>'Generation Forecast'!J20 - 'Demand Forecast'!J20</f>
        <v>-240.3122313</v>
      </c>
      <c r="K20" s="9">
        <f>'Generation Forecast'!K20 - 'Demand Forecast'!K20</f>
        <v>-248.845952</v>
      </c>
      <c r="L20" s="9">
        <f>'Generation Forecast'!L20 - 'Demand Forecast'!L20</f>
        <v>-257.4082452</v>
      </c>
      <c r="M20" s="9">
        <f>'Generation Forecast'!M20 - 'Demand Forecast'!M20</f>
        <v>-265.9993964</v>
      </c>
      <c r="N20" s="9">
        <f>'Generation Forecast'!N20 - 'Demand Forecast'!N20</f>
        <v>-271.7814544</v>
      </c>
      <c r="O20" s="9">
        <f>'Generation Forecast'!O20 - 'Demand Forecast'!O20</f>
        <v>-277.5929505</v>
      </c>
      <c r="P20" s="9">
        <f>'Generation Forecast'!P20 - 'Demand Forecast'!P20</f>
        <v>-283.4341792</v>
      </c>
      <c r="Q20" s="9">
        <f>'Generation Forecast'!Q20 - 'Demand Forecast'!Q20</f>
        <v>-289.3054378</v>
      </c>
      <c r="R20" s="9">
        <f>'Generation Forecast'!R20 - 'Demand Forecast'!R20</f>
        <v>-295.2070266</v>
      </c>
      <c r="S20" s="9">
        <f>'Generation Forecast'!S20 - 'Demand Forecast'!S20</f>
        <v>-301.1392489</v>
      </c>
      <c r="T20" s="9">
        <f>'Generation Forecast'!T20 - 'Demand Forecast'!T20</f>
        <v>-307.102411</v>
      </c>
      <c r="U20" s="9">
        <f>'Generation Forecast'!U20 - 'Demand Forecast'!U20</f>
        <v>-313.0968223</v>
      </c>
      <c r="V20" s="9">
        <f>'Generation Forecast'!V20 - 'Demand Forecast'!V20</f>
        <v>-319.1227953</v>
      </c>
      <c r="W20" s="9">
        <f>'Generation Forecast'!W20 - 'Demand Forecast'!W20</f>
        <v>-325.1806456</v>
      </c>
    </row>
    <row r="21" ht="15.75" customHeight="1">
      <c r="A21" s="2" t="s">
        <v>18</v>
      </c>
      <c r="B21" s="2" t="s">
        <v>15</v>
      </c>
      <c r="C21" s="9">
        <f>'Generation Forecast'!C21 - 'Demand Forecast'!C21</f>
        <v>-271.11805</v>
      </c>
      <c r="D21" s="9">
        <f>'Generation Forecast'!D21 - 'Demand Forecast'!D21</f>
        <v>-280.7366</v>
      </c>
      <c r="E21" s="9">
        <f>'Generation Forecast'!E21 - 'Demand Forecast'!E21</f>
        <v>-290.39779</v>
      </c>
      <c r="F21" s="9">
        <f>'Generation Forecast'!F21 - 'Demand Forecast'!F21</f>
        <v>-300.1020464</v>
      </c>
      <c r="G21" s="9">
        <f>'Generation Forecast'!G21 - 'Demand Forecast'!G21</f>
        <v>-309.8497999</v>
      </c>
      <c r="H21" s="9">
        <f>'Generation Forecast'!H21 - 'Demand Forecast'!H21</f>
        <v>-319.6414854</v>
      </c>
      <c r="I21" s="9">
        <f>'Generation Forecast'!I21 - 'Demand Forecast'!I21</f>
        <v>-336.9739122</v>
      </c>
      <c r="J21" s="9">
        <f>'Generation Forecast'!J21 - 'Demand Forecast'!J21</f>
        <v>-354.3511541</v>
      </c>
      <c r="K21" s="9">
        <f>'Generation Forecast'!K21 - 'Demand Forecast'!K21</f>
        <v>-371.7736593</v>
      </c>
      <c r="L21" s="9">
        <f>'Generation Forecast'!L21 - 'Demand Forecast'!L21</f>
        <v>-389.2418803</v>
      </c>
      <c r="M21" s="9">
        <f>'Generation Forecast'!M21 - 'Demand Forecast'!M21</f>
        <v>-406.7562743</v>
      </c>
      <c r="N21" s="9">
        <f>'Generation Forecast'!N21 - 'Demand Forecast'!N21</f>
        <v>-417.891843</v>
      </c>
      <c r="O21" s="9">
        <f>'Generation Forecast'!O21 - 'Demand Forecast'!O21</f>
        <v>-429.0745128</v>
      </c>
      <c r="P21" s="9">
        <f>'Generation Forecast'!P21 - 'Demand Forecast'!P21</f>
        <v>-440.3047548</v>
      </c>
      <c r="Q21" s="9">
        <f>'Generation Forecast'!Q21 - 'Demand Forecast'!Q21</f>
        <v>-451.5830445</v>
      </c>
      <c r="R21" s="9">
        <f>'Generation Forecast'!R21 - 'Demand Forecast'!R21</f>
        <v>-462.9098626</v>
      </c>
      <c r="S21" s="9">
        <f>'Generation Forecast'!S21 - 'Demand Forecast'!S21</f>
        <v>-474.2856942</v>
      </c>
      <c r="T21" s="9">
        <f>'Generation Forecast'!T21 - 'Demand Forecast'!T21</f>
        <v>-485.7110295</v>
      </c>
      <c r="U21" s="9">
        <f>'Generation Forecast'!U21 - 'Demand Forecast'!U21</f>
        <v>-497.1863636</v>
      </c>
      <c r="V21" s="9">
        <f>'Generation Forecast'!V21 - 'Demand Forecast'!V21</f>
        <v>-508.7121965</v>
      </c>
      <c r="W21" s="9">
        <f>'Generation Forecast'!W21 - 'Demand Forecast'!W21</f>
        <v>-520.289033</v>
      </c>
    </row>
    <row r="22" ht="15.75" customHeight="1"/>
    <row r="23" ht="15.75" customHeight="1">
      <c r="A23" s="7" t="s">
        <v>24</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W$21">
    <sortState ref="A1:W21">
      <sortCondition ref="A1:A21"/>
    </sortState>
  </autoFilter>
  <mergeCells count="1">
    <mergeCell ref="A23:I25"/>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6.0"/>
    <col customWidth="1" min="3" max="26" width="8.71"/>
  </cols>
  <sheetData>
    <row r="1">
      <c r="A1" s="8" t="s">
        <v>4</v>
      </c>
      <c r="B1" s="8" t="s">
        <v>5</v>
      </c>
      <c r="C1" s="8">
        <v>2025.0</v>
      </c>
      <c r="D1" s="8">
        <v>2026.0</v>
      </c>
      <c r="E1" s="8">
        <v>2027.0</v>
      </c>
      <c r="F1" s="8">
        <v>2028.0</v>
      </c>
      <c r="G1" s="8">
        <v>2029.0</v>
      </c>
      <c r="H1" s="8">
        <v>2030.0</v>
      </c>
      <c r="I1" s="8">
        <v>2031.0</v>
      </c>
      <c r="J1" s="8">
        <v>2032.0</v>
      </c>
      <c r="K1" s="8">
        <v>2033.0</v>
      </c>
      <c r="L1" s="8">
        <v>2034.0</v>
      </c>
      <c r="M1" s="8">
        <v>2035.0</v>
      </c>
      <c r="N1" s="8">
        <v>2036.0</v>
      </c>
      <c r="O1" s="8">
        <v>2037.0</v>
      </c>
      <c r="P1" s="8">
        <v>2038.0</v>
      </c>
      <c r="Q1" s="8">
        <v>2039.0</v>
      </c>
      <c r="R1" s="8">
        <v>2040.0</v>
      </c>
      <c r="S1" s="8">
        <v>2041.0</v>
      </c>
      <c r="T1" s="8">
        <v>2042.0</v>
      </c>
      <c r="U1" s="8">
        <v>2043.0</v>
      </c>
      <c r="V1" s="8">
        <v>2044.0</v>
      </c>
      <c r="W1" s="8">
        <v>2045.0</v>
      </c>
      <c r="X1" s="8"/>
      <c r="Y1" s="8"/>
      <c r="Z1" s="8"/>
    </row>
    <row r="2">
      <c r="A2" s="2" t="s">
        <v>10</v>
      </c>
      <c r="B2" s="2" t="s">
        <v>11</v>
      </c>
      <c r="C2" s="9">
        <f>IF('Demand vs Supply Gap'!C2&lt;0, -'Demand vs Supply Gap'!C2*1000/('Current Mix'!D2*8760), 0)</f>
        <v>32.05408676</v>
      </c>
      <c r="D2" s="9">
        <f>IF('Demand vs Supply Gap'!D2&lt;0, -'Demand vs Supply Gap'!D2*1000/('Current Mix'!D2*8760), 0)</f>
        <v>35.10707763</v>
      </c>
      <c r="E2" s="9">
        <f>IF('Demand vs Supply Gap'!E2&lt;0, -'Demand vs Supply Gap'!E2*1000/('Current Mix'!D2*8760), 0)</f>
        <v>38.16598174</v>
      </c>
      <c r="F2" s="9">
        <f>IF('Demand vs Supply Gap'!F2&lt;0, -'Demand vs Supply Gap'!F2*1000/('Current Mix'!D2*8760), 0)</f>
        <v>41.23085822</v>
      </c>
      <c r="G2" s="9">
        <f>IF('Demand vs Supply Gap'!G2&lt;0, -'Demand vs Supply Gap'!G2*1000/('Current Mix'!D2*8760), 0)</f>
        <v>44.3017668</v>
      </c>
      <c r="H2" s="9">
        <f>IF('Demand vs Supply Gap'!H2&lt;0, -'Demand vs Supply Gap'!H2*1000/('Current Mix'!D2*8760), 0)</f>
        <v>47.3787678</v>
      </c>
      <c r="I2" s="9">
        <f>IF('Demand vs Supply Gap'!I2&lt;0, -'Demand vs Supply Gap'!I2*1000/('Current Mix'!D2*8760), 0)</f>
        <v>49.77265548</v>
      </c>
      <c r="J2" s="9">
        <f>IF('Demand vs Supply Gap'!J2&lt;0, -'Demand vs Supply Gap'!J2*1000/('Current Mix'!D2*8760), 0)</f>
        <v>52.17275804</v>
      </c>
      <c r="K2" s="9">
        <f>IF('Demand vs Supply Gap'!K2&lt;0, -'Demand vs Supply Gap'!K2*1000/('Current Mix'!D2*8760), 0)</f>
        <v>54.57913762</v>
      </c>
      <c r="L2" s="9">
        <f>IF('Demand vs Supply Gap'!L2&lt;0, -'Demand vs Supply Gap'!L2*1000/('Current Mix'!D2*8760), 0)</f>
        <v>56.99185699</v>
      </c>
      <c r="M2" s="9">
        <f>IF('Demand vs Supply Gap'!M2&lt;0, -'Demand vs Supply Gap'!M2*1000/('Current Mix'!D2*8760), 0)</f>
        <v>59.41097956</v>
      </c>
      <c r="N2" s="9">
        <f>IF('Demand vs Supply Gap'!N2&lt;0, -'Demand vs Supply Gap'!N2*1000/('Current Mix'!D2*8760), 0)</f>
        <v>60.65496936</v>
      </c>
      <c r="O2" s="9">
        <f>IF('Demand vs Supply Gap'!O2&lt;0, -'Demand vs Supply Gap'!O2*1000/('Current Mix'!D2*8760), 0)</f>
        <v>61.90549105</v>
      </c>
      <c r="P2" s="9">
        <f>IF('Demand vs Supply Gap'!P2&lt;0, -'Demand vs Supply Gap'!P2*1000/('Current Mix'!D2*8760), 0)</f>
        <v>63.16260996</v>
      </c>
      <c r="Q2" s="9">
        <f>IF('Demand vs Supply Gap'!Q2&lt;0, -'Demand vs Supply Gap'!Q2*1000/('Current Mix'!D2*8760), 0)</f>
        <v>64.42639206</v>
      </c>
      <c r="R2" s="9">
        <f>IF('Demand vs Supply Gap'!R2&lt;0, -'Demand vs Supply Gap'!R2*1000/('Current Mix'!D2*8760), 0)</f>
        <v>65.69690398</v>
      </c>
      <c r="S2" s="9">
        <f>IF('Demand vs Supply Gap'!S2&lt;0, -'Demand vs Supply Gap'!S2*1000/('Current Mix'!D2*8760), 0)</f>
        <v>66.97421302</v>
      </c>
      <c r="T2" s="9">
        <f>IF('Demand vs Supply Gap'!T2&lt;0, -'Demand vs Supply Gap'!T2*1000/('Current Mix'!D2*8760), 0)</f>
        <v>68.25838715</v>
      </c>
      <c r="U2" s="9">
        <f>IF('Demand vs Supply Gap'!U2&lt;0, -'Demand vs Supply Gap'!U2*1000/('Current Mix'!D2*8760), 0)</f>
        <v>69.54949502</v>
      </c>
      <c r="V2" s="9">
        <f>IF('Demand vs Supply Gap'!V2&lt;0, -'Demand vs Supply Gap'!V2*1000/('Current Mix'!D2*8760), 0)</f>
        <v>70.84760597</v>
      </c>
      <c r="W2" s="9">
        <f>IF('Demand vs Supply Gap'!W2&lt;0, -'Demand vs Supply Gap'!W2*1000/('Current Mix'!D2*8760), 0)</f>
        <v>72.15279003</v>
      </c>
    </row>
    <row r="3">
      <c r="A3" s="2" t="s">
        <v>10</v>
      </c>
      <c r="B3" s="2" t="s">
        <v>12</v>
      </c>
      <c r="C3" s="9">
        <f>IF('Demand vs Supply Gap'!C3&lt;0, -'Demand vs Supply Gap'!C3*1000/('Current Mix'!D3*8760), 0)</f>
        <v>0</v>
      </c>
      <c r="D3" s="9">
        <f>IF('Demand vs Supply Gap'!D3&lt;0, -'Demand vs Supply Gap'!D3*1000/('Current Mix'!D3*8760), 0)</f>
        <v>0</v>
      </c>
      <c r="E3" s="9">
        <f>IF('Demand vs Supply Gap'!E3&lt;0, -'Demand vs Supply Gap'!E3*1000/('Current Mix'!D3*8760), 0)</f>
        <v>0</v>
      </c>
      <c r="F3" s="9">
        <f>IF('Demand vs Supply Gap'!F3&lt;0, -'Demand vs Supply Gap'!F3*1000/('Current Mix'!D3*8760), 0)</f>
        <v>0</v>
      </c>
      <c r="G3" s="9">
        <f>IF('Demand vs Supply Gap'!G3&lt;0, -'Demand vs Supply Gap'!G3*1000/('Current Mix'!D3*8760), 0)</f>
        <v>0</v>
      </c>
      <c r="H3" s="9">
        <f>IF('Demand vs Supply Gap'!H3&lt;0, -'Demand vs Supply Gap'!H3*1000/('Current Mix'!D3*8760), 0)</f>
        <v>0</v>
      </c>
      <c r="I3" s="9">
        <f>IF('Demand vs Supply Gap'!I3&lt;0, -'Demand vs Supply Gap'!I3*1000/('Current Mix'!D3*8760), 0)</f>
        <v>0</v>
      </c>
      <c r="J3" s="9">
        <f>IF('Demand vs Supply Gap'!J3&lt;0, -'Demand vs Supply Gap'!J3*1000/('Current Mix'!D3*8760), 0)</f>
        <v>0</v>
      </c>
      <c r="K3" s="9">
        <f>IF('Demand vs Supply Gap'!K3&lt;0, -'Demand vs Supply Gap'!K3*1000/('Current Mix'!D3*8760), 0)</f>
        <v>0</v>
      </c>
      <c r="L3" s="9">
        <f>IF('Demand vs Supply Gap'!L3&lt;0, -'Demand vs Supply Gap'!L3*1000/('Current Mix'!D3*8760), 0)</f>
        <v>0</v>
      </c>
      <c r="M3" s="9">
        <f>IF('Demand vs Supply Gap'!M3&lt;0, -'Demand vs Supply Gap'!M3*1000/('Current Mix'!D3*8760), 0)</f>
        <v>0</v>
      </c>
      <c r="N3" s="9">
        <f>IF('Demand vs Supply Gap'!N3&lt;0, -'Demand vs Supply Gap'!N3*1000/('Current Mix'!D3*8760), 0)</f>
        <v>0</v>
      </c>
      <c r="O3" s="9">
        <f>IF('Demand vs Supply Gap'!O3&lt;0, -'Demand vs Supply Gap'!O3*1000/('Current Mix'!D3*8760), 0)</f>
        <v>0</v>
      </c>
      <c r="P3" s="9">
        <f>IF('Demand vs Supply Gap'!P3&lt;0, -'Demand vs Supply Gap'!P3*1000/('Current Mix'!D3*8760), 0)</f>
        <v>0</v>
      </c>
      <c r="Q3" s="9">
        <f>IF('Demand vs Supply Gap'!Q3&lt;0, -'Demand vs Supply Gap'!Q3*1000/('Current Mix'!D3*8760), 0)</f>
        <v>4.832201498</v>
      </c>
      <c r="R3" s="9">
        <f>IF('Demand vs Supply Gap'!R3&lt;0, -'Demand vs Supply Gap'!R3*1000/('Current Mix'!D3*8760), 0)</f>
        <v>14.38872351</v>
      </c>
      <c r="S3" s="9">
        <f>IF('Demand vs Supply Gap'!S3&lt;0, -'Demand vs Supply Gap'!S3*1000/('Current Mix'!D3*8760), 0)</f>
        <v>23.95111075</v>
      </c>
      <c r="T3" s="9">
        <f>IF('Demand vs Supply Gap'!T3&lt;0, -'Demand vs Supply Gap'!T3*1000/('Current Mix'!D3*8760), 0)</f>
        <v>33.51942186</v>
      </c>
      <c r="U3" s="9">
        <f>IF('Demand vs Supply Gap'!U3&lt;0, -'Demand vs Supply Gap'!U3*1000/('Current Mix'!D3*8760), 0)</f>
        <v>43.09371607</v>
      </c>
      <c r="V3" s="9">
        <f>IF('Demand vs Supply Gap'!V3&lt;0, -'Demand vs Supply Gap'!V3*1000/('Current Mix'!D3*8760), 0)</f>
        <v>52.67405324</v>
      </c>
      <c r="W3" s="9">
        <f>IF('Demand vs Supply Gap'!W3&lt;0, -'Demand vs Supply Gap'!W3*1000/('Current Mix'!D3*8760), 0)</f>
        <v>62.26049377</v>
      </c>
    </row>
    <row r="4">
      <c r="A4" s="2" t="s">
        <v>10</v>
      </c>
      <c r="B4" s="2" t="s">
        <v>13</v>
      </c>
      <c r="C4" s="9">
        <f>IF('Demand vs Supply Gap'!C4&lt;0, -'Demand vs Supply Gap'!C4*1000/('Current Mix'!D4*8760), 0)</f>
        <v>0</v>
      </c>
      <c r="D4" s="9">
        <f>IF('Demand vs Supply Gap'!D4&lt;0, -'Demand vs Supply Gap'!D4*1000/('Current Mix'!D4*8760), 0)</f>
        <v>0</v>
      </c>
      <c r="E4" s="9">
        <f>IF('Demand vs Supply Gap'!E4&lt;0, -'Demand vs Supply Gap'!E4*1000/('Current Mix'!D4*8760), 0)</f>
        <v>0</v>
      </c>
      <c r="F4" s="9">
        <f>IF('Demand vs Supply Gap'!F4&lt;0, -'Demand vs Supply Gap'!F4*1000/('Current Mix'!D4*8760), 0)</f>
        <v>0</v>
      </c>
      <c r="G4" s="9">
        <f>IF('Demand vs Supply Gap'!G4&lt;0, -'Demand vs Supply Gap'!G4*1000/('Current Mix'!D4*8760), 0)</f>
        <v>0</v>
      </c>
      <c r="H4" s="9">
        <f>IF('Demand vs Supply Gap'!H4&lt;0, -'Demand vs Supply Gap'!H4*1000/('Current Mix'!D4*8760), 0)</f>
        <v>0</v>
      </c>
      <c r="I4" s="9">
        <f>IF('Demand vs Supply Gap'!I4&lt;0, -'Demand vs Supply Gap'!I4*1000/('Current Mix'!D4*8760), 0)</f>
        <v>1.111340476</v>
      </c>
      <c r="J4" s="9">
        <f>IF('Demand vs Supply Gap'!J4&lt;0, -'Demand vs Supply Gap'!J4*1000/('Current Mix'!D4*8760), 0)</f>
        <v>2.485683881</v>
      </c>
      <c r="K4" s="9">
        <f>IF('Demand vs Supply Gap'!K4&lt;0, -'Demand vs Supply Gap'!K4*1000/('Current Mix'!D4*8760), 0)</f>
        <v>3.86255072</v>
      </c>
      <c r="L4" s="9">
        <f>IF('Demand vs Supply Gap'!L4&lt;0, -'Demand vs Supply Gap'!L4*1000/('Current Mix'!D4*8760), 0)</f>
        <v>5.241966227</v>
      </c>
      <c r="M4" s="9">
        <f>IF('Demand vs Supply Gap'!M4&lt;0, -'Demand vs Supply Gap'!M4*1000/('Current Mix'!D4*8760), 0)</f>
        <v>6.623955889</v>
      </c>
      <c r="N4" s="9">
        <f>IF('Demand vs Supply Gap'!N4&lt;0, -'Demand vs Supply Gap'!N4*1000/('Current Mix'!D4*8760), 0)</f>
        <v>8.850045448</v>
      </c>
      <c r="O4" s="9">
        <f>IF('Demand vs Supply Gap'!O4&lt;0, -'Demand vs Supply Gap'!O4*1000/('Current Mix'!D4*8760), 0)</f>
        <v>11.0787609</v>
      </c>
      <c r="P4" s="9">
        <f>IF('Demand vs Supply Gap'!P4&lt;0, -'Demand vs Supply Gap'!P4*1000/('Current Mix'!D4*8760), 0)</f>
        <v>13.31012851</v>
      </c>
      <c r="Q4" s="9">
        <f>IF('Demand vs Supply Gap'!Q4&lt;0, -'Demand vs Supply Gap'!Q4*1000/('Current Mix'!D4*8760), 0)</f>
        <v>15.5441748</v>
      </c>
      <c r="R4" s="9">
        <f>IF('Demand vs Supply Gap'!R4&lt;0, -'Demand vs Supply Gap'!R4*1000/('Current Mix'!D4*8760), 0)</f>
        <v>17.78092654</v>
      </c>
      <c r="S4" s="9">
        <f>IF('Demand vs Supply Gap'!S4&lt;0, -'Demand vs Supply Gap'!S4*1000/('Current Mix'!D4*8760), 0)</f>
        <v>20.02041081</v>
      </c>
      <c r="T4" s="9">
        <f>IF('Demand vs Supply Gap'!T4&lt;0, -'Demand vs Supply Gap'!T4*1000/('Current Mix'!D4*8760), 0)</f>
        <v>22.26265492</v>
      </c>
      <c r="U4" s="9">
        <f>IF('Demand vs Supply Gap'!U4&lt;0, -'Demand vs Supply Gap'!U4*1000/('Current Mix'!D4*8760), 0)</f>
        <v>24.50768647</v>
      </c>
      <c r="V4" s="9">
        <f>IF('Demand vs Supply Gap'!V4&lt;0, -'Demand vs Supply Gap'!V4*1000/('Current Mix'!D4*8760), 0)</f>
        <v>26.75553333</v>
      </c>
      <c r="W4" s="9">
        <f>IF('Demand vs Supply Gap'!W4&lt;0, -'Demand vs Supply Gap'!W4*1000/('Current Mix'!D4*8760), 0)</f>
        <v>29.00622367</v>
      </c>
    </row>
    <row r="5">
      <c r="A5" s="2" t="s">
        <v>10</v>
      </c>
      <c r="B5" s="2" t="s">
        <v>14</v>
      </c>
      <c r="C5" s="9">
        <f>IF('Demand vs Supply Gap'!C5&lt;0, -'Demand vs Supply Gap'!C5*1000/('Current Mix'!D5*8760), 0)</f>
        <v>36.45652424</v>
      </c>
      <c r="D5" s="9">
        <f>IF('Demand vs Supply Gap'!D5&lt;0, -'Demand vs Supply Gap'!D5*1000/('Current Mix'!D5*8760), 0)</f>
        <v>39.78163949</v>
      </c>
      <c r="E5" s="9">
        <f>IF('Demand vs Supply Gap'!E5&lt;0, -'Demand vs Supply Gap'!E5*1000/('Current Mix'!D5*8760), 0)</f>
        <v>43.11705588</v>
      </c>
      <c r="F5" s="9">
        <f>IF('Demand vs Supply Gap'!F5&lt;0, -'Demand vs Supply Gap'!F5*1000/('Current Mix'!D5*8760), 0)</f>
        <v>46.46287644</v>
      </c>
      <c r="G5" s="9">
        <f>IF('Demand vs Supply Gap'!G5&lt;0, -'Demand vs Supply Gap'!G5*1000/('Current Mix'!D5*8760), 0)</f>
        <v>49.8192052</v>
      </c>
      <c r="H5" s="9">
        <f>IF('Demand vs Supply Gap'!H5&lt;0, -'Demand vs Supply Gap'!H5*1000/('Current Mix'!D5*8760), 0)</f>
        <v>53.18614726</v>
      </c>
      <c r="I5" s="9">
        <f>IF('Demand vs Supply Gap'!I5&lt;0, -'Demand vs Supply Gap'!I5*1000/('Current Mix'!D5*8760), 0)</f>
        <v>59.77680873</v>
      </c>
      <c r="J5" s="9">
        <f>IF('Demand vs Supply Gap'!J5&lt;0, -'Demand vs Supply Gap'!J5*1000/('Current Mix'!D5*8760), 0)</f>
        <v>66.37829682</v>
      </c>
      <c r="K5" s="9">
        <f>IF('Demand vs Supply Gap'!K5&lt;0, -'Demand vs Supply Gap'!K5*1000/('Current Mix'!D5*8760), 0)</f>
        <v>72.99071979</v>
      </c>
      <c r="L5" s="9">
        <f>IF('Demand vs Supply Gap'!L5&lt;0, -'Demand vs Supply Gap'!L5*1000/('Current Mix'!D5*8760), 0)</f>
        <v>79.61418698</v>
      </c>
      <c r="M5" s="9">
        <f>IF('Demand vs Supply Gap'!M5&lt;0, -'Demand vs Supply Gap'!M5*1000/('Current Mix'!D5*8760), 0)</f>
        <v>86.24880885</v>
      </c>
      <c r="N5" s="9">
        <f>IF('Demand vs Supply Gap'!N5&lt;0, -'Demand vs Supply Gap'!N5*1000/('Current Mix'!D5*8760), 0)</f>
        <v>90.14069694</v>
      </c>
      <c r="O5" s="9">
        <f>IF('Demand vs Supply Gap'!O5&lt;0, -'Demand vs Supply Gap'!O5*1000/('Current Mix'!D5*8760), 0)</f>
        <v>94.04396391</v>
      </c>
      <c r="P5" s="9">
        <f>IF('Demand vs Supply Gap'!P5&lt;0, -'Demand vs Supply Gap'!P5*1000/('Current Mix'!D5*8760), 0)</f>
        <v>97.95872355</v>
      </c>
      <c r="Q5" s="9">
        <f>IF('Demand vs Supply Gap'!Q5&lt;0, -'Demand vs Supply Gap'!Q5*1000/('Current Mix'!D5*8760), 0)</f>
        <v>101.8850908</v>
      </c>
      <c r="R5" s="9">
        <f>IF('Demand vs Supply Gap'!R5&lt;0, -'Demand vs Supply Gap'!R5*1000/('Current Mix'!D5*8760), 0)</f>
        <v>105.8231817</v>
      </c>
      <c r="S5" s="9">
        <f>IF('Demand vs Supply Gap'!S5&lt;0, -'Demand vs Supply Gap'!S5*1000/('Current Mix'!D5*8760), 0)</f>
        <v>109.7731135</v>
      </c>
      <c r="T5" s="9">
        <f>IF('Demand vs Supply Gap'!T5&lt;0, -'Demand vs Supply Gap'!T5*1000/('Current Mix'!D5*8760), 0)</f>
        <v>113.7350046</v>
      </c>
      <c r="U5" s="9">
        <f>IF('Demand vs Supply Gap'!U5&lt;0, -'Demand vs Supply Gap'!U5*1000/('Current Mix'!D5*8760), 0)</f>
        <v>117.7089747</v>
      </c>
      <c r="V5" s="9">
        <f>IF('Demand vs Supply Gap'!V5&lt;0, -'Demand vs Supply Gap'!V5*1000/('Current Mix'!D5*8760), 0)</f>
        <v>121.6951444</v>
      </c>
      <c r="W5" s="9">
        <f>IF('Demand vs Supply Gap'!W5&lt;0, -'Demand vs Supply Gap'!W5*1000/('Current Mix'!D5*8760), 0)</f>
        <v>125.6936359</v>
      </c>
    </row>
    <row r="6">
      <c r="A6" s="2" t="s">
        <v>10</v>
      </c>
      <c r="B6" s="2" t="s">
        <v>15</v>
      </c>
      <c r="C6" s="9">
        <f>IF('Demand vs Supply Gap'!C6&lt;0, -'Demand vs Supply Gap'!C6*1000/('Current Mix'!D6*8760), 0)</f>
        <v>29.5034589</v>
      </c>
      <c r="D6" s="9">
        <f>IF('Demand vs Supply Gap'!D6&lt;0, -'Demand vs Supply Gap'!D6*1000/('Current Mix'!D6*8760), 0)</f>
        <v>31.02506849</v>
      </c>
      <c r="E6" s="9">
        <f>IF('Demand vs Supply Gap'!E6&lt;0, -'Demand vs Supply Gap'!E6*1000/('Current Mix'!D6*8760), 0)</f>
        <v>32.55238584</v>
      </c>
      <c r="F6" s="9">
        <f>IF('Demand vs Supply Gap'!F6&lt;0, -'Demand vs Supply Gap'!F6*1000/('Current Mix'!D6*8760), 0)</f>
        <v>34.08546804</v>
      </c>
      <c r="G6" s="9">
        <f>IF('Demand vs Supply Gap'!G6&lt;0, -'Demand vs Supply Gap'!G6*1000/('Current Mix'!D6*8760), 0)</f>
        <v>35.62437272</v>
      </c>
      <c r="H6" s="9">
        <f>IF('Demand vs Supply Gap'!H6&lt;0, -'Demand vs Supply Gap'!H6*1000/('Current Mix'!D6*8760), 0)</f>
        <v>37.16915811</v>
      </c>
      <c r="I6" s="9">
        <f>IF('Demand vs Supply Gap'!I6&lt;0, -'Demand vs Supply Gap'!I6*1000/('Current Mix'!D6*8760), 0)</f>
        <v>40.05104969</v>
      </c>
      <c r="J6" s="9">
        <f>IF('Demand vs Supply Gap'!J6&lt;0, -'Demand vs Supply Gap'!J6*1000/('Current Mix'!D6*8760), 0)</f>
        <v>42.93894019</v>
      </c>
      <c r="K6" s="9">
        <f>IF('Demand vs Supply Gap'!K6&lt;0, -'Demand vs Supply Gap'!K6*1000/('Current Mix'!D6*8760), 0)</f>
        <v>45.83288959</v>
      </c>
      <c r="L6" s="9">
        <f>IF('Demand vs Supply Gap'!L6&lt;0, -'Demand vs Supply Gap'!L6*1000/('Current Mix'!D6*8760), 0)</f>
        <v>48.73295849</v>
      </c>
      <c r="M6" s="9">
        <f>IF('Demand vs Supply Gap'!M6&lt;0, -'Demand vs Supply Gap'!M6*1000/('Current Mix'!D6*8760), 0)</f>
        <v>51.63920807</v>
      </c>
      <c r="N6" s="9">
        <f>IF('Demand vs Supply Gap'!N6&lt;0, -'Demand vs Supply Gap'!N6*1000/('Current Mix'!D6*8760), 0)</f>
        <v>53.41070015</v>
      </c>
      <c r="O6" s="9">
        <f>IF('Demand vs Supply Gap'!O6&lt;0, -'Demand vs Supply Gap'!O6*1000/('Current Mix'!D6*8760), 0)</f>
        <v>55.18849715</v>
      </c>
      <c r="P6" s="9">
        <f>IF('Demand vs Supply Gap'!P6&lt;0, -'Demand vs Supply Gap'!P6*1000/('Current Mix'!D6*8760), 0)</f>
        <v>56.97266213</v>
      </c>
      <c r="Q6" s="9">
        <f>IF('Demand vs Supply Gap'!Q6&lt;0, -'Demand vs Supply Gap'!Q6*1000/('Current Mix'!D6*8760), 0)</f>
        <v>58.76325875</v>
      </c>
      <c r="R6" s="9">
        <f>IF('Demand vs Supply Gap'!R6&lt;0, -'Demand vs Supply Gap'!R6*1000/('Current Mix'!D6*8760), 0)</f>
        <v>60.56035133</v>
      </c>
      <c r="S6" s="9">
        <f>IF('Demand vs Supply Gap'!S6&lt;0, -'Demand vs Supply Gap'!S6*1000/('Current Mix'!D6*8760), 0)</f>
        <v>62.36400485</v>
      </c>
      <c r="T6" s="9">
        <f>IF('Demand vs Supply Gap'!T6&lt;0, -'Demand vs Supply Gap'!T6*1000/('Current Mix'!D6*8760), 0)</f>
        <v>64.1742849</v>
      </c>
      <c r="U6" s="9">
        <f>IF('Demand vs Supply Gap'!U6&lt;0, -'Demand vs Supply Gap'!U6*1000/('Current Mix'!D6*8760), 0)</f>
        <v>65.99125774</v>
      </c>
      <c r="V6" s="9">
        <f>IF('Demand vs Supply Gap'!V6&lt;0, -'Demand vs Supply Gap'!V6*1000/('Current Mix'!D6*8760), 0)</f>
        <v>67.81499032</v>
      </c>
      <c r="W6" s="9">
        <f>IF('Demand vs Supply Gap'!W6&lt;0, -'Demand vs Supply Gap'!W6*1000/('Current Mix'!D6*8760), 0)</f>
        <v>69.64555023</v>
      </c>
    </row>
    <row r="7">
      <c r="A7" s="2" t="s">
        <v>16</v>
      </c>
      <c r="B7" s="2" t="s">
        <v>11</v>
      </c>
      <c r="C7" s="9">
        <f>IF('Demand vs Supply Gap'!C7&lt;0, -'Demand vs Supply Gap'!C7*1000/('Current Mix'!D7*8760), 0)</f>
        <v>11.7334069</v>
      </c>
      <c r="D7" s="9">
        <f>IF('Demand vs Supply Gap'!D7&lt;0, -'Demand vs Supply Gap'!D7*1000/('Current Mix'!D7*8760), 0)</f>
        <v>13.02179097</v>
      </c>
      <c r="E7" s="9">
        <f>IF('Demand vs Supply Gap'!E7&lt;0, -'Demand vs Supply Gap'!E7*1000/('Current Mix'!D7*8760), 0)</f>
        <v>14.31250888</v>
      </c>
      <c r="F7" s="9">
        <f>IF('Demand vs Supply Gap'!F7&lt;0, -'Demand vs Supply Gap'!F7*1000/('Current Mix'!D7*8760), 0)</f>
        <v>15.60558397</v>
      </c>
      <c r="G7" s="9">
        <f>IF('Demand vs Supply Gap'!G7&lt;0, -'Demand vs Supply Gap'!G7*1000/('Current Mix'!D7*8760), 0)</f>
        <v>16.90103981</v>
      </c>
      <c r="H7" s="9">
        <f>IF('Demand vs Supply Gap'!H7&lt;0, -'Demand vs Supply Gap'!H7*1000/('Current Mix'!D7*8760), 0)</f>
        <v>18.19890021</v>
      </c>
      <c r="I7" s="9">
        <f>IF('Demand vs Supply Gap'!I7&lt;0, -'Demand vs Supply Gap'!I7*1000/('Current Mix'!D7*8760), 0)</f>
        <v>19.20378921</v>
      </c>
      <c r="J7" s="9">
        <f>IF('Demand vs Supply Gap'!J7&lt;0, -'Demand vs Supply Gap'!J7*1000/('Current Mix'!D7*8760), 0)</f>
        <v>20.2111311</v>
      </c>
      <c r="K7" s="9">
        <f>IF('Demand vs Supply Gap'!K7&lt;0, -'Demand vs Supply Gap'!K7*1000/('Current Mix'!D7*8760), 0)</f>
        <v>21.22095041</v>
      </c>
      <c r="L7" s="9">
        <f>IF('Demand vs Supply Gap'!L7&lt;0, -'Demand vs Supply Gap'!L7*1000/('Current Mix'!D7*8760), 0)</f>
        <v>22.23327191</v>
      </c>
      <c r="M7" s="9">
        <f>IF('Demand vs Supply Gap'!M7&lt;0, -'Demand vs Supply Gap'!M7*1000/('Current Mix'!D7*8760), 0)</f>
        <v>23.24812063</v>
      </c>
      <c r="N7" s="9">
        <f>IF('Demand vs Supply Gap'!N7&lt;0, -'Demand vs Supply Gap'!N7*1000/('Current Mix'!D7*8760), 0)</f>
        <v>23.75912184</v>
      </c>
      <c r="O7" s="9">
        <f>IF('Demand vs Supply Gap'!O7&lt;0, -'Demand vs Supply Gap'!O7*1000/('Current Mix'!D7*8760), 0)</f>
        <v>24.27270106</v>
      </c>
      <c r="P7" s="9">
        <f>IF('Demand vs Supply Gap'!P7&lt;0, -'Demand vs Supply Gap'!P7*1000/('Current Mix'!D7*8760), 0)</f>
        <v>24.78888407</v>
      </c>
      <c r="Q7" s="9">
        <f>IF('Demand vs Supply Gap'!Q7&lt;0, -'Demand vs Supply Gap'!Q7*1000/('Current Mix'!D7*8760), 0)</f>
        <v>25.30769691</v>
      </c>
      <c r="R7" s="9">
        <f>IF('Demand vs Supply Gap'!R7&lt;0, -'Demand vs Supply Gap'!R7*1000/('Current Mix'!D7*8760), 0)</f>
        <v>25.82916588</v>
      </c>
      <c r="S7" s="9">
        <f>IF('Demand vs Supply Gap'!S7&lt;0, -'Demand vs Supply Gap'!S7*1000/('Current Mix'!D7*8760), 0)</f>
        <v>26.35331754</v>
      </c>
      <c r="T7" s="9">
        <f>IF('Demand vs Supply Gap'!T7&lt;0, -'Demand vs Supply Gap'!T7*1000/('Current Mix'!D7*8760), 0)</f>
        <v>26.88017871</v>
      </c>
      <c r="U7" s="9">
        <f>IF('Demand vs Supply Gap'!U7&lt;0, -'Demand vs Supply Gap'!U7*1000/('Current Mix'!D7*8760), 0)</f>
        <v>27.4097765</v>
      </c>
      <c r="V7" s="9">
        <f>IF('Demand vs Supply Gap'!V7&lt;0, -'Demand vs Supply Gap'!V7*1000/('Current Mix'!D7*8760), 0)</f>
        <v>27.94213827</v>
      </c>
      <c r="W7" s="9">
        <f>IF('Demand vs Supply Gap'!W7&lt;0, -'Demand vs Supply Gap'!W7*1000/('Current Mix'!D7*8760), 0)</f>
        <v>28.47729165</v>
      </c>
    </row>
    <row r="8">
      <c r="A8" s="2" t="s">
        <v>16</v>
      </c>
      <c r="B8" s="2" t="s">
        <v>12</v>
      </c>
      <c r="C8" s="9">
        <f>IF('Demand vs Supply Gap'!C8&lt;0, -'Demand vs Supply Gap'!C8*1000/('Current Mix'!D8*8760), 0)</f>
        <v>0</v>
      </c>
      <c r="D8" s="9">
        <f>IF('Demand vs Supply Gap'!D8&lt;0, -'Demand vs Supply Gap'!D8*1000/('Current Mix'!D8*8760), 0)</f>
        <v>0</v>
      </c>
      <c r="E8" s="9">
        <f>IF('Demand vs Supply Gap'!E8&lt;0, -'Demand vs Supply Gap'!E8*1000/('Current Mix'!D8*8760), 0)</f>
        <v>0</v>
      </c>
      <c r="F8" s="9">
        <f>IF('Demand vs Supply Gap'!F8&lt;0, -'Demand vs Supply Gap'!F8*1000/('Current Mix'!D8*8760), 0)</f>
        <v>0</v>
      </c>
      <c r="G8" s="9">
        <f>IF('Demand vs Supply Gap'!G8&lt;0, -'Demand vs Supply Gap'!G8*1000/('Current Mix'!D8*8760), 0)</f>
        <v>0</v>
      </c>
      <c r="H8" s="9">
        <f>IF('Demand vs Supply Gap'!H8&lt;0, -'Demand vs Supply Gap'!H8*1000/('Current Mix'!D8*8760), 0)</f>
        <v>0</v>
      </c>
      <c r="I8" s="9">
        <f>IF('Demand vs Supply Gap'!I8&lt;0, -'Demand vs Supply Gap'!I8*1000/('Current Mix'!D8*8760), 0)</f>
        <v>0</v>
      </c>
      <c r="J8" s="9">
        <f>IF('Demand vs Supply Gap'!J8&lt;0, -'Demand vs Supply Gap'!J8*1000/('Current Mix'!D8*8760), 0)</f>
        <v>0</v>
      </c>
      <c r="K8" s="9">
        <f>IF('Demand vs Supply Gap'!K8&lt;0, -'Demand vs Supply Gap'!K8*1000/('Current Mix'!D8*8760), 0)</f>
        <v>0</v>
      </c>
      <c r="L8" s="9">
        <f>IF('Demand vs Supply Gap'!L8&lt;0, -'Demand vs Supply Gap'!L8*1000/('Current Mix'!D8*8760), 0)</f>
        <v>0</v>
      </c>
      <c r="M8" s="9">
        <f>IF('Demand vs Supply Gap'!M8&lt;0, -'Demand vs Supply Gap'!M8*1000/('Current Mix'!D8*8760), 0)</f>
        <v>5.582503813</v>
      </c>
      <c r="N8" s="9">
        <f>IF('Demand vs Supply Gap'!N8&lt;0, -'Demand vs Supply Gap'!N8*1000/('Current Mix'!D8*8760), 0)</f>
        <v>13.98732885</v>
      </c>
      <c r="O8" s="9">
        <f>IF('Demand vs Supply Gap'!O8&lt;0, -'Demand vs Supply Gap'!O8*1000/('Current Mix'!D8*8760), 0)</f>
        <v>22.40030214</v>
      </c>
      <c r="P8" s="9">
        <f>IF('Demand vs Supply Gap'!P8&lt;0, -'Demand vs Supply Gap'!P8*1000/('Current Mix'!D8*8760), 0)</f>
        <v>30.82150516</v>
      </c>
      <c r="Q8" s="9">
        <f>IF('Demand vs Supply Gap'!Q8&lt;0, -'Demand vs Supply Gap'!Q8*1000/('Current Mix'!D8*8760), 0)</f>
        <v>39.25102021</v>
      </c>
      <c r="R8" s="9">
        <f>IF('Demand vs Supply Gap'!R8&lt;0, -'Demand vs Supply Gap'!R8*1000/('Current Mix'!D8*8760), 0)</f>
        <v>47.68893041</v>
      </c>
      <c r="S8" s="9">
        <f>IF('Demand vs Supply Gap'!S8&lt;0, -'Demand vs Supply Gap'!S8*1000/('Current Mix'!D8*8760), 0)</f>
        <v>56.13531972</v>
      </c>
      <c r="T8" s="9">
        <f>IF('Demand vs Supply Gap'!T8&lt;0, -'Demand vs Supply Gap'!T8*1000/('Current Mix'!D8*8760), 0)</f>
        <v>64.59027292</v>
      </c>
      <c r="U8" s="9">
        <f>IF('Demand vs Supply Gap'!U8&lt;0, -'Demand vs Supply Gap'!U8*1000/('Current Mix'!D8*8760), 0)</f>
        <v>73.05387565</v>
      </c>
      <c r="V8" s="9">
        <f>IF('Demand vs Supply Gap'!V8&lt;0, -'Demand vs Supply Gap'!V8*1000/('Current Mix'!D8*8760), 0)</f>
        <v>81.5262144</v>
      </c>
      <c r="W8" s="9">
        <f>IF('Demand vs Supply Gap'!W8&lt;0, -'Demand vs Supply Gap'!W8*1000/('Current Mix'!D8*8760), 0)</f>
        <v>90.00737655</v>
      </c>
    </row>
    <row r="9">
      <c r="A9" s="2" t="s">
        <v>16</v>
      </c>
      <c r="B9" s="2" t="s">
        <v>13</v>
      </c>
      <c r="C9" s="9">
        <f>IF('Demand vs Supply Gap'!C9&lt;0, -'Demand vs Supply Gap'!C9*1000/('Current Mix'!D9*8760), 0)</f>
        <v>35.79276884</v>
      </c>
      <c r="D9" s="9">
        <f>IF('Demand vs Supply Gap'!D9&lt;0, -'Demand vs Supply Gap'!D9*1000/('Current Mix'!D9*8760), 0)</f>
        <v>36.75887153</v>
      </c>
      <c r="E9" s="9">
        <f>IF('Demand vs Supply Gap'!E9&lt;0, -'Demand vs Supply Gap'!E9*1000/('Current Mix'!D9*8760), 0)</f>
        <v>37.73081025</v>
      </c>
      <c r="F9" s="9">
        <f>IF('Demand vs Supply Gap'!F9&lt;0, -'Demand vs Supply Gap'!F9*1000/('Current Mix'!D9*8760), 0)</f>
        <v>38.70864335</v>
      </c>
      <c r="G9" s="9">
        <f>IF('Demand vs Supply Gap'!G9&lt;0, -'Demand vs Supply Gap'!G9*1000/('Current Mix'!D9*8760), 0)</f>
        <v>39.69242978</v>
      </c>
      <c r="H9" s="9">
        <f>IF('Demand vs Supply Gap'!H9&lt;0, -'Demand vs Supply Gap'!H9*1000/('Current Mix'!D9*8760), 0)</f>
        <v>40.68222908</v>
      </c>
      <c r="I9" s="9">
        <f>IF('Demand vs Supply Gap'!I9&lt;0, -'Demand vs Supply Gap'!I9*1000/('Current Mix'!D9*8760), 0)</f>
        <v>42.21360137</v>
      </c>
      <c r="J9" s="9">
        <f>IF('Demand vs Supply Gap'!J9&lt;0, -'Demand vs Supply Gap'!J9*1000/('Current Mix'!D9*8760), 0)</f>
        <v>43.75110738</v>
      </c>
      <c r="K9" s="9">
        <f>IF('Demand vs Supply Gap'!K9&lt;0, -'Demand vs Supply Gap'!K9*1000/('Current Mix'!D9*8760), 0)</f>
        <v>45.29480846</v>
      </c>
      <c r="L9" s="9">
        <f>IF('Demand vs Supply Gap'!L9&lt;0, -'Demand vs Supply Gap'!L9*1000/('Current Mix'!D9*8760), 0)</f>
        <v>46.84476654</v>
      </c>
      <c r="M9" s="9">
        <f>IF('Demand vs Supply Gap'!M9&lt;0, -'Demand vs Supply Gap'!M9*1000/('Current Mix'!D9*8760), 0)</f>
        <v>48.40104421</v>
      </c>
      <c r="N9" s="9">
        <f>IF('Demand vs Supply Gap'!N9&lt;0, -'Demand vs Supply Gap'!N9*1000/('Current Mix'!D9*8760), 0)</f>
        <v>50.65220465</v>
      </c>
      <c r="O9" s="9">
        <f>IF('Demand vs Supply Gap'!O9&lt;0, -'Demand vs Supply Gap'!O9*1000/('Current Mix'!D9*8760), 0)</f>
        <v>52.9098117</v>
      </c>
      <c r="P9" s="9">
        <f>IF('Demand vs Supply Gap'!P9&lt;0, -'Demand vs Supply Gap'!P9*1000/('Current Mix'!D9*8760), 0)</f>
        <v>55.17392981</v>
      </c>
      <c r="Q9" s="9">
        <f>IF('Demand vs Supply Gap'!Q9&lt;0, -'Demand vs Supply Gap'!Q9*1000/('Current Mix'!D9*8760), 0)</f>
        <v>57.44462411</v>
      </c>
      <c r="R9" s="9">
        <f>IF('Demand vs Supply Gap'!R9&lt;0, -'Demand vs Supply Gap'!R9*1000/('Current Mix'!D9*8760), 0)</f>
        <v>59.72196035</v>
      </c>
      <c r="S9" s="9">
        <f>IF('Demand vs Supply Gap'!S9&lt;0, -'Demand vs Supply Gap'!S9*1000/('Current Mix'!D9*8760), 0)</f>
        <v>62.00600496</v>
      </c>
      <c r="T9" s="9">
        <f>IF('Demand vs Supply Gap'!T9&lt;0, -'Demand vs Supply Gap'!T9*1000/('Current Mix'!D9*8760), 0)</f>
        <v>64.29682501</v>
      </c>
      <c r="U9" s="9">
        <f>IF('Demand vs Supply Gap'!U9&lt;0, -'Demand vs Supply Gap'!U9*1000/('Current Mix'!D9*8760), 0)</f>
        <v>66.59448826</v>
      </c>
      <c r="V9" s="9">
        <f>IF('Demand vs Supply Gap'!V9&lt;0, -'Demand vs Supply Gap'!V9*1000/('Current Mix'!D9*8760), 0)</f>
        <v>68.89906314</v>
      </c>
      <c r="W9" s="9">
        <f>IF('Demand vs Supply Gap'!W9&lt;0, -'Demand vs Supply Gap'!W9*1000/('Current Mix'!D9*8760), 0)</f>
        <v>71.21061877</v>
      </c>
    </row>
    <row r="10">
      <c r="A10" s="2" t="s">
        <v>16</v>
      </c>
      <c r="B10" s="2" t="s">
        <v>14</v>
      </c>
      <c r="C10" s="9">
        <f>IF('Demand vs Supply Gap'!C10&lt;0, -'Demand vs Supply Gap'!C10*1000/('Current Mix'!D10*8760), 0)</f>
        <v>65.52179713</v>
      </c>
      <c r="D10" s="9">
        <f>IF('Demand vs Supply Gap'!D10&lt;0, -'Demand vs Supply Gap'!D10*1000/('Current Mix'!D10*8760), 0)</f>
        <v>66.6994651</v>
      </c>
      <c r="E10" s="9">
        <f>IF('Demand vs Supply Gap'!E10&lt;0, -'Demand vs Supply Gap'!E10*1000/('Current Mix'!D10*8760), 0)</f>
        <v>67.88485975</v>
      </c>
      <c r="F10" s="9">
        <f>IF('Demand vs Supply Gap'!F10&lt;0, -'Demand vs Supply Gap'!F10*1000/('Current Mix'!D10*8760), 0)</f>
        <v>69.07805835</v>
      </c>
      <c r="G10" s="9">
        <f>IF('Demand vs Supply Gap'!G10&lt;0, -'Demand vs Supply Gap'!G10*1000/('Current Mix'!D10*8760), 0)</f>
        <v>70.27913893</v>
      </c>
      <c r="H10" s="9">
        <f>IF('Demand vs Supply Gap'!H10&lt;0, -'Demand vs Supply Gap'!H10*1000/('Current Mix'!D10*8760), 0)</f>
        <v>71.48818032</v>
      </c>
      <c r="I10" s="9">
        <f>IF('Demand vs Supply Gap'!I10&lt;0, -'Demand vs Supply Gap'!I10*1000/('Current Mix'!D10*8760), 0)</f>
        <v>73.27226213</v>
      </c>
      <c r="J10" s="9">
        <f>IF('Demand vs Supply Gap'!J10&lt;0, -'Demand vs Supply Gap'!J10*1000/('Current Mix'!D10*8760), 0)</f>
        <v>75.06446475</v>
      </c>
      <c r="K10" s="9">
        <f>IF('Demand vs Supply Gap'!K10&lt;0, -'Demand vs Supply Gap'!K10*1000/('Current Mix'!D10*8760), 0)</f>
        <v>76.86486939</v>
      </c>
      <c r="L10" s="9">
        <f>IF('Demand vs Supply Gap'!L10&lt;0, -'Demand vs Supply Gap'!L10*1000/('Current Mix'!D10*8760), 0)</f>
        <v>78.67355809</v>
      </c>
      <c r="M10" s="9">
        <f>IF('Demand vs Supply Gap'!M10&lt;0, -'Demand vs Supply Gap'!M10*1000/('Current Mix'!D10*8760), 0)</f>
        <v>80.49061367</v>
      </c>
      <c r="N10" s="9">
        <f>IF('Demand vs Supply Gap'!N10&lt;0, -'Demand vs Supply Gap'!N10*1000/('Current Mix'!D10*8760), 0)</f>
        <v>81.83011981</v>
      </c>
      <c r="O10" s="9">
        <f>IF('Demand vs Supply Gap'!O10&lt;0, -'Demand vs Supply Gap'!O10*1000/('Current Mix'!D10*8760), 0)</f>
        <v>83.178161</v>
      </c>
      <c r="P10" s="9">
        <f>IF('Demand vs Supply Gap'!P10&lt;0, -'Demand vs Supply Gap'!P10*1000/('Current Mix'!D10*8760), 0)</f>
        <v>84.53482261</v>
      </c>
      <c r="Q10" s="9">
        <f>IF('Demand vs Supply Gap'!Q10&lt;0, -'Demand vs Supply Gap'!Q10*1000/('Current Mix'!D10*8760), 0)</f>
        <v>85.90019084</v>
      </c>
      <c r="R10" s="9">
        <f>IF('Demand vs Supply Gap'!R10&lt;0, -'Demand vs Supply Gap'!R10*1000/('Current Mix'!D10*8760), 0)</f>
        <v>87.27435275</v>
      </c>
      <c r="S10" s="9">
        <f>IF('Demand vs Supply Gap'!S10&lt;0, -'Demand vs Supply Gap'!S10*1000/('Current Mix'!D10*8760), 0)</f>
        <v>88.65739628</v>
      </c>
      <c r="T10" s="9">
        <f>IF('Demand vs Supply Gap'!T10&lt;0, -'Demand vs Supply Gap'!T10*1000/('Current Mix'!D10*8760), 0)</f>
        <v>90.04941024</v>
      </c>
      <c r="U10" s="9">
        <f>IF('Demand vs Supply Gap'!U10&lt;0, -'Demand vs Supply Gap'!U10*1000/('Current Mix'!D10*8760), 0)</f>
        <v>91.45048434</v>
      </c>
      <c r="V10" s="9">
        <f>IF('Demand vs Supply Gap'!V10&lt;0, -'Demand vs Supply Gap'!V10*1000/('Current Mix'!D10*8760), 0)</f>
        <v>92.86070918</v>
      </c>
      <c r="W10" s="9">
        <f>IF('Demand vs Supply Gap'!W10&lt;0, -'Demand vs Supply Gap'!W10*1000/('Current Mix'!D10*8760), 0)</f>
        <v>94.28017628</v>
      </c>
    </row>
    <row r="11">
      <c r="A11" s="2" t="s">
        <v>16</v>
      </c>
      <c r="B11" s="2" t="s">
        <v>15</v>
      </c>
      <c r="C11" s="9">
        <f>IF('Demand vs Supply Gap'!C11&lt;0, -'Demand vs Supply Gap'!C11*1000/('Current Mix'!D11*8760), 0)</f>
        <v>41.79233603</v>
      </c>
      <c r="D11" s="9">
        <f>IF('Demand vs Supply Gap'!D11&lt;0, -'Demand vs Supply Gap'!D11*1000/('Current Mix'!D11*8760), 0)</f>
        <v>43.08638439</v>
      </c>
      <c r="E11" s="9">
        <f>IF('Demand vs Supply Gap'!E11&lt;0, -'Demand vs Supply Gap'!E11*1000/('Current Mix'!D11*8760), 0)</f>
        <v>44.38658157</v>
      </c>
      <c r="F11" s="9">
        <f>IF('Demand vs Supply Gap'!F11&lt;0, -'Demand vs Supply Gap'!F11*1000/('Current Mix'!D11*8760), 0)</f>
        <v>45.69298905</v>
      </c>
      <c r="G11" s="9">
        <f>IF('Demand vs Supply Gap'!G11&lt;0, -'Demand vs Supply Gap'!G11*1000/('Current Mix'!D11*8760), 0)</f>
        <v>47.00566894</v>
      </c>
      <c r="H11" s="9">
        <f>IF('Demand vs Supply Gap'!H11&lt;0, -'Demand vs Supply Gap'!H11*1000/('Current Mix'!D11*8760), 0)</f>
        <v>48.32468396</v>
      </c>
      <c r="I11" s="9">
        <f>IF('Demand vs Supply Gap'!I11&lt;0, -'Demand vs Supply Gap'!I11*1000/('Current Mix'!D11*8760), 0)</f>
        <v>50.6009308</v>
      </c>
      <c r="J11" s="9">
        <f>IF('Demand vs Supply Gap'!J11&lt;0, -'Demand vs Supply Gap'!J11*1000/('Current Mix'!D11*8760), 0)</f>
        <v>52.88364011</v>
      </c>
      <c r="K11" s="9">
        <f>IF('Demand vs Supply Gap'!K11&lt;0, -'Demand vs Supply Gap'!K11*1000/('Current Mix'!D11*8760), 0)</f>
        <v>55.17287651</v>
      </c>
      <c r="L11" s="9">
        <f>IF('Demand vs Supply Gap'!L11&lt;0, -'Demand vs Supply Gap'!L11*1000/('Current Mix'!D11*8760), 0)</f>
        <v>57.46870528</v>
      </c>
      <c r="M11" s="9">
        <f>IF('Demand vs Supply Gap'!M11&lt;0, -'Demand vs Supply Gap'!M11*1000/('Current Mix'!D11*8760), 0)</f>
        <v>59.77119233</v>
      </c>
      <c r="N11" s="9">
        <f>IF('Demand vs Supply Gap'!N11&lt;0, -'Demand vs Supply Gap'!N11*1000/('Current Mix'!D11*8760), 0)</f>
        <v>61.26540425</v>
      </c>
      <c r="O11" s="9">
        <f>IF('Demand vs Supply Gap'!O11&lt;0, -'Demand vs Supply Gap'!O11*1000/('Current Mix'!D11*8760), 0)</f>
        <v>62.7664083</v>
      </c>
      <c r="P11" s="9">
        <f>IF('Demand vs Supply Gap'!P11&lt;0, -'Demand vs Supply Gap'!P11*1000/('Current Mix'!D11*8760), 0)</f>
        <v>64.27427238</v>
      </c>
      <c r="Q11" s="9">
        <f>IF('Demand vs Supply Gap'!Q11&lt;0, -'Demand vs Supply Gap'!Q11*1000/('Current Mix'!D11*8760), 0)</f>
        <v>65.7890651</v>
      </c>
      <c r="R11" s="9">
        <f>IF('Demand vs Supply Gap'!R11&lt;0, -'Demand vs Supply Gap'!R11*1000/('Current Mix'!D11*8760), 0)</f>
        <v>67.31085576</v>
      </c>
      <c r="S11" s="9">
        <f>IF('Demand vs Supply Gap'!S11&lt;0, -'Demand vs Supply Gap'!S11*1000/('Current Mix'!D11*8760), 0)</f>
        <v>68.83971431</v>
      </c>
      <c r="T11" s="9">
        <f>IF('Demand vs Supply Gap'!T11&lt;0, -'Demand vs Supply Gap'!T11*1000/('Current Mix'!D11*8760), 0)</f>
        <v>70.37571146</v>
      </c>
      <c r="U11" s="9">
        <f>IF('Demand vs Supply Gap'!U11&lt;0, -'Demand vs Supply Gap'!U11*1000/('Current Mix'!D11*8760), 0)</f>
        <v>71.91891857</v>
      </c>
      <c r="V11" s="9">
        <f>IF('Demand vs Supply Gap'!V11&lt;0, -'Demand vs Supply Gap'!V11*1000/('Current Mix'!D11*8760), 0)</f>
        <v>73.46940776</v>
      </c>
      <c r="W11" s="9">
        <f>IF('Demand vs Supply Gap'!W11&lt;0, -'Demand vs Supply Gap'!W11*1000/('Current Mix'!D11*8760), 0)</f>
        <v>75.02725183</v>
      </c>
    </row>
    <row r="12">
      <c r="A12" s="2" t="s">
        <v>17</v>
      </c>
      <c r="B12" s="2" t="s">
        <v>11</v>
      </c>
      <c r="C12" s="9">
        <f>IF('Demand vs Supply Gap'!C12&lt;0, -'Demand vs Supply Gap'!C12*1000/('Current Mix'!D12*8760), 0)</f>
        <v>30.55159993</v>
      </c>
      <c r="D12" s="9">
        <f>IF('Demand vs Supply Gap'!D12&lt;0, -'Demand vs Supply Gap'!D12*1000/('Current Mix'!D12*8760), 0)</f>
        <v>35.15096593</v>
      </c>
      <c r="E12" s="9">
        <f>IF('Demand vs Supply Gap'!E12&lt;0, -'Demand vs Supply Gap'!E12*1000/('Current Mix'!D12*8760), 0)</f>
        <v>39.75764226</v>
      </c>
      <c r="F12" s="9">
        <f>IF('Demand vs Supply Gap'!F12&lt;0, -'Demand vs Supply Gap'!F12*1000/('Current Mix'!D12*8760), 0)</f>
        <v>44.37170201</v>
      </c>
      <c r="G12" s="9">
        <f>IF('Demand vs Supply Gap'!G12&lt;0, -'Demand vs Supply Gap'!G12*1000/('Current Mix'!D12*8760), 0)</f>
        <v>48.99321903</v>
      </c>
      <c r="H12" s="9">
        <f>IF('Demand vs Supply Gap'!H12&lt;0, -'Demand vs Supply Gap'!H12*1000/('Current Mix'!D12*8760), 0)</f>
        <v>53.62226789</v>
      </c>
      <c r="I12" s="9">
        <f>IF('Demand vs Supply Gap'!I12&lt;0, -'Demand vs Supply Gap'!I12*1000/('Current Mix'!D12*8760), 0)</f>
        <v>57.17579057</v>
      </c>
      <c r="J12" s="9">
        <f>IF('Demand vs Supply Gap'!J12&lt;0, -'Demand vs Supply Gap'!J12*1000/('Current Mix'!D12*8760), 0)</f>
        <v>60.73699647</v>
      </c>
      <c r="K12" s="9">
        <f>IF('Demand vs Supply Gap'!K12&lt;0, -'Demand vs Supply Gap'!K12*1000/('Current Mix'!D12*8760), 0)</f>
        <v>64.30596244</v>
      </c>
      <c r="L12" s="9">
        <f>IF('Demand vs Supply Gap'!L12&lt;0, -'Demand vs Supply Gap'!L12*1000/('Current Mix'!D12*8760), 0)</f>
        <v>67.88276606</v>
      </c>
      <c r="M12" s="9">
        <f>IF('Demand vs Supply Gap'!M12&lt;0, -'Demand vs Supply Gap'!M12*1000/('Current Mix'!D12*8760), 0)</f>
        <v>71.46748572</v>
      </c>
      <c r="N12" s="9">
        <f>IF('Demand vs Supply Gap'!N12&lt;0, -'Demand vs Supply Gap'!N12*1000/('Current Mix'!D12*8760), 0)</f>
        <v>73.20340058</v>
      </c>
      <c r="O12" s="9">
        <f>IF('Demand vs Supply Gap'!O12&lt;0, -'Demand vs Supply Gap'!O12*1000/('Current Mix'!D12*8760), 0)</f>
        <v>74.94739059</v>
      </c>
      <c r="P12" s="9">
        <f>IF('Demand vs Supply Gap'!P12&lt;0, -'Demand vs Supply Gap'!P12*1000/('Current Mix'!D12*8760), 0)</f>
        <v>76.69953649</v>
      </c>
      <c r="Q12" s="9">
        <f>IF('Demand vs Supply Gap'!Q12&lt;0, -'Demand vs Supply Gap'!Q12*1000/('Current Mix'!D12*8760), 0)</f>
        <v>78.45991986</v>
      </c>
      <c r="R12" s="9">
        <f>IF('Demand vs Supply Gap'!R12&lt;0, -'Demand vs Supply Gap'!R12*1000/('Current Mix'!D12*8760), 0)</f>
        <v>80.22862305</v>
      </c>
      <c r="S12" s="9">
        <f>IF('Demand vs Supply Gap'!S12&lt;0, -'Demand vs Supply Gap'!S12*1000/('Current Mix'!D12*8760), 0)</f>
        <v>82.00572929</v>
      </c>
      <c r="T12" s="9">
        <f>IF('Demand vs Supply Gap'!T12&lt;0, -'Demand vs Supply Gap'!T12*1000/('Current Mix'!D12*8760), 0)</f>
        <v>83.79132258</v>
      </c>
      <c r="U12" s="9">
        <f>IF('Demand vs Supply Gap'!U12&lt;0, -'Demand vs Supply Gap'!U12*1000/('Current Mix'!D12*8760), 0)</f>
        <v>85.5854878</v>
      </c>
      <c r="V12" s="9">
        <f>IF('Demand vs Supply Gap'!V12&lt;0, -'Demand vs Supply Gap'!V12*1000/('Current Mix'!D12*8760), 0)</f>
        <v>87.38831068</v>
      </c>
      <c r="W12" s="9">
        <f>IF('Demand vs Supply Gap'!W12&lt;0, -'Demand vs Supply Gap'!W12*1000/('Current Mix'!D12*8760), 0)</f>
        <v>89.19987779</v>
      </c>
    </row>
    <row r="13">
      <c r="A13" s="2" t="s">
        <v>17</v>
      </c>
      <c r="B13" s="2" t="s">
        <v>12</v>
      </c>
      <c r="C13" s="9">
        <f>IF('Demand vs Supply Gap'!C13&lt;0, -'Demand vs Supply Gap'!C13*1000/('Current Mix'!D13*8760), 0)</f>
        <v>0</v>
      </c>
      <c r="D13" s="9">
        <f>IF('Demand vs Supply Gap'!D13&lt;0, -'Demand vs Supply Gap'!D13*1000/('Current Mix'!D13*8760), 0)</f>
        <v>0</v>
      </c>
      <c r="E13" s="9">
        <f>IF('Demand vs Supply Gap'!E13&lt;0, -'Demand vs Supply Gap'!E13*1000/('Current Mix'!D13*8760), 0)</f>
        <v>0</v>
      </c>
      <c r="F13" s="9">
        <f>IF('Demand vs Supply Gap'!F13&lt;0, -'Demand vs Supply Gap'!F13*1000/('Current Mix'!D13*8760), 0)</f>
        <v>0</v>
      </c>
      <c r="G13" s="9">
        <f>IF('Demand vs Supply Gap'!G13&lt;0, -'Demand vs Supply Gap'!G13*1000/('Current Mix'!D13*8760), 0)</f>
        <v>0</v>
      </c>
      <c r="H13" s="9">
        <f>IF('Demand vs Supply Gap'!H13&lt;0, -'Demand vs Supply Gap'!H13*1000/('Current Mix'!D13*8760), 0)</f>
        <v>0</v>
      </c>
      <c r="I13" s="9">
        <f>IF('Demand vs Supply Gap'!I13&lt;0, -'Demand vs Supply Gap'!I13*1000/('Current Mix'!D13*8760), 0)</f>
        <v>0</v>
      </c>
      <c r="J13" s="9">
        <f>IF('Demand vs Supply Gap'!J13&lt;0, -'Demand vs Supply Gap'!J13*1000/('Current Mix'!D13*8760), 0)</f>
        <v>0</v>
      </c>
      <c r="K13" s="9">
        <f>IF('Demand vs Supply Gap'!K13&lt;0, -'Demand vs Supply Gap'!K13*1000/('Current Mix'!D13*8760), 0)</f>
        <v>0</v>
      </c>
      <c r="L13" s="9">
        <f>IF('Demand vs Supply Gap'!L13&lt;0, -'Demand vs Supply Gap'!L13*1000/('Current Mix'!D13*8760), 0)</f>
        <v>0</v>
      </c>
      <c r="M13" s="9">
        <f>IF('Demand vs Supply Gap'!M13&lt;0, -'Demand vs Supply Gap'!M13*1000/('Current Mix'!D13*8760), 0)</f>
        <v>0</v>
      </c>
      <c r="N13" s="9">
        <f>IF('Demand vs Supply Gap'!N13&lt;0, -'Demand vs Supply Gap'!N13*1000/('Current Mix'!D13*8760), 0)</f>
        <v>0</v>
      </c>
      <c r="O13" s="9">
        <f>IF('Demand vs Supply Gap'!O13&lt;0, -'Demand vs Supply Gap'!O13*1000/('Current Mix'!D13*8760), 0)</f>
        <v>8.622833397</v>
      </c>
      <c r="P13" s="9">
        <f>IF('Demand vs Supply Gap'!P13&lt;0, -'Demand vs Supply Gap'!P13*1000/('Current Mix'!D13*8760), 0)</f>
        <v>21.37746173</v>
      </c>
      <c r="Q13" s="9">
        <f>IF('Demand vs Supply Gap'!Q13&lt;0, -'Demand vs Supply Gap'!Q13*1000/('Current Mix'!D13*8760), 0)</f>
        <v>34.14233635</v>
      </c>
      <c r="R13" s="9">
        <f>IF('Demand vs Supply Gap'!R13&lt;0, -'Demand vs Supply Gap'!R13*1000/('Current Mix'!D13*8760), 0)</f>
        <v>46.91755971</v>
      </c>
      <c r="S13" s="9">
        <f>IF('Demand vs Supply Gap'!S13&lt;0, -'Demand vs Supply Gap'!S13*1000/('Current Mix'!D13*8760), 0)</f>
        <v>59.70323531</v>
      </c>
      <c r="T13" s="9">
        <f>IF('Demand vs Supply Gap'!T13&lt;0, -'Demand vs Supply Gap'!T13*1000/('Current Mix'!D13*8760), 0)</f>
        <v>72.49946766</v>
      </c>
      <c r="U13" s="9">
        <f>IF('Demand vs Supply Gap'!U13&lt;0, -'Demand vs Supply Gap'!U13*1000/('Current Mix'!D13*8760), 0)</f>
        <v>85.30636234</v>
      </c>
      <c r="V13" s="9">
        <f>IF('Demand vs Supply Gap'!V13&lt;0, -'Demand vs Supply Gap'!V13*1000/('Current Mix'!D13*8760), 0)</f>
        <v>98.12402596</v>
      </c>
      <c r="W13" s="9">
        <f>IF('Demand vs Supply Gap'!W13&lt;0, -'Demand vs Supply Gap'!W13*1000/('Current Mix'!D13*8760), 0)</f>
        <v>110.9525662</v>
      </c>
    </row>
    <row r="14">
      <c r="A14" s="2" t="s">
        <v>17</v>
      </c>
      <c r="B14" s="2" t="s">
        <v>13</v>
      </c>
      <c r="C14" s="9">
        <f>IF('Demand vs Supply Gap'!C14&lt;0, -'Demand vs Supply Gap'!C14*1000/('Current Mix'!D14*8760), 0)</f>
        <v>27.87608316</v>
      </c>
      <c r="D14" s="9">
        <f>IF('Demand vs Supply Gap'!D14&lt;0, -'Demand vs Supply Gap'!D14*1000/('Current Mix'!D14*8760), 0)</f>
        <v>28.49271899</v>
      </c>
      <c r="E14" s="9">
        <f>IF('Demand vs Supply Gap'!E14&lt;0, -'Demand vs Supply Gap'!E14*1000/('Current Mix'!D14*8760), 0)</f>
        <v>29.11339618</v>
      </c>
      <c r="F14" s="9">
        <f>IF('Demand vs Supply Gap'!F14&lt;0, -'Demand vs Supply Gap'!F14*1000/('Current Mix'!D14*8760), 0)</f>
        <v>29.73815515</v>
      </c>
      <c r="G14" s="9">
        <f>IF('Demand vs Supply Gap'!G14&lt;0, -'Demand vs Supply Gap'!G14*1000/('Current Mix'!D14*8760), 0)</f>
        <v>30.3670367</v>
      </c>
      <c r="H14" s="9">
        <f>IF('Demand vs Supply Gap'!H14&lt;0, -'Demand vs Supply Gap'!H14*1000/('Current Mix'!D14*8760), 0)</f>
        <v>31.00008206</v>
      </c>
      <c r="I14" s="9">
        <f>IF('Demand vs Supply Gap'!I14&lt;0, -'Demand vs Supply Gap'!I14*1000/('Current Mix'!D14*8760), 0)</f>
        <v>31.93483289</v>
      </c>
      <c r="J14" s="9">
        <f>IF('Demand vs Supply Gap'!J14&lt;0, -'Demand vs Supply Gap'!J14*1000/('Current Mix'!D14*8760), 0)</f>
        <v>32.87383121</v>
      </c>
      <c r="K14" s="9">
        <f>IF('Demand vs Supply Gap'!K14&lt;0, -'Demand vs Supply Gap'!K14*1000/('Current Mix'!D14*8760), 0)</f>
        <v>33.81711953</v>
      </c>
      <c r="L14" s="9">
        <f>IF('Demand vs Supply Gap'!L14&lt;0, -'Demand vs Supply Gap'!L14*1000/('Current Mix'!D14*8760), 0)</f>
        <v>34.76474072</v>
      </c>
      <c r="M14" s="9">
        <f>IF('Demand vs Supply Gap'!M14&lt;0, -'Demand vs Supply Gap'!M14*1000/('Current Mix'!D14*8760), 0)</f>
        <v>35.71673813</v>
      </c>
      <c r="N14" s="9">
        <f>IF('Demand vs Supply Gap'!N14&lt;0, -'Demand vs Supply Gap'!N14*1000/('Current Mix'!D14*8760), 0)</f>
        <v>37.05565551</v>
      </c>
      <c r="O14" s="9">
        <f>IF('Demand vs Supply Gap'!O14&lt;0, -'Demand vs Supply Gap'!O14*1000/('Current Mix'!D14*8760), 0)</f>
        <v>38.39903707</v>
      </c>
      <c r="P14" s="9">
        <f>IF('Demand vs Supply Gap'!P14&lt;0, -'Demand vs Supply Gap'!P14*1000/('Current Mix'!D14*8760), 0)</f>
        <v>39.74692744</v>
      </c>
      <c r="Q14" s="9">
        <f>IF('Demand vs Supply Gap'!Q14&lt;0, -'Demand vs Supply Gap'!Q14*1000/('Current Mix'!D14*8760), 0)</f>
        <v>41.09937171</v>
      </c>
      <c r="R14" s="9">
        <f>IF('Demand vs Supply Gap'!R14&lt;0, -'Demand vs Supply Gap'!R14*1000/('Current Mix'!D14*8760), 0)</f>
        <v>42.45641543</v>
      </c>
      <c r="S14" s="9">
        <f>IF('Demand vs Supply Gap'!S14&lt;0, -'Demand vs Supply Gap'!S14*1000/('Current Mix'!D14*8760), 0)</f>
        <v>43.81810458</v>
      </c>
      <c r="T14" s="9">
        <f>IF('Demand vs Supply Gap'!T14&lt;0, -'Demand vs Supply Gap'!T14*1000/('Current Mix'!D14*8760), 0)</f>
        <v>45.18448563</v>
      </c>
      <c r="U14" s="9">
        <f>IF('Demand vs Supply Gap'!U14&lt;0, -'Demand vs Supply Gap'!U14*1000/('Current Mix'!D14*8760), 0)</f>
        <v>46.55560548</v>
      </c>
      <c r="V14" s="9">
        <f>IF('Demand vs Supply Gap'!V14&lt;0, -'Demand vs Supply Gap'!V14*1000/('Current Mix'!D14*8760), 0)</f>
        <v>47.93151154</v>
      </c>
      <c r="W14" s="9">
        <f>IF('Demand vs Supply Gap'!W14&lt;0, -'Demand vs Supply Gap'!W14*1000/('Current Mix'!D14*8760), 0)</f>
        <v>49.31225165</v>
      </c>
    </row>
    <row r="15">
      <c r="A15" s="2" t="s">
        <v>17</v>
      </c>
      <c r="B15" s="2" t="s">
        <v>14</v>
      </c>
      <c r="C15" s="9">
        <f>IF('Demand vs Supply Gap'!C15&lt;0, -'Demand vs Supply Gap'!C15*1000/('Current Mix'!D15*8760), 0)</f>
        <v>49.46083514</v>
      </c>
      <c r="D15" s="9">
        <f>IF('Demand vs Supply Gap'!D15&lt;0, -'Demand vs Supply Gap'!D15*1000/('Current Mix'!D15*8760), 0)</f>
        <v>51.87109349</v>
      </c>
      <c r="E15" s="9">
        <f>IF('Demand vs Supply Gap'!E15&lt;0, -'Demand vs Supply Gap'!E15*1000/('Current Mix'!D15*8760), 0)</f>
        <v>54.29060442</v>
      </c>
      <c r="F15" s="9">
        <f>IF('Demand vs Supply Gap'!F15&lt;0, -'Demand vs Supply Gap'!F15*1000/('Current Mix'!D15*8760), 0)</f>
        <v>56.71946047</v>
      </c>
      <c r="G15" s="9">
        <f>IF('Demand vs Supply Gap'!G15&lt;0, -'Demand vs Supply Gap'!G15*1000/('Current Mix'!D15*8760), 0)</f>
        <v>59.15775507</v>
      </c>
      <c r="H15" s="9">
        <f>IF('Demand vs Supply Gap'!H15&lt;0, -'Demand vs Supply Gap'!H15*1000/('Current Mix'!D15*8760), 0)</f>
        <v>61.60558262</v>
      </c>
      <c r="I15" s="9">
        <f>IF('Demand vs Supply Gap'!I15&lt;0, -'Demand vs Supply Gap'!I15*1000/('Current Mix'!D15*8760), 0)</f>
        <v>66.14203845</v>
      </c>
      <c r="J15" s="9">
        <f>IF('Demand vs Supply Gap'!J15&lt;0, -'Demand vs Supply Gap'!J15*1000/('Current Mix'!D15*8760), 0)</f>
        <v>70.68821883</v>
      </c>
      <c r="K15" s="9">
        <f>IF('Demand vs Supply Gap'!K15&lt;0, -'Demand vs Supply Gap'!K15*1000/('Current Mix'!D15*8760), 0)</f>
        <v>75.24422102</v>
      </c>
      <c r="L15" s="9">
        <f>IF('Demand vs Supply Gap'!L15&lt;0, -'Demand vs Supply Gap'!L15*1000/('Current Mix'!D15*8760), 0)</f>
        <v>79.81014323</v>
      </c>
      <c r="M15" s="9">
        <f>IF('Demand vs Supply Gap'!M15&lt;0, -'Demand vs Supply Gap'!M15*1000/('Current Mix'!D15*8760), 0)</f>
        <v>84.38608466</v>
      </c>
      <c r="N15" s="9">
        <f>IF('Demand vs Supply Gap'!N15&lt;0, -'Demand vs Supply Gap'!N15*1000/('Current Mix'!D15*8760), 0)</f>
        <v>87.19014551</v>
      </c>
      <c r="O15" s="9">
        <f>IF('Demand vs Supply Gap'!O15&lt;0, -'Demand vs Supply Gap'!O15*1000/('Current Mix'!D15*8760), 0)</f>
        <v>90.00442696</v>
      </c>
      <c r="P15" s="9">
        <f>IF('Demand vs Supply Gap'!P15&lt;0, -'Demand vs Supply Gap'!P15*1000/('Current Mix'!D15*8760), 0)</f>
        <v>92.82903123</v>
      </c>
      <c r="Q15" s="9">
        <f>IF('Demand vs Supply Gap'!Q15&lt;0, -'Demand vs Supply Gap'!Q15*1000/('Current Mix'!D15*8760), 0)</f>
        <v>95.66406155</v>
      </c>
      <c r="R15" s="9">
        <f>IF('Demand vs Supply Gap'!R15&lt;0, -'Demand vs Supply Gap'!R15*1000/('Current Mix'!D15*8760), 0)</f>
        <v>98.50962216</v>
      </c>
      <c r="S15" s="9">
        <f>IF('Demand vs Supply Gap'!S15&lt;0, -'Demand vs Supply Gap'!S15*1000/('Current Mix'!D15*8760), 0)</f>
        <v>101.3658184</v>
      </c>
      <c r="T15" s="9">
        <f>IF('Demand vs Supply Gap'!T15&lt;0, -'Demand vs Supply Gap'!T15*1000/('Current Mix'!D15*8760), 0)</f>
        <v>104.2327566</v>
      </c>
      <c r="U15" s="9">
        <f>IF('Demand vs Supply Gap'!U15&lt;0, -'Demand vs Supply Gap'!U15*1000/('Current Mix'!D15*8760), 0)</f>
        <v>107.1105441</v>
      </c>
      <c r="V15" s="9">
        <f>IF('Demand vs Supply Gap'!V15&lt;0, -'Demand vs Supply Gap'!V15*1000/('Current Mix'!D15*8760), 0)</f>
        <v>109.9992896</v>
      </c>
      <c r="W15" s="9">
        <f>IF('Demand vs Supply Gap'!W15&lt;0, -'Demand vs Supply Gap'!W15*1000/('Current Mix'!D15*8760), 0)</f>
        <v>112.8991025</v>
      </c>
    </row>
    <row r="16">
      <c r="A16" s="2" t="s">
        <v>17</v>
      </c>
      <c r="B16" s="2" t="s">
        <v>15</v>
      </c>
      <c r="C16" s="9">
        <f>IF('Demand vs Supply Gap'!C16&lt;0, -'Demand vs Supply Gap'!C16*1000/('Current Mix'!D16*8760), 0)</f>
        <v>149.6195159</v>
      </c>
      <c r="D16" s="9">
        <f>IF('Demand vs Supply Gap'!D16&lt;0, -'Demand vs Supply Gap'!D16*1000/('Current Mix'!D16*8760), 0)</f>
        <v>153.3936361</v>
      </c>
      <c r="E16" s="9">
        <f>IF('Demand vs Supply Gap'!E16&lt;0, -'Demand vs Supply Gap'!E16*1000/('Current Mix'!D16*8760), 0)</f>
        <v>157.1878391</v>
      </c>
      <c r="F16" s="9">
        <f>IF('Demand vs Supply Gap'!F16&lt;0, -'Demand vs Supply Gap'!F16*1000/('Current Mix'!D16*8760), 0)</f>
        <v>161.0023258</v>
      </c>
      <c r="G16" s="9">
        <f>IF('Demand vs Supply Gap'!G16&lt;0, -'Demand vs Supply Gap'!G16*1000/('Current Mix'!D16*8760), 0)</f>
        <v>164.8372991</v>
      </c>
      <c r="H16" s="9">
        <f>IF('Demand vs Supply Gap'!H16&lt;0, -'Demand vs Supply Gap'!H16*1000/('Current Mix'!D16*8760), 0)</f>
        <v>168.6929637</v>
      </c>
      <c r="I16" s="9">
        <f>IF('Demand vs Supply Gap'!I16&lt;0, -'Demand vs Supply Gap'!I16*1000/('Current Mix'!D16*8760), 0)</f>
        <v>175.0416934</v>
      </c>
      <c r="J16" s="9">
        <f>IF('Demand vs Supply Gap'!J16&lt;0, -'Demand vs Supply Gap'!J16*1000/('Current Mix'!D16*8760), 0)</f>
        <v>181.4115303</v>
      </c>
      <c r="K16" s="9">
        <f>IF('Demand vs Supply Gap'!K16&lt;0, -'Demand vs Supply Gap'!K16*1000/('Current Mix'!D16*8760), 0)</f>
        <v>187.8026856</v>
      </c>
      <c r="L16" s="9">
        <f>IF('Demand vs Supply Gap'!L16&lt;0, -'Demand vs Supply Gap'!L16*1000/('Current Mix'!D16*8760), 0)</f>
        <v>194.2153725</v>
      </c>
      <c r="M16" s="9">
        <f>IF('Demand vs Supply Gap'!M16&lt;0, -'Demand vs Supply Gap'!M16*1000/('Current Mix'!D16*8760), 0)</f>
        <v>200.6498062</v>
      </c>
      <c r="N16" s="9">
        <f>IF('Demand vs Supply Gap'!N16&lt;0, -'Demand vs Supply Gap'!N16*1000/('Current Mix'!D16*8760), 0)</f>
        <v>204.9872042</v>
      </c>
      <c r="O16" s="9">
        <f>IF('Demand vs Supply Gap'!O16&lt;0, -'Demand vs Supply Gap'!O16*1000/('Current Mix'!D16*8760), 0)</f>
        <v>209.3467863</v>
      </c>
      <c r="P16" s="9">
        <f>IF('Demand vs Supply Gap'!P16&lt;0, -'Demand vs Supply Gap'!P16*1000/('Current Mix'!D16*8760), 0)</f>
        <v>213.7287741</v>
      </c>
      <c r="Q16" s="9">
        <f>IF('Demand vs Supply Gap'!Q16&lt;0, -'Demand vs Supply Gap'!Q16*1000/('Current Mix'!D16*8760), 0)</f>
        <v>218.1333919</v>
      </c>
      <c r="R16" s="9">
        <f>IF('Demand vs Supply Gap'!R16&lt;0, -'Demand vs Supply Gap'!R16*1000/('Current Mix'!D16*8760), 0)</f>
        <v>222.5608658</v>
      </c>
      <c r="S16" s="9">
        <f>IF('Demand vs Supply Gap'!S16&lt;0, -'Demand vs Supply Gap'!S16*1000/('Current Mix'!D16*8760), 0)</f>
        <v>227.0114245</v>
      </c>
      <c r="T16" s="9">
        <f>IF('Demand vs Supply Gap'!T16&lt;0, -'Demand vs Supply Gap'!T16*1000/('Current Mix'!D16*8760), 0)</f>
        <v>231.4852987</v>
      </c>
      <c r="U16" s="9">
        <f>IF('Demand vs Supply Gap'!U16&lt;0, -'Demand vs Supply Gap'!U16*1000/('Current Mix'!D16*8760), 0)</f>
        <v>235.9827217</v>
      </c>
      <c r="V16" s="9">
        <f>IF('Demand vs Supply Gap'!V16&lt;0, -'Demand vs Supply Gap'!V16*1000/('Current Mix'!D16*8760), 0)</f>
        <v>240.5039289</v>
      </c>
      <c r="W16" s="9">
        <f>IF('Demand vs Supply Gap'!W16&lt;0, -'Demand vs Supply Gap'!W16*1000/('Current Mix'!D16*8760), 0)</f>
        <v>245.0491582</v>
      </c>
    </row>
    <row r="17">
      <c r="A17" s="2" t="s">
        <v>18</v>
      </c>
      <c r="B17" s="2" t="s">
        <v>11</v>
      </c>
      <c r="C17" s="9">
        <f>IF('Demand vs Supply Gap'!C17&lt;0, -'Demand vs Supply Gap'!C17*1000/('Current Mix'!D17*8760), 0)</f>
        <v>1.475289193</v>
      </c>
      <c r="D17" s="9">
        <f>IF('Demand vs Supply Gap'!D17&lt;0, -'Demand vs Supply Gap'!D17*1000/('Current Mix'!D17*8760), 0)</f>
        <v>2.661092085</v>
      </c>
      <c r="E17" s="9">
        <f>IF('Demand vs Supply Gap'!E17&lt;0, -'Demand vs Supply Gap'!E17*1000/('Current Mix'!D17*8760), 0)</f>
        <v>3.848203006</v>
      </c>
      <c r="F17" s="9">
        <f>IF('Demand vs Supply Gap'!F17&lt;0, -'Demand vs Supply Gap'!F17*1000/('Current Mix'!D17*8760), 0)</f>
        <v>5.036635036</v>
      </c>
      <c r="G17" s="9">
        <f>IF('Demand vs Supply Gap'!G17&lt;0, -'Demand vs Supply Gap'!G17*1000/('Current Mix'!D17*8760), 0)</f>
        <v>6.226401387</v>
      </c>
      <c r="H17" s="9">
        <f>IF('Demand vs Supply Gap'!H17&lt;0, -'Demand vs Supply Gap'!H17*1000/('Current Mix'!D17*8760), 0)</f>
        <v>7.4175154</v>
      </c>
      <c r="I17" s="9">
        <f>IF('Demand vs Supply Gap'!I17&lt;0, -'Demand vs Supply Gap'!I17*1000/('Current Mix'!D17*8760), 0)</f>
        <v>8.314590554</v>
      </c>
      <c r="J17" s="9">
        <f>IF('Demand vs Supply Gap'!J17&lt;0, -'Demand vs Supply Gap'!J17*1000/('Current Mix'!D17*8760), 0)</f>
        <v>9.21304046</v>
      </c>
      <c r="K17" s="9">
        <f>IF('Demand vs Supply Gap'!K17&lt;0, -'Demand vs Supply Gap'!K17*1000/('Current Mix'!D17*8760), 0)</f>
        <v>10.11287886</v>
      </c>
      <c r="L17" s="9">
        <f>IF('Demand vs Supply Gap'!L17&lt;0, -'Demand vs Supply Gap'!L17*1000/('Current Mix'!D17*8760), 0)</f>
        <v>11.01411965</v>
      </c>
      <c r="M17" s="9">
        <f>IF('Demand vs Supply Gap'!M17&lt;0, -'Demand vs Supply Gap'!M17*1000/('Current Mix'!D17*8760), 0)</f>
        <v>11.91677685</v>
      </c>
      <c r="N17" s="9">
        <f>IF('Demand vs Supply Gap'!N17&lt;0, -'Demand vs Supply Gap'!N17*1000/('Current Mix'!D17*8760), 0)</f>
        <v>12.31446462</v>
      </c>
      <c r="O17" s="9">
        <f>IF('Demand vs Supply Gap'!O17&lt;0, -'Demand vs Supply Gap'!O17*1000/('Current Mix'!D17*8760), 0)</f>
        <v>12.71359726</v>
      </c>
      <c r="P17" s="9">
        <f>IF('Demand vs Supply Gap'!P17&lt;0, -'Demand vs Supply Gap'!P17*1000/('Current Mix'!D17*8760), 0)</f>
        <v>13.11418924</v>
      </c>
      <c r="Q17" s="9">
        <f>IF('Demand vs Supply Gap'!Q17&lt;0, -'Demand vs Supply Gap'!Q17*1000/('Current Mix'!D17*8760), 0)</f>
        <v>13.51625513</v>
      </c>
      <c r="R17" s="9">
        <f>IF('Demand vs Supply Gap'!R17&lt;0, -'Demand vs Supply Gap'!R17*1000/('Current Mix'!D17*8760), 0)</f>
        <v>13.91980968</v>
      </c>
      <c r="S17" s="9">
        <f>IF('Demand vs Supply Gap'!S17&lt;0, -'Demand vs Supply Gap'!S17*1000/('Current Mix'!D17*8760), 0)</f>
        <v>14.32486778</v>
      </c>
      <c r="T17" s="9">
        <f>IF('Demand vs Supply Gap'!T17&lt;0, -'Demand vs Supply Gap'!T17*1000/('Current Mix'!D17*8760), 0)</f>
        <v>14.73144446</v>
      </c>
      <c r="U17" s="9">
        <f>IF('Demand vs Supply Gap'!U17&lt;0, -'Demand vs Supply Gap'!U17*1000/('Current Mix'!D17*8760), 0)</f>
        <v>15.1395549</v>
      </c>
      <c r="V17" s="9">
        <f>IF('Demand vs Supply Gap'!V17&lt;0, -'Demand vs Supply Gap'!V17*1000/('Current Mix'!D17*8760), 0)</f>
        <v>15.54921445</v>
      </c>
      <c r="W17" s="9">
        <f>IF('Demand vs Supply Gap'!W17&lt;0, -'Demand vs Supply Gap'!W17*1000/('Current Mix'!D17*8760), 0)</f>
        <v>15.96043859</v>
      </c>
    </row>
    <row r="18">
      <c r="A18" s="2" t="s">
        <v>18</v>
      </c>
      <c r="B18" s="2" t="s">
        <v>12</v>
      </c>
      <c r="C18" s="9">
        <f>IF('Demand vs Supply Gap'!C18&lt;0, -'Demand vs Supply Gap'!C18*1000/('Current Mix'!D18*8760), 0)</f>
        <v>0</v>
      </c>
      <c r="D18" s="9">
        <f>IF('Demand vs Supply Gap'!D18&lt;0, -'Demand vs Supply Gap'!D18*1000/('Current Mix'!D18*8760), 0)</f>
        <v>0</v>
      </c>
      <c r="E18" s="9">
        <f>IF('Demand vs Supply Gap'!E18&lt;0, -'Demand vs Supply Gap'!E18*1000/('Current Mix'!D18*8760), 0)</f>
        <v>0</v>
      </c>
      <c r="F18" s="9">
        <f>IF('Demand vs Supply Gap'!F18&lt;0, -'Demand vs Supply Gap'!F18*1000/('Current Mix'!D18*8760), 0)</f>
        <v>0</v>
      </c>
      <c r="G18" s="9">
        <f>IF('Demand vs Supply Gap'!G18&lt;0, -'Demand vs Supply Gap'!G18*1000/('Current Mix'!D18*8760), 0)</f>
        <v>0</v>
      </c>
      <c r="H18" s="9">
        <f>IF('Demand vs Supply Gap'!H18&lt;0, -'Demand vs Supply Gap'!H18*1000/('Current Mix'!D18*8760), 0)</f>
        <v>0</v>
      </c>
      <c r="I18" s="9">
        <f>IF('Demand vs Supply Gap'!I18&lt;0, -'Demand vs Supply Gap'!I18*1000/('Current Mix'!D18*8760), 0)</f>
        <v>0</v>
      </c>
      <c r="J18" s="9">
        <f>IF('Demand vs Supply Gap'!J18&lt;0, -'Demand vs Supply Gap'!J18*1000/('Current Mix'!D18*8760), 0)</f>
        <v>0</v>
      </c>
      <c r="K18" s="9">
        <f>IF('Demand vs Supply Gap'!K18&lt;0, -'Demand vs Supply Gap'!K18*1000/('Current Mix'!D18*8760), 0)</f>
        <v>0</v>
      </c>
      <c r="L18" s="9">
        <f>IF('Demand vs Supply Gap'!L18&lt;0, -'Demand vs Supply Gap'!L18*1000/('Current Mix'!D18*8760), 0)</f>
        <v>0</v>
      </c>
      <c r="M18" s="9">
        <f>IF('Demand vs Supply Gap'!M18&lt;0, -'Demand vs Supply Gap'!M18*1000/('Current Mix'!D18*8760), 0)</f>
        <v>0.1319035223</v>
      </c>
      <c r="N18" s="9">
        <f>IF('Demand vs Supply Gap'!N18&lt;0, -'Demand vs Supply Gap'!N18*1000/('Current Mix'!D18*8760), 0)</f>
        <v>6.964222558</v>
      </c>
      <c r="O18" s="9">
        <f>IF('Demand vs Supply Gap'!O18&lt;0, -'Demand vs Supply Gap'!O18*1000/('Current Mix'!D18*8760), 0)</f>
        <v>13.80276478</v>
      </c>
      <c r="P18" s="9">
        <f>IF('Demand vs Supply Gap'!P18&lt;0, -'Demand vs Supply Gap'!P18*1000/('Current Mix'!D18*8760), 0)</f>
        <v>20.64759243</v>
      </c>
      <c r="Q18" s="9">
        <f>IF('Demand vs Supply Gap'!Q18&lt;0, -'Demand vs Supply Gap'!Q18*1000/('Current Mix'!D18*8760), 0)</f>
        <v>27.49876836</v>
      </c>
      <c r="R18" s="9">
        <f>IF('Demand vs Supply Gap'!R18&lt;0, -'Demand vs Supply Gap'!R18*1000/('Current Mix'!D18*8760), 0)</f>
        <v>34.35635604</v>
      </c>
      <c r="S18" s="9">
        <f>IF('Demand vs Supply Gap'!S18&lt;0, -'Demand vs Supply Gap'!S18*1000/('Current Mix'!D18*8760), 0)</f>
        <v>41.2204196</v>
      </c>
      <c r="T18" s="9">
        <f>IF('Demand vs Supply Gap'!T18&lt;0, -'Demand vs Supply Gap'!T18*1000/('Current Mix'!D18*8760), 0)</f>
        <v>48.0910238</v>
      </c>
      <c r="U18" s="9">
        <f>IF('Demand vs Supply Gap'!U18&lt;0, -'Demand vs Supply Gap'!U18*1000/('Current Mix'!D18*8760), 0)</f>
        <v>54.96823403</v>
      </c>
      <c r="V18" s="9">
        <f>IF('Demand vs Supply Gap'!V18&lt;0, -'Demand vs Supply Gap'!V18*1000/('Current Mix'!D18*8760), 0)</f>
        <v>61.85211637</v>
      </c>
      <c r="W18" s="9">
        <f>IF('Demand vs Supply Gap'!W18&lt;0, -'Demand vs Supply Gap'!W18*1000/('Current Mix'!D18*8760), 0)</f>
        <v>68.74273754</v>
      </c>
    </row>
    <row r="19">
      <c r="A19" s="2" t="s">
        <v>18</v>
      </c>
      <c r="B19" s="2" t="s">
        <v>13</v>
      </c>
      <c r="C19" s="9">
        <f>IF('Demand vs Supply Gap'!C19&lt;0, -'Demand vs Supply Gap'!C19*1000/('Current Mix'!D19*8760), 0)</f>
        <v>6.793911496</v>
      </c>
      <c r="D19" s="9">
        <f>IF('Demand vs Supply Gap'!D19&lt;0, -'Demand vs Supply Gap'!D19*1000/('Current Mix'!D19*8760), 0)</f>
        <v>7.064575611</v>
      </c>
      <c r="E19" s="9">
        <f>IF('Demand vs Supply Gap'!E19&lt;0, -'Demand vs Supply Gap'!E19*1000/('Current Mix'!D19*8760), 0)</f>
        <v>7.336671367</v>
      </c>
      <c r="F19" s="9">
        <f>IF('Demand vs Supply Gap'!F19&lt;0, -'Demand vs Supply Gap'!F19*1000/('Current Mix'!D19*8760), 0)</f>
        <v>7.610213081</v>
      </c>
      <c r="G19" s="9">
        <f>IF('Demand vs Supply Gap'!G19&lt;0, -'Demand vs Supply Gap'!G19*1000/('Current Mix'!D19*8760), 0)</f>
        <v>7.885215212</v>
      </c>
      <c r="H19" s="9">
        <f>IF('Demand vs Supply Gap'!H19&lt;0, -'Demand vs Supply Gap'!H19*1000/('Current Mix'!D19*8760), 0)</f>
        <v>8.161692364</v>
      </c>
      <c r="I19" s="9">
        <f>IF('Demand vs Supply Gap'!I19&lt;0, -'Demand vs Supply Gap'!I19*1000/('Current Mix'!D19*8760), 0)</f>
        <v>8.618159287</v>
      </c>
      <c r="J19" s="9">
        <f>IF('Demand vs Supply Gap'!J19&lt;0, -'Demand vs Supply Gap'!J19*1000/('Current Mix'!D19*8760), 0)</f>
        <v>9.07613088</v>
      </c>
      <c r="K19" s="9">
        <f>IF('Demand vs Supply Gap'!K19&lt;0, -'Demand vs Supply Gap'!K19*1000/('Current Mix'!D19*8760), 0)</f>
        <v>9.535622189</v>
      </c>
      <c r="L19" s="9">
        <f>IF('Demand vs Supply Gap'!L19&lt;0, -'Demand vs Supply Gap'!L19*1000/('Current Mix'!D19*8760), 0)</f>
        <v>9.996648411</v>
      </c>
      <c r="M19" s="9">
        <f>IF('Demand vs Supply Gap'!M19&lt;0, -'Demand vs Supply Gap'!M19*1000/('Current Mix'!D19*8760), 0)</f>
        <v>10.4592249</v>
      </c>
      <c r="N19" s="9">
        <f>IF('Demand vs Supply Gap'!N19&lt;0, -'Demand vs Supply Gap'!N19*1000/('Current Mix'!D19*8760), 0)</f>
        <v>11.15286714</v>
      </c>
      <c r="O19" s="9">
        <f>IF('Demand vs Supply Gap'!O19&lt;0, -'Demand vs Supply Gap'!O19*1000/('Current Mix'!D19*8760), 0)</f>
        <v>11.84809082</v>
      </c>
      <c r="P19" s="9">
        <f>IF('Demand vs Supply Gap'!P19&lt;0, -'Demand vs Supply Gap'!P19*1000/('Current Mix'!D19*8760), 0)</f>
        <v>12.54491172</v>
      </c>
      <c r="Q19" s="9">
        <f>IF('Demand vs Supply Gap'!Q19&lt;0, -'Demand vs Supply Gap'!Q19*1000/('Current Mix'!D19*8760), 0)</f>
        <v>13.24334584</v>
      </c>
      <c r="R19" s="9">
        <f>IF('Demand vs Supply Gap'!R19&lt;0, -'Demand vs Supply Gap'!R19*1000/('Current Mix'!D19*8760), 0)</f>
        <v>13.9434093</v>
      </c>
      <c r="S19" s="9">
        <f>IF('Demand vs Supply Gap'!S19&lt;0, -'Demand vs Supply Gap'!S19*1000/('Current Mix'!D19*8760), 0)</f>
        <v>14.64511839</v>
      </c>
      <c r="T19" s="9">
        <f>IF('Demand vs Supply Gap'!T19&lt;0, -'Demand vs Supply Gap'!T19*1000/('Current Mix'!D19*8760), 0)</f>
        <v>15.34848958</v>
      </c>
      <c r="U19" s="9">
        <f>IF('Demand vs Supply Gap'!U19&lt;0, -'Demand vs Supply Gap'!U19*1000/('Current Mix'!D19*8760), 0)</f>
        <v>16.05353947</v>
      </c>
      <c r="V19" s="9">
        <f>IF('Demand vs Supply Gap'!V19&lt;0, -'Demand vs Supply Gap'!V19*1000/('Current Mix'!D19*8760), 0)</f>
        <v>16.76028487</v>
      </c>
      <c r="W19" s="9">
        <f>IF('Demand vs Supply Gap'!W19&lt;0, -'Demand vs Supply Gap'!W19*1000/('Current Mix'!D19*8760), 0)</f>
        <v>17.46874272</v>
      </c>
    </row>
    <row r="20">
      <c r="A20" s="2" t="s">
        <v>18</v>
      </c>
      <c r="B20" s="2" t="s">
        <v>14</v>
      </c>
      <c r="C20" s="9">
        <f>IF('Demand vs Supply Gap'!C20&lt;0, -'Demand vs Supply Gap'!C20*1000/('Current Mix'!D20*8760), 0)</f>
        <v>56.48093607</v>
      </c>
      <c r="D20" s="9">
        <f>IF('Demand vs Supply Gap'!D20&lt;0, -'Demand vs Supply Gap'!D20*1000/('Current Mix'!D20*8760), 0)</f>
        <v>57.91649543</v>
      </c>
      <c r="E20" s="9">
        <f>IF('Demand vs Supply Gap'!E20&lt;0, -'Demand vs Supply Gap'!E20*1000/('Current Mix'!D20*8760), 0)</f>
        <v>59.35966039</v>
      </c>
      <c r="F20" s="9">
        <f>IF('Demand vs Supply Gap'!F20&lt;0, -'Demand vs Supply Gap'!F20*1000/('Current Mix'!D20*8760), 0)</f>
        <v>60.81050699</v>
      </c>
      <c r="G20" s="9">
        <f>IF('Demand vs Supply Gap'!G20&lt;0, -'Demand vs Supply Gap'!G20*1000/('Current Mix'!D20*8760), 0)</f>
        <v>62.26911206</v>
      </c>
      <c r="H20" s="9">
        <f>IF('Demand vs Supply Gap'!H20&lt;0, -'Demand vs Supply Gap'!H20*1000/('Current Mix'!D20*8760), 0)</f>
        <v>63.73555318</v>
      </c>
      <c r="I20" s="9">
        <f>IF('Demand vs Supply Gap'!I20&lt;0, -'Demand vs Supply Gap'!I20*1000/('Current Mix'!D20*8760), 0)</f>
        <v>66.15490871</v>
      </c>
      <c r="J20" s="9">
        <f>IF('Demand vs Supply Gap'!J20&lt;0, -'Demand vs Supply Gap'!J20*1000/('Current Mix'!D20*8760), 0)</f>
        <v>68.5822578</v>
      </c>
      <c r="K20" s="9">
        <f>IF('Demand vs Supply Gap'!K20&lt;0, -'Demand vs Supply Gap'!K20*1000/('Current Mix'!D20*8760), 0)</f>
        <v>71.01768038</v>
      </c>
      <c r="L20" s="9">
        <f>IF('Demand vs Supply Gap'!L20&lt;0, -'Demand vs Supply Gap'!L20*1000/('Current Mix'!D20*8760), 0)</f>
        <v>73.46125718</v>
      </c>
      <c r="M20" s="9">
        <f>IF('Demand vs Supply Gap'!M20&lt;0, -'Demand vs Supply Gap'!M20*1000/('Current Mix'!D20*8760), 0)</f>
        <v>75.91306976</v>
      </c>
      <c r="N20" s="9">
        <f>IF('Demand vs Supply Gap'!N20&lt;0, -'Demand vs Supply Gap'!N20*1000/('Current Mix'!D20*8760), 0)</f>
        <v>77.56320045</v>
      </c>
      <c r="O20" s="9">
        <f>IF('Demand vs Supply Gap'!O20&lt;0, -'Demand vs Supply Gap'!O20*1000/('Current Mix'!D20*8760), 0)</f>
        <v>79.22173246</v>
      </c>
      <c r="P20" s="9">
        <f>IF('Demand vs Supply Gap'!P20&lt;0, -'Demand vs Supply Gap'!P20*1000/('Current Mix'!D20*8760), 0)</f>
        <v>80.88874978</v>
      </c>
      <c r="Q20" s="9">
        <f>IF('Demand vs Supply Gap'!Q20&lt;0, -'Demand vs Supply Gap'!Q20*1000/('Current Mix'!D20*8760), 0)</f>
        <v>82.56433728</v>
      </c>
      <c r="R20" s="9">
        <f>IF('Demand vs Supply Gap'!R20&lt;0, -'Demand vs Supply Gap'!R20*1000/('Current Mix'!D20*8760), 0)</f>
        <v>84.24858065</v>
      </c>
      <c r="S20" s="9">
        <f>IF('Demand vs Supply Gap'!S20&lt;0, -'Demand vs Supply Gap'!S20*1000/('Current Mix'!D20*8760), 0)</f>
        <v>85.94156646</v>
      </c>
      <c r="T20" s="9">
        <f>IF('Demand vs Supply Gap'!T20&lt;0, -'Demand vs Supply Gap'!T20*1000/('Current Mix'!D20*8760), 0)</f>
        <v>87.64338212</v>
      </c>
      <c r="U20" s="9">
        <f>IF('Demand vs Supply Gap'!U20&lt;0, -'Demand vs Supply Gap'!U20*1000/('Current Mix'!D20*8760), 0)</f>
        <v>89.35411594</v>
      </c>
      <c r="V20" s="9">
        <f>IF('Demand vs Supply Gap'!V20&lt;0, -'Demand vs Supply Gap'!V20*1000/('Current Mix'!D20*8760), 0)</f>
        <v>91.0738571</v>
      </c>
      <c r="W20" s="9">
        <f>IF('Demand vs Supply Gap'!W20&lt;0, -'Demand vs Supply Gap'!W20*1000/('Current Mix'!D20*8760), 0)</f>
        <v>92.80269568</v>
      </c>
    </row>
    <row r="21" ht="15.75" customHeight="1">
      <c r="A21" s="2" t="s">
        <v>18</v>
      </c>
      <c r="B21" s="2" t="s">
        <v>15</v>
      </c>
      <c r="C21" s="9">
        <f>IF('Demand vs Supply Gap'!C21&lt;0, -'Demand vs Supply Gap'!C21*1000/('Current Mix'!D21*8760), 0)</f>
        <v>103.1651636</v>
      </c>
      <c r="D21" s="9">
        <f>IF('Demand vs Supply Gap'!D21&lt;0, -'Demand vs Supply Gap'!D21*1000/('Current Mix'!D21*8760), 0)</f>
        <v>106.8251903</v>
      </c>
      <c r="E21" s="9">
        <f>IF('Demand vs Supply Gap'!E21&lt;0, -'Demand vs Supply Gap'!E21*1000/('Current Mix'!D21*8760), 0)</f>
        <v>110.5014422</v>
      </c>
      <c r="F21" s="9">
        <f>IF('Demand vs Supply Gap'!F21&lt;0, -'Demand vs Supply Gap'!F21*1000/('Current Mix'!D21*8760), 0)</f>
        <v>114.1940816</v>
      </c>
      <c r="G21" s="9">
        <f>IF('Demand vs Supply Gap'!G21&lt;0, -'Demand vs Supply Gap'!G21*1000/('Current Mix'!D21*8760), 0)</f>
        <v>117.9032724</v>
      </c>
      <c r="H21" s="9">
        <f>IF('Demand vs Supply Gap'!H21&lt;0, -'Demand vs Supply Gap'!H21*1000/('Current Mix'!D21*8760), 0)</f>
        <v>121.6291801</v>
      </c>
      <c r="I21" s="9">
        <f>IF('Demand vs Supply Gap'!I21&lt;0, -'Demand vs Supply Gap'!I21*1000/('Current Mix'!D21*8760), 0)</f>
        <v>128.2244719</v>
      </c>
      <c r="J21" s="9">
        <f>IF('Demand vs Supply Gap'!J21&lt;0, -'Demand vs Supply Gap'!J21*1000/('Current Mix'!D21*8760), 0)</f>
        <v>134.8368166</v>
      </c>
      <c r="K21" s="9">
        <f>IF('Demand vs Supply Gap'!K21&lt;0, -'Demand vs Supply Gap'!K21*1000/('Current Mix'!D21*8760), 0)</f>
        <v>141.4663848</v>
      </c>
      <c r="L21" s="9">
        <f>IF('Demand vs Supply Gap'!L21&lt;0, -'Demand vs Supply Gap'!L21*1000/('Current Mix'!D21*8760), 0)</f>
        <v>148.1133487</v>
      </c>
      <c r="M21" s="9">
        <f>IF('Demand vs Supply Gap'!M21&lt;0, -'Demand vs Supply Gap'!M21*1000/('Current Mix'!D21*8760), 0)</f>
        <v>154.7778821</v>
      </c>
      <c r="N21" s="9">
        <f>IF('Demand vs Supply Gap'!N21&lt;0, -'Demand vs Supply Gap'!N21*1000/('Current Mix'!D21*8760), 0)</f>
        <v>159.015161</v>
      </c>
      <c r="O21" s="9">
        <f>IF('Demand vs Supply Gap'!O21&lt;0, -'Demand vs Supply Gap'!O21*1000/('Current Mix'!D21*8760), 0)</f>
        <v>163.2703626</v>
      </c>
      <c r="P21" s="9">
        <f>IF('Demand vs Supply Gap'!P21&lt;0, -'Demand vs Supply Gap'!P21*1000/('Current Mix'!D21*8760), 0)</f>
        <v>167.5436662</v>
      </c>
      <c r="Q21" s="9">
        <f>IF('Demand vs Supply Gap'!Q21&lt;0, -'Demand vs Supply Gap'!Q21*1000/('Current Mix'!D21*8760), 0)</f>
        <v>171.8352529</v>
      </c>
      <c r="R21" s="9">
        <f>IF('Demand vs Supply Gap'!R21&lt;0, -'Demand vs Supply Gap'!R21*1000/('Current Mix'!D21*8760), 0)</f>
        <v>176.1453054</v>
      </c>
      <c r="S21" s="9">
        <f>IF('Demand vs Supply Gap'!S21&lt;0, -'Demand vs Supply Gap'!S21*1000/('Current Mix'!D21*8760), 0)</f>
        <v>180.4740084</v>
      </c>
      <c r="T21" s="9">
        <f>IF('Demand vs Supply Gap'!T21&lt;0, -'Demand vs Supply Gap'!T21*1000/('Current Mix'!D21*8760), 0)</f>
        <v>184.8215485</v>
      </c>
      <c r="U21" s="9">
        <f>IF('Demand vs Supply Gap'!U21&lt;0, -'Demand vs Supply Gap'!U21*1000/('Current Mix'!D21*8760), 0)</f>
        <v>189.188114</v>
      </c>
      <c r="V21" s="9">
        <f>IF('Demand vs Supply Gap'!V21&lt;0, -'Demand vs Supply Gap'!V21*1000/('Current Mix'!D21*8760), 0)</f>
        <v>193.5738952</v>
      </c>
      <c r="W21" s="9">
        <f>IF('Demand vs Supply Gap'!W21&lt;0, -'Demand vs Supply Gap'!W21*1000/('Current Mix'!D21*8760), 0)</f>
        <v>197.9790841</v>
      </c>
    </row>
    <row r="22" ht="15.75" customHeight="1"/>
    <row r="23" ht="15.75" customHeight="1"/>
    <row r="24" ht="15.75" customHeight="1">
      <c r="A24" s="7" t="s">
        <v>25</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21"/>
  <mergeCells count="1">
    <mergeCell ref="A24:H26"/>
  </mergeCell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13.29"/>
    <col customWidth="1" min="3" max="3" width="15.71"/>
    <col customWidth="1" min="4" max="4" width="13.86"/>
    <col customWidth="1" min="5" max="5" width="18.43"/>
    <col customWidth="1" min="6" max="26" width="8.71"/>
  </cols>
  <sheetData>
    <row r="1">
      <c r="A1" s="8" t="s">
        <v>4</v>
      </c>
      <c r="B1" s="8" t="s">
        <v>5</v>
      </c>
      <c r="C1" s="8" t="s">
        <v>26</v>
      </c>
      <c r="D1" s="8" t="s">
        <v>27</v>
      </c>
      <c r="E1" s="8" t="s">
        <v>28</v>
      </c>
      <c r="F1" s="11"/>
      <c r="G1" s="11"/>
      <c r="H1" s="11"/>
      <c r="I1" s="11"/>
      <c r="J1" s="11"/>
      <c r="K1" s="11"/>
      <c r="L1" s="11"/>
      <c r="M1" s="11"/>
      <c r="N1" s="11"/>
      <c r="O1" s="11"/>
      <c r="P1" s="11"/>
      <c r="Q1" s="11"/>
      <c r="R1" s="11"/>
      <c r="S1" s="11"/>
      <c r="T1" s="11"/>
      <c r="U1" s="11"/>
      <c r="V1" s="11"/>
      <c r="W1" s="11"/>
      <c r="X1" s="11"/>
      <c r="Y1" s="11"/>
      <c r="Z1" s="11"/>
    </row>
    <row r="2">
      <c r="A2" s="2" t="s">
        <v>10</v>
      </c>
      <c r="B2" s="2" t="s">
        <v>11</v>
      </c>
      <c r="C2" s="9">
        <f>SUM('Build Requirement'!C2:G2)</f>
        <v>190.8597711</v>
      </c>
      <c r="D2" s="9">
        <f>SUM( 'Build Requirement'!H2:M2)</f>
        <v>320.3061555</v>
      </c>
      <c r="E2" s="9">
        <f>SUM( 'Build Requirement'!N2:W2)</f>
        <v>663.6288576</v>
      </c>
    </row>
    <row r="3">
      <c r="A3" s="2" t="s">
        <v>10</v>
      </c>
      <c r="B3" s="2" t="s">
        <v>12</v>
      </c>
      <c r="C3" s="9">
        <f>SUM('Build Requirement'!C3:G3)</f>
        <v>0</v>
      </c>
      <c r="D3" s="9">
        <f>SUM( 'Build Requirement'!H3:M3)</f>
        <v>0</v>
      </c>
      <c r="E3" s="9">
        <f>SUM( 'Build Requirement'!N3:W3)</f>
        <v>234.7197207</v>
      </c>
    </row>
    <row r="4">
      <c r="A4" s="2" t="s">
        <v>10</v>
      </c>
      <c r="B4" s="2" t="s">
        <v>13</v>
      </c>
      <c r="C4" s="9">
        <f>SUM('Build Requirement'!C4:G4)</f>
        <v>0</v>
      </c>
      <c r="D4" s="9">
        <f>SUM( 'Build Requirement'!H4:M4)</f>
        <v>19.32549719</v>
      </c>
      <c r="E4" s="9">
        <f>SUM( 'Build Requirement'!N4:W4)</f>
        <v>189.1165454</v>
      </c>
    </row>
    <row r="5">
      <c r="A5" s="2" t="s">
        <v>10</v>
      </c>
      <c r="B5" s="2" t="s">
        <v>14</v>
      </c>
      <c r="C5" s="9">
        <f>SUM('Build Requirement'!C5:G5)</f>
        <v>215.6373013</v>
      </c>
      <c r="D5" s="9">
        <f>SUM( 'Build Requirement'!H5:M5)</f>
        <v>418.1949684</v>
      </c>
      <c r="E5" s="9">
        <f>SUM( 'Build Requirement'!N5:W5)</f>
        <v>1078.45753</v>
      </c>
    </row>
    <row r="6">
      <c r="A6" s="2" t="s">
        <v>10</v>
      </c>
      <c r="B6" s="2" t="s">
        <v>15</v>
      </c>
      <c r="C6" s="9">
        <f>SUM('Build Requirement'!C6:G6)</f>
        <v>162.790754</v>
      </c>
      <c r="D6" s="9">
        <f>SUM( 'Build Requirement'!H6:M6)</f>
        <v>266.3642041</v>
      </c>
      <c r="E6" s="9">
        <f>SUM( 'Build Requirement'!N6:W6)</f>
        <v>614.8855575</v>
      </c>
    </row>
    <row r="7">
      <c r="A7" s="2" t="s">
        <v>16</v>
      </c>
      <c r="B7" s="2" t="s">
        <v>11</v>
      </c>
      <c r="C7" s="9">
        <f>SUM('Build Requirement'!C7:G7)</f>
        <v>71.57433052</v>
      </c>
      <c r="D7" s="9">
        <f>SUM( 'Build Requirement'!H7:M7)</f>
        <v>124.3161635</v>
      </c>
      <c r="E7" s="9">
        <f>SUM( 'Build Requirement'!N7:W7)</f>
        <v>261.0202724</v>
      </c>
    </row>
    <row r="8">
      <c r="A8" s="2" t="s">
        <v>16</v>
      </c>
      <c r="B8" s="2" t="s">
        <v>12</v>
      </c>
      <c r="C8" s="9">
        <f>SUM('Build Requirement'!C8:G8)</f>
        <v>0</v>
      </c>
      <c r="D8" s="9">
        <f>SUM( 'Build Requirement'!H8:M8)</f>
        <v>5.582503813</v>
      </c>
      <c r="E8" s="9">
        <f>SUM( 'Build Requirement'!N8:W8)</f>
        <v>519.462146</v>
      </c>
    </row>
    <row r="9">
      <c r="A9" s="2" t="s">
        <v>16</v>
      </c>
      <c r="B9" s="2" t="s">
        <v>13</v>
      </c>
      <c r="C9" s="9">
        <f>SUM('Build Requirement'!C9:G9)</f>
        <v>188.6835237</v>
      </c>
      <c r="D9" s="9">
        <f>SUM( 'Build Requirement'!H9:M9)</f>
        <v>267.187557</v>
      </c>
      <c r="E9" s="9">
        <f>SUM( 'Build Requirement'!N9:W9)</f>
        <v>608.9095307</v>
      </c>
    </row>
    <row r="10">
      <c r="A10" s="2" t="s">
        <v>16</v>
      </c>
      <c r="B10" s="2" t="s">
        <v>14</v>
      </c>
      <c r="C10" s="9">
        <f>SUM('Build Requirement'!C10:G10)</f>
        <v>339.4633193</v>
      </c>
      <c r="D10" s="9">
        <f>SUM( 'Build Requirement'!H10:M10)</f>
        <v>455.8539483</v>
      </c>
      <c r="E10" s="9">
        <f>SUM( 'Build Requirement'!N10:W10)</f>
        <v>880.0158233</v>
      </c>
    </row>
    <row r="11">
      <c r="A11" s="2" t="s">
        <v>16</v>
      </c>
      <c r="B11" s="2" t="s">
        <v>15</v>
      </c>
      <c r="C11" s="9">
        <f>SUM('Build Requirement'!C11:G11)</f>
        <v>221.96396</v>
      </c>
      <c r="D11" s="9">
        <f>SUM( 'Build Requirement'!H11:M11)</f>
        <v>324.222029</v>
      </c>
      <c r="E11" s="9">
        <f>SUM( 'Build Requirement'!N11:W11)</f>
        <v>681.0370097</v>
      </c>
    </row>
    <row r="12">
      <c r="A12" s="2" t="s">
        <v>17</v>
      </c>
      <c r="B12" s="2" t="s">
        <v>11</v>
      </c>
      <c r="C12" s="9">
        <f>SUM('Build Requirement'!C12:G12)</f>
        <v>198.8251292</v>
      </c>
      <c r="D12" s="9">
        <f>SUM( 'Build Requirement'!H12:M12)</f>
        <v>375.1912691</v>
      </c>
      <c r="E12" s="9">
        <f>SUM( 'Build Requirement'!N12:W12)</f>
        <v>811.5095987</v>
      </c>
    </row>
    <row r="13">
      <c r="A13" s="2" t="s">
        <v>17</v>
      </c>
      <c r="B13" s="2" t="s">
        <v>12</v>
      </c>
      <c r="C13" s="9">
        <f>SUM('Build Requirement'!C13:G13)</f>
        <v>0</v>
      </c>
      <c r="D13" s="9">
        <f>SUM( 'Build Requirement'!H13:M13)</f>
        <v>0</v>
      </c>
      <c r="E13" s="9">
        <f>SUM( 'Build Requirement'!N13:W13)</f>
        <v>537.6458487</v>
      </c>
    </row>
    <row r="14">
      <c r="A14" s="2" t="s">
        <v>17</v>
      </c>
      <c r="B14" s="2" t="s">
        <v>13</v>
      </c>
      <c r="C14" s="9">
        <f>SUM('Build Requirement'!C14:G14)</f>
        <v>145.5873902</v>
      </c>
      <c r="D14" s="9">
        <f>SUM( 'Build Requirement'!H14:M14)</f>
        <v>200.1073445</v>
      </c>
      <c r="E14" s="9">
        <f>SUM( 'Build Requirement'!N14:W14)</f>
        <v>431.559366</v>
      </c>
    </row>
    <row r="15">
      <c r="A15" s="2" t="s">
        <v>17</v>
      </c>
      <c r="B15" s="2" t="s">
        <v>14</v>
      </c>
      <c r="C15" s="9">
        <f>SUM('Build Requirement'!C15:G15)</f>
        <v>271.4997486</v>
      </c>
      <c r="D15" s="9">
        <f>SUM( 'Build Requirement'!H15:M15)</f>
        <v>437.8762888</v>
      </c>
      <c r="E15" s="9">
        <f>SUM( 'Build Requirement'!N15:W15)</f>
        <v>999.8047985</v>
      </c>
    </row>
    <row r="16">
      <c r="A16" s="2" t="s">
        <v>17</v>
      </c>
      <c r="B16" s="2" t="s">
        <v>15</v>
      </c>
      <c r="C16" s="9">
        <f>SUM('Build Requirement'!C16:G16)</f>
        <v>786.0406159</v>
      </c>
      <c r="D16" s="9">
        <f>SUM( 'Build Requirement'!H16:M16)</f>
        <v>1107.814052</v>
      </c>
      <c r="E16" s="9">
        <f>SUM( 'Build Requirement'!N16:W16)</f>
        <v>2248.789554</v>
      </c>
    </row>
    <row r="17">
      <c r="A17" s="2" t="s">
        <v>18</v>
      </c>
      <c r="B17" s="2" t="s">
        <v>11</v>
      </c>
      <c r="C17" s="9">
        <f>SUM('Build Requirement'!C17:G17)</f>
        <v>19.24762071</v>
      </c>
      <c r="D17" s="9">
        <f>SUM( 'Build Requirement'!H17:M17)</f>
        <v>57.98892178</v>
      </c>
      <c r="E17" s="9">
        <f>SUM( 'Build Requirement'!N17:W17)</f>
        <v>141.2838361</v>
      </c>
    </row>
    <row r="18">
      <c r="A18" s="2" t="s">
        <v>18</v>
      </c>
      <c r="B18" s="2" t="s">
        <v>12</v>
      </c>
      <c r="C18" s="9">
        <f>SUM('Build Requirement'!C18:G18)</f>
        <v>0</v>
      </c>
      <c r="D18" s="9">
        <f>SUM( 'Build Requirement'!H18:M18)</f>
        <v>0.1319035223</v>
      </c>
      <c r="E18" s="9">
        <f>SUM( 'Build Requirement'!N18:W18)</f>
        <v>378.1442355</v>
      </c>
    </row>
    <row r="19">
      <c r="A19" s="2" t="s">
        <v>18</v>
      </c>
      <c r="B19" s="2" t="s">
        <v>13</v>
      </c>
      <c r="C19" s="9">
        <f>SUM('Build Requirement'!C19:G19)</f>
        <v>36.69058677</v>
      </c>
      <c r="D19" s="9">
        <f>SUM( 'Build Requirement'!H19:M19)</f>
        <v>55.84747803</v>
      </c>
      <c r="E19" s="9">
        <f>SUM( 'Build Requirement'!N19:W19)</f>
        <v>143.0087998</v>
      </c>
    </row>
    <row r="20">
      <c r="A20" s="2" t="s">
        <v>18</v>
      </c>
      <c r="B20" s="2" t="s">
        <v>14</v>
      </c>
      <c r="C20" s="9">
        <f>SUM('Build Requirement'!C20:G20)</f>
        <v>296.8367109</v>
      </c>
      <c r="D20" s="9">
        <f>SUM( 'Build Requirement'!H20:M20)</f>
        <v>418.864727</v>
      </c>
      <c r="E20" s="9">
        <f>SUM( 'Build Requirement'!N20:W20)</f>
        <v>851.3022179</v>
      </c>
    </row>
    <row r="21" ht="15.75" customHeight="1">
      <c r="A21" s="2" t="s">
        <v>18</v>
      </c>
      <c r="B21" s="2" t="s">
        <v>15</v>
      </c>
      <c r="C21" s="9">
        <f>SUM('Build Requirement'!C21:G21)</f>
        <v>552.58915</v>
      </c>
      <c r="D21" s="9">
        <f>SUM( 'Build Requirement'!H21:M21)</f>
        <v>829.0480843</v>
      </c>
      <c r="E21" s="9">
        <f>SUM( 'Build Requirement'!N21:W21)</f>
        <v>1783.846398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21"/>
  <printOptions/>
  <pageMargins bottom="1.0" footer="0.0" header="0.0" left="0.75" right="0.75" top="1.0"/>
  <pageSetup orientation="landscape"/>
  <drawing r:id="rId1"/>
</worksheet>
</file>