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E:\Excel\Maven Toys\"/>
    </mc:Choice>
  </mc:AlternateContent>
  <xr:revisionPtr revIDLastSave="0" documentId="13_ncr:1_{E47520AE-6D0D-4AAF-898B-EF7B2B5F4301}" xr6:coauthVersionLast="47" xr6:coauthVersionMax="47" xr10:uidLastSave="{00000000-0000-0000-0000-000000000000}"/>
  <bookViews>
    <workbookView xWindow="-108" yWindow="-108" windowWidth="23256" windowHeight="12456" activeTab="2" xr2:uid="{EA944FB1-DE3F-40F9-BBAA-0980B1568DEE}"/>
  </bookViews>
  <sheets>
    <sheet name="Data" sheetId="16" r:id="rId1"/>
    <sheet name="Data Prep" sheetId="22" state="hidden" r:id="rId2"/>
    <sheet name="Dashboard" sheetId="23" r:id="rId3"/>
    <sheet name="New Data (Aug 2021)" sheetId="21" r:id="rId4"/>
    <sheet name="New Data (Sep 2021)" sheetId="18" r:id="rId5"/>
  </sheets>
  <definedNames>
    <definedName name="_xlnm._FilterDatabase" localSheetId="0" hidden="1">Data!$A$1:$J$4266</definedName>
    <definedName name="CurMonth">'Data Prep'!$B$9</definedName>
    <definedName name="CurYear">'Data Prep'!$B$8</definedName>
    <definedName name="PMYear">'Data Prep'!$B$12</definedName>
    <definedName name="PrevMonth">'Data Prep'!$B$11</definedName>
    <definedName name="PrevYear">'Data Prep'!$B$10</definedName>
    <definedName name="Region">'Data Prep'!$B$3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3" l="1"/>
  <c r="B13" i="22"/>
  <c r="U4" i="22"/>
  <c r="U5" i="22"/>
  <c r="U6" i="22"/>
  <c r="U7" i="22"/>
  <c r="U8" i="22"/>
  <c r="U9" i="22"/>
  <c r="U10" i="22"/>
  <c r="U11" i="22"/>
  <c r="U12" i="22"/>
  <c r="U3" i="22"/>
  <c r="B3" i="22"/>
  <c r="Y5" i="22" s="1"/>
  <c r="B8" i="22"/>
  <c r="B10" i="22" s="1"/>
  <c r="I2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Y10" i="22" l="1"/>
  <c r="Y9" i="22"/>
  <c r="Y8" i="22"/>
  <c r="X8" i="22"/>
  <c r="Y7" i="22"/>
  <c r="X7" i="22"/>
  <c r="Y3" i="22"/>
  <c r="X5" i="22"/>
  <c r="Y12" i="22"/>
  <c r="Y4" i="22"/>
  <c r="X12" i="22"/>
  <c r="X4" i="22"/>
  <c r="Y11" i="22"/>
  <c r="X11" i="22"/>
  <c r="X10" i="22"/>
  <c r="X9" i="22"/>
  <c r="Y6" i="22"/>
  <c r="X6" i="22"/>
  <c r="X3" i="22"/>
  <c r="I8" i="22"/>
  <c r="I4" i="22"/>
  <c r="I9" i="22"/>
  <c r="I10" i="22"/>
  <c r="I11" i="22"/>
  <c r="I12" i="22"/>
  <c r="I14" i="22"/>
  <c r="I3" i="22"/>
  <c r="I7" i="22"/>
  <c r="I13" i="22"/>
  <c r="I5" i="22"/>
  <c r="I6" i="22"/>
  <c r="J2" i="22"/>
  <c r="B9" i="22"/>
  <c r="C9" i="22" a="1"/>
  <c r="C9" i="22" s="1"/>
  <c r="AB4" i="22" l="1"/>
  <c r="K4" i="22"/>
  <c r="K8" i="22"/>
  <c r="K11" i="22"/>
  <c r="K13" i="22"/>
  <c r="K5" i="22"/>
  <c r="K7" i="22"/>
  <c r="K12" i="22"/>
  <c r="K3" i="22"/>
  <c r="K6" i="22"/>
  <c r="K14" i="22"/>
  <c r="K10" i="22"/>
  <c r="AB33" i="22"/>
  <c r="AB18" i="22"/>
  <c r="AB34" i="22"/>
  <c r="AB11" i="22"/>
  <c r="AB10" i="22"/>
  <c r="AB26" i="22"/>
  <c r="AB28" i="22"/>
  <c r="AB9" i="22"/>
  <c r="AB21" i="22"/>
  <c r="AB29" i="22"/>
  <c r="AB30" i="22"/>
  <c r="AB36" i="22"/>
  <c r="AB20" i="22"/>
  <c r="AB16" i="22"/>
  <c r="AB5" i="22"/>
  <c r="AB32" i="22"/>
  <c r="AB6" i="22"/>
  <c r="AB24" i="22"/>
  <c r="AB7" i="22"/>
  <c r="AB13" i="22"/>
  <c r="AB22" i="22"/>
  <c r="AB25" i="22"/>
  <c r="AB3" i="22"/>
  <c r="AB8" i="22"/>
  <c r="AB14" i="22"/>
  <c r="AB23" i="22"/>
  <c r="AB27" i="22"/>
  <c r="AB31" i="22"/>
  <c r="AB12" i="22"/>
  <c r="AB19" i="22"/>
  <c r="AB35" i="22"/>
  <c r="AB15" i="22"/>
  <c r="AB17" i="22"/>
  <c r="N3" i="22"/>
  <c r="N9" i="22"/>
  <c r="N6" i="22"/>
  <c r="N11" i="22"/>
  <c r="N12" i="22"/>
  <c r="N10" i="22"/>
  <c r="N7" i="22"/>
  <c r="N5" i="22"/>
  <c r="N8" i="22"/>
  <c r="N4" i="22"/>
  <c r="AY40" i="16"/>
  <c r="J4" i="22"/>
  <c r="J5" i="22"/>
  <c r="J6" i="22"/>
  <c r="J7" i="22"/>
  <c r="J8" i="22"/>
  <c r="J9" i="22"/>
  <c r="K9" i="22" s="1"/>
  <c r="J10" i="22"/>
  <c r="J11" i="22"/>
  <c r="J12" i="22"/>
  <c r="J13" i="22"/>
  <c r="J14" i="22"/>
  <c r="J3" i="22"/>
  <c r="AY4" i="16"/>
  <c r="AY15" i="16"/>
  <c r="AY50" i="16"/>
  <c r="AY44" i="16"/>
  <c r="AY17" i="16"/>
  <c r="AY47" i="16"/>
  <c r="AY46" i="16"/>
  <c r="AY30" i="16"/>
  <c r="AY14" i="16"/>
  <c r="AY32" i="16"/>
  <c r="AY29" i="16"/>
  <c r="AY5" i="16"/>
  <c r="AY22" i="16"/>
  <c r="AY21" i="16"/>
  <c r="AY7" i="16"/>
  <c r="AY25" i="16"/>
  <c r="B11" i="22"/>
  <c r="B12" i="22"/>
  <c r="E3" i="22"/>
  <c r="E2" i="22"/>
  <c r="AY20" i="16"/>
  <c r="AY38" i="16"/>
  <c r="AY35" i="16"/>
  <c r="AY52" i="16"/>
  <c r="AY48" i="16"/>
  <c r="AY23" i="16"/>
  <c r="AY45" i="16"/>
  <c r="AY28" i="16"/>
  <c r="AY3" i="16"/>
  <c r="AY36" i="16"/>
  <c r="AY19" i="16"/>
  <c r="AY18" i="16"/>
  <c r="AY51" i="16"/>
  <c r="AY8" i="16"/>
  <c r="AY26" i="16"/>
  <c r="AY12" i="16"/>
  <c r="AY27" i="16"/>
  <c r="AY31" i="16"/>
  <c r="AY39" i="16"/>
  <c r="AY10" i="16"/>
  <c r="AY9" i="16"/>
  <c r="AY33" i="16"/>
  <c r="AY41" i="16"/>
  <c r="AY43" i="16"/>
  <c r="AY42" i="16"/>
  <c r="AY49" i="16"/>
  <c r="AY13" i="16"/>
  <c r="AY16" i="16"/>
  <c r="AY24" i="16"/>
  <c r="AY6" i="16"/>
  <c r="AY37" i="16"/>
  <c r="AY11" i="16"/>
  <c r="AY34" i="16"/>
  <c r="AC17" i="22" l="1"/>
  <c r="AC12" i="22"/>
  <c r="AD12" i="22" s="1"/>
  <c r="AC18" i="22"/>
  <c r="AD18" i="22" s="1"/>
  <c r="AC33" i="22"/>
  <c r="AD33" i="22" s="1"/>
  <c r="AC9" i="22"/>
  <c r="AD9" i="22" s="1"/>
  <c r="AC13" i="22"/>
  <c r="AD13" i="22" s="1"/>
  <c r="AC31" i="22"/>
  <c r="AD31" i="22" s="1"/>
  <c r="AC22" i="22"/>
  <c r="AD22" i="22" s="1"/>
  <c r="AC27" i="22"/>
  <c r="AD27" i="22" s="1"/>
  <c r="AC35" i="22"/>
  <c r="AD35" i="22" s="1"/>
  <c r="AC6" i="22"/>
  <c r="AD6" i="22" s="1"/>
  <c r="AC26" i="22"/>
  <c r="AD26" i="22" s="1"/>
  <c r="AC19" i="22"/>
  <c r="AD19" i="22" s="1"/>
  <c r="AC8" i="22"/>
  <c r="AD8" i="22" s="1"/>
  <c r="AC36" i="22"/>
  <c r="AD36" i="22" s="1"/>
  <c r="AC10" i="22"/>
  <c r="AD10" i="22" s="1"/>
  <c r="AC4" i="22"/>
  <c r="AD4" i="22" s="1"/>
  <c r="AC29" i="22"/>
  <c r="AD29" i="22" s="1"/>
  <c r="AC28" i="22"/>
  <c r="AD28" i="22" s="1"/>
  <c r="AC16" i="22"/>
  <c r="AD16" i="22" s="1"/>
  <c r="AC11" i="22"/>
  <c r="AD11" i="22" s="1"/>
  <c r="AC21" i="22"/>
  <c r="AD21" i="22" s="1"/>
  <c r="AC24" i="22"/>
  <c r="AD24" i="22" s="1"/>
  <c r="AC15" i="22"/>
  <c r="AD15" i="22" s="1"/>
  <c r="AC25" i="22"/>
  <c r="AD25" i="22" s="1"/>
  <c r="AC32" i="22"/>
  <c r="AD32" i="22" s="1"/>
  <c r="AC23" i="22"/>
  <c r="AD23" i="22" s="1"/>
  <c r="AC34" i="22"/>
  <c r="AD34" i="22" s="1"/>
  <c r="AC5" i="22"/>
  <c r="AD5" i="22" s="1"/>
  <c r="AC14" i="22"/>
  <c r="AD14" i="22" s="1"/>
  <c r="AC7" i="22"/>
  <c r="AD7" i="22" s="1"/>
  <c r="AC30" i="22"/>
  <c r="AD30" i="22" s="1"/>
  <c r="AC20" i="22"/>
  <c r="AD20" i="22" s="1"/>
  <c r="AC3" i="22"/>
  <c r="AD3" i="22" s="1"/>
  <c r="AD17" i="22"/>
  <c r="Q4" i="22"/>
  <c r="Q7" i="22"/>
  <c r="Q10" i="22"/>
  <c r="Q12" i="22"/>
  <c r="Q8" i="22"/>
  <c r="Q5" i="22"/>
  <c r="Q11" i="22"/>
  <c r="Q6" i="22"/>
  <c r="Q9" i="22"/>
  <c r="Q3" i="22"/>
  <c r="O3" i="22"/>
  <c r="P3" i="22" s="1"/>
  <c r="O9" i="22"/>
  <c r="P9" i="22" s="1"/>
  <c r="O6" i="22"/>
  <c r="P6" i="22" s="1"/>
  <c r="O11" i="22"/>
  <c r="P11" i="22" s="1"/>
  <c r="O12" i="22"/>
  <c r="P12" i="22" s="1"/>
  <c r="O10" i="22"/>
  <c r="P10" i="22" s="1"/>
  <c r="O7" i="22"/>
  <c r="P7" i="22" s="1"/>
  <c r="O5" i="22"/>
  <c r="P5" i="22" s="1"/>
  <c r="O8" i="22"/>
  <c r="P8" i="22" s="1"/>
  <c r="O4" i="22"/>
  <c r="P4" i="22" s="1"/>
  <c r="E5" i="22"/>
  <c r="E4" i="22"/>
  <c r="E6" i="22" s="1"/>
  <c r="AE30" i="22" l="1"/>
  <c r="AE31" i="22"/>
  <c r="AF26" i="22"/>
  <c r="AE23" i="22"/>
  <c r="AF23" i="22"/>
  <c r="AF32" i="22"/>
  <c r="AF25" i="22"/>
  <c r="AF27" i="22"/>
  <c r="AE27" i="22"/>
  <c r="AE15" i="22"/>
  <c r="AE22" i="22"/>
  <c r="AE24" i="22"/>
  <c r="AF5" i="22"/>
  <c r="AE16" i="22"/>
  <c r="AF34" i="22"/>
  <c r="AE35" i="22"/>
  <c r="AE18" i="22"/>
  <c r="AF14" i="22"/>
  <c r="AE3" i="22"/>
  <c r="AF29" i="22"/>
  <c r="AE36" i="22"/>
  <c r="AE7" i="22"/>
  <c r="AE20" i="22"/>
  <c r="AF3" i="22"/>
  <c r="AF30" i="22"/>
  <c r="AF28" i="22"/>
  <c r="AE19" i="22"/>
  <c r="AF12" i="22"/>
  <c r="AF24" i="22"/>
  <c r="AE10" i="22"/>
  <c r="AE25" i="22"/>
  <c r="AE13" i="22"/>
  <c r="AE17" i="22"/>
  <c r="AF7" i="22"/>
  <c r="AF36" i="22"/>
  <c r="AE12" i="22"/>
  <c r="AF17" i="22"/>
  <c r="AE9" i="22"/>
  <c r="AE21" i="22"/>
  <c r="AE4" i="22"/>
  <c r="AF21" i="22"/>
  <c r="AF31" i="22"/>
  <c r="AF19" i="22"/>
  <c r="AE14" i="22"/>
  <c r="AF9" i="22"/>
  <c r="AF10" i="22"/>
  <c r="AE5" i="22"/>
  <c r="AF13" i="22"/>
  <c r="AE29" i="22"/>
  <c r="AF20" i="22"/>
  <c r="AF8" i="22"/>
  <c r="AE8" i="22"/>
  <c r="AF6" i="22"/>
  <c r="AE11" i="22"/>
  <c r="AE33" i="22"/>
  <c r="AE28" i="22"/>
  <c r="AF4" i="22"/>
  <c r="AE32" i="22"/>
  <c r="AE26" i="22"/>
  <c r="AF15" i="22"/>
  <c r="AF16" i="22"/>
  <c r="AF18" i="22"/>
  <c r="AE34" i="22"/>
  <c r="AF33" i="22"/>
  <c r="AE6" i="22"/>
  <c r="AF22" i="22"/>
  <c r="AF11" i="22"/>
  <c r="AF35" i="22"/>
  <c r="V4" i="22"/>
  <c r="W9" i="22"/>
  <c r="W11" i="22"/>
  <c r="V7" i="22"/>
  <c r="W12" i="22"/>
  <c r="V9" i="22"/>
  <c r="T5" i="22"/>
  <c r="V11" i="22"/>
  <c r="T7" i="22"/>
  <c r="V12" i="22"/>
  <c r="T8" i="22"/>
  <c r="W3" i="22"/>
  <c r="T10" i="22"/>
  <c r="W5" i="22"/>
  <c r="T12" i="22"/>
  <c r="W7" i="22"/>
  <c r="V5" i="22"/>
  <c r="W10" i="22"/>
  <c r="V6" i="22"/>
  <c r="V8" i="22"/>
  <c r="T4" i="22"/>
  <c r="V10" i="22"/>
  <c r="T6" i="22"/>
  <c r="V3" i="22"/>
  <c r="T9" i="22"/>
  <c r="W4" i="22"/>
  <c r="T11" i="22"/>
  <c r="W6" i="22"/>
  <c r="T3" i="22"/>
  <c r="W8" i="22"/>
  <c r="AI12" i="22" l="1"/>
  <c r="P25" i="23" s="1"/>
  <c r="AK14" i="22"/>
  <c r="R27" i="23" s="1"/>
  <c r="AJ3" i="22"/>
  <c r="Q14" i="23" s="1"/>
  <c r="AK16" i="22"/>
  <c r="R29" i="23" s="1"/>
  <c r="AK5" i="22"/>
  <c r="R16" i="23" s="1"/>
  <c r="AI13" i="22"/>
  <c r="P26" i="23" s="1"/>
  <c r="AK12" i="22"/>
  <c r="R25" i="23" s="1"/>
  <c r="AJ4" i="22"/>
  <c r="Q15" i="23" s="1"/>
  <c r="AJ13" i="22"/>
  <c r="Q26" i="23" s="1"/>
  <c r="AJ6" i="22"/>
  <c r="Q17" i="23" s="1"/>
  <c r="AI16" i="22"/>
  <c r="P29" i="23" s="1"/>
  <c r="AJ12" i="22"/>
  <c r="Q25" i="23" s="1"/>
  <c r="AI3" i="22"/>
  <c r="P14" i="23" s="1"/>
  <c r="AK3" i="22"/>
  <c r="R14" i="23" s="1"/>
  <c r="AK15" i="22"/>
  <c r="R28" i="23" s="1"/>
  <c r="AI14" i="22"/>
  <c r="P27" i="23" s="1"/>
  <c r="AJ16" i="22"/>
  <c r="Q29" i="23" s="1"/>
  <c r="AK7" i="22"/>
  <c r="R18" i="23" s="1"/>
  <c r="AJ14" i="22"/>
  <c r="Q27" i="23" s="1"/>
  <c r="AJ7" i="22"/>
  <c r="Q18" i="23" s="1"/>
  <c r="AK13" i="22"/>
  <c r="R26" i="23" s="1"/>
  <c r="AI7" i="22"/>
  <c r="P18" i="23" s="1"/>
  <c r="AJ15" i="22"/>
  <c r="Q28" i="23" s="1"/>
  <c r="AI4" i="22"/>
  <c r="P15" i="23" s="1"/>
  <c r="AJ5" i="22"/>
  <c r="Q16" i="23" s="1"/>
  <c r="AK6" i="22"/>
  <c r="R17" i="23" s="1"/>
  <c r="AK4" i="22"/>
  <c r="R15" i="23" s="1"/>
  <c r="AI15" i="22"/>
  <c r="P28" i="23" s="1"/>
  <c r="AI6" i="22"/>
  <c r="P17" i="23" s="1"/>
  <c r="AI5" i="22"/>
  <c r="P16" i="23" s="1"/>
  <c r="R30" i="23" l="1"/>
  <c r="R19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<sst xmlns="http://schemas.openxmlformats.org/spreadsheetml/2006/main" count="24220" uniqueCount="129">
  <si>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</si>
  <si>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</si>
  <si>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</si>
  <si>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</si>
  <si>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</si>
  <si>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</si>
  <si>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</si>
  <si>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</si>
  <si>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</si>
  <si>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</si>
  <si>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</si>
  <si>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</si>
  <si>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</si>
  <si>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</si>
  <si>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</si>
  <si>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</si>
  <si>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</si>
  <si>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</si>
  <si>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</si>
  <si>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</si>
  <si>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</si>
  <si>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</si>
  <si>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</si>
  <si>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</si>
  <si>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</si>
  <si>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</si>
  <si>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</si>
  <si>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</si>
  <si>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</si>
  <si>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</si>
  <si>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</si>
  <si>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</si>
  <si>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</si>
  <si>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</si>
  <si>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</si>
  <si>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</si>
  <si>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</si>
  <si>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</si>
  <si>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</si>
  <si>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</si>
  <si>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</si>
  <si>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</si>
  <si>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</si>
  <si>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</si>
  <si>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</si>
  <si>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</si>
  <si>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</si>
  <si>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</si>
  <si>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</si>
  <si>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</si>
  <si>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</si>
  <si>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</si>
  <si>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</si>
  <si>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</si>
  <si>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</si>
  <si>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</si>
  <si>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</si>
  <si>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</si>
  <si>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</si>
  <si>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</si>
  <si>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</si>
  <si>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</si>
  <si>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</si>
  <si>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</si>
  <si>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</si>
  <si>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</si>
  <si>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</si>
  <si>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</si>
  <si>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</si>
  <si>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</si>
  <si>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</si>
  <si>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</si>
  <si>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</si>
  <si>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</si>
  <si>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</si>
  <si>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</si>
  <si>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</si>
  <si>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</si>
  <si>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Year:</t>
  </si>
  <si>
    <t>Current Month:</t>
  </si>
  <si>
    <t>Previous Year:</t>
  </si>
  <si>
    <t>Previous Month:</t>
  </si>
  <si>
    <t>KPIs</t>
  </si>
  <si>
    <t>Total Revenue:</t>
  </si>
  <si>
    <t>PY Revenue:</t>
  </si>
  <si>
    <t>S</t>
  </si>
  <si>
    <t>Revenue for same month last year</t>
  </si>
  <si>
    <t>PM Revenue:</t>
  </si>
  <si>
    <t>PM Year:</t>
  </si>
  <si>
    <t>for this month</t>
  </si>
  <si>
    <r>
      <t>YoY %</t>
    </r>
    <r>
      <rPr>
        <b/>
        <sz val="11"/>
        <color theme="1"/>
        <rFont val="Calibri"/>
        <family val="2"/>
      </rPr>
      <t>∆:</t>
    </r>
  </si>
  <si>
    <t>MoM  %∆:</t>
  </si>
  <si>
    <t>REVENUE TREND</t>
  </si>
  <si>
    <t>Month #</t>
  </si>
  <si>
    <t>J</t>
  </si>
  <si>
    <t>F</t>
  </si>
  <si>
    <t>M</t>
  </si>
  <si>
    <t>A</t>
  </si>
  <si>
    <t>O</t>
  </si>
  <si>
    <t>N</t>
  </si>
  <si>
    <t>D</t>
  </si>
  <si>
    <t>STORE PERFORMANCE</t>
  </si>
  <si>
    <t>PM Revenue</t>
  </si>
  <si>
    <t>Rank</t>
  </si>
  <si>
    <t>STORE PERFORMANCE (SORTED)</t>
  </si>
  <si>
    <t>MoM  %∆</t>
  </si>
  <si>
    <t>PRODUCT PERFORMANCE</t>
  </si>
  <si>
    <t>Product</t>
  </si>
  <si>
    <t>Rank(+)</t>
  </si>
  <si>
    <t>Rank(-)</t>
  </si>
  <si>
    <t>TOP PERFORMING PRODUCTS</t>
  </si>
  <si>
    <t>MoM ∆</t>
  </si>
  <si>
    <t>BOTTOM PERFORMING PRODUCTS</t>
  </si>
  <si>
    <r>
      <t xml:space="preserve">MoM  Revenue </t>
    </r>
    <r>
      <rPr>
        <b/>
        <sz val="16"/>
        <color theme="1" tint="0.34998626667073579"/>
        <rFont val="Calibri"/>
        <family val="2"/>
      </rPr>
      <t>∆</t>
    </r>
  </si>
  <si>
    <t>How did</t>
  </si>
  <si>
    <t>Current Period: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</si>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</sst>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6" formatCode="[$$-409]#,##0"/>
    <numFmt numFmtId="167" formatCode="0.0%"/>
    <numFmt numFmtId="169" formatCode="[$$-409]#,##0_ ;\-[$$-409]#,##0\ 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9" tint="-0.249977111117893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16"/>
      <color theme="1" tint="0.34998626667073579"/>
      <name val="Calibri"/>
      <family val="2"/>
    </font>
    <font>
      <sz val="14"/>
      <color theme="1" tint="0.3499862666707357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0" fillId="0" borderId="0" xfId="0" applyAlignment="1">
      <alignment horizontal="left"/>
    </xf>
    <xf numFmtId="9" fontId="0" fillId="0" borderId="0" xfId="1" applyFont="1"/>
    <xf numFmtId="0" fontId="1" fillId="0" borderId="0" xfId="0" applyFont="1" applyAlignment="1">
      <alignment horizontal="right"/>
    </xf>
    <xf numFmtId="166" fontId="0" fillId="0" borderId="0" xfId="0" applyNumberFormat="1" applyAlignment="1">
      <alignment horizontal="left"/>
    </xf>
    <xf numFmtId="0" fontId="3" fillId="5" borderId="0" xfId="0" applyFont="1" applyFill="1" applyAlignment="1">
      <alignment horizontal="centerContinuous"/>
    </xf>
    <xf numFmtId="0" fontId="1" fillId="7" borderId="0" xfId="0" applyFont="1" applyFill="1"/>
    <xf numFmtId="166" fontId="0" fillId="0" borderId="0" xfId="1" applyNumberFormat="1" applyFont="1"/>
    <xf numFmtId="167" fontId="6" fillId="6" borderId="0" xfId="1" applyNumberFormat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11" fillId="0" borderId="0" xfId="0" applyFont="1"/>
    <xf numFmtId="169" fontId="11" fillId="0" borderId="0" xfId="0" applyNumberFormat="1" applyFont="1"/>
    <xf numFmtId="0" fontId="12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169" fontId="15" fillId="0" borderId="2" xfId="0" applyNumberFormat="1" applyFont="1" applyBorder="1"/>
    <xf numFmtId="169" fontId="16" fillId="0" borderId="2" xfId="0" applyNumberFormat="1" applyFont="1" applyBorder="1" applyProtection="1">
      <protection locked="0"/>
    </xf>
    <xf numFmtId="0" fontId="14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theme="9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Prep'!$V$3:$V$12</c:f>
              <c:numCache>
                <c:formatCode>[$$-409]#,##0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4-4915-B3C2-204533B5ECBF}"/>
            </c:ext>
          </c:extLst>
        </c:ser>
        <c:ser>
          <c:idx val="1"/>
          <c:order val="1"/>
          <c:tx>
            <c:strRef>
              <c:f>'Data Prep'!$X$2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\$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Prep'!$X$3:$X$12</c:f>
              <c:numCache>
                <c:formatCode>[$$-409]#,##0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4-4915-B3C2-204533B5ECB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297514511"/>
        <c:axId val="297524111"/>
      </c:barChart>
      <c:catAx>
        <c:axId val="29751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24111"/>
        <c:crosses val="autoZero"/>
        <c:auto val="1"/>
        <c:lblAlgn val="ctr"/>
        <c:lblOffset val="100"/>
        <c:noMultiLvlLbl val="0"/>
      </c:catAx>
      <c:valAx>
        <c:axId val="29752411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Revenue</a:t>
                </a:r>
              </a:p>
            </c:rich>
          </c:tx>
          <c:layout>
            <c:manualLayout>
              <c:xMode val="edge"/>
              <c:yMode val="edge"/>
              <c:x val="0.53195117224184896"/>
              <c:y val="0.92015050167224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crossAx val="29751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30382840076026"/>
          <c:y val="6.7155067155067152E-2"/>
          <c:w val="0.77254017816738429"/>
          <c:h val="0.75944256967879009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Prep'!$I$3:$I$14</c:f>
              <c:numCache>
                <c:formatCode>[$$-409]#,##0</c:formatCode>
                <c:ptCount val="12"/>
                <c:pt idx="0">
                  <c:v>31544.950000000004</c:v>
                </c:pt>
                <c:pt idx="1">
                  <c:v>31002.100000000009</c:v>
                </c:pt>
                <c:pt idx="2">
                  <c:v>40942.11</c:v>
                </c:pt>
                <c:pt idx="3">
                  <c:v>51274.420000000006</c:v>
                </c:pt>
                <c:pt idx="4">
                  <c:v>39052.43</c:v>
                </c:pt>
                <c:pt idx="5">
                  <c:v>47915.380000000005</c:v>
                </c:pt>
                <c:pt idx="6">
                  <c:v>41568.47</c:v>
                </c:pt>
                <c:pt idx="7">
                  <c:v>30149.900000000009</c:v>
                </c:pt>
                <c:pt idx="8">
                  <c:v>34844.409999999982</c:v>
                </c:pt>
                <c:pt idx="9">
                  <c:v>36809.12000000001</c:v>
                </c:pt>
                <c:pt idx="10">
                  <c:v>42365.650000000009</c:v>
                </c:pt>
                <c:pt idx="11">
                  <c:v>48216.44999999999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F2-4E0D-B986-436EB266F462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[$$-409]#,##0</c:formatCode>
                <c:ptCount val="12"/>
                <c:pt idx="0">
                  <c:v>45431.029999999984</c:v>
                </c:pt>
                <c:pt idx="1">
                  <c:v>42456.219999999987</c:v>
                </c:pt>
                <c:pt idx="2">
                  <c:v>58945.410000000011</c:v>
                </c:pt>
                <c:pt idx="3">
                  <c:v>66317.759999999995</c:v>
                </c:pt>
                <c:pt idx="4">
                  <c:v>63906.600000000006</c:v>
                </c:pt>
                <c:pt idx="5">
                  <c:v>61649.439999999981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F2-4E0D-B986-436EB266F462}"/>
            </c:ext>
          </c:extLst>
        </c:ser>
        <c:ser>
          <c:idx val="2"/>
          <c:order val="2"/>
          <c:tx>
            <c:strRef>
              <c:f>'Data Prep'!$K$2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val>
            <c:numRef>
              <c:f>'Data Prep'!$K$3:$K$14</c:f>
              <c:numCache>
                <c:formatCode>[$$-409]#,##0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F2-4E0D-B986-436EB266F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868591"/>
        <c:axId val="295878191"/>
      </c:lineChart>
      <c:catAx>
        <c:axId val="29586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layout>
            <c:manualLayout>
              <c:xMode val="edge"/>
              <c:yMode val="edge"/>
              <c:x val="9.9959595567795406E-2"/>
              <c:y val="0.906458368235885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78191"/>
        <c:crosses val="autoZero"/>
        <c:auto val="1"/>
        <c:lblAlgn val="ctr"/>
        <c:lblOffset val="100"/>
        <c:noMultiLvlLbl val="0"/>
      </c:catAx>
      <c:valAx>
        <c:axId val="295878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>
            <c:manualLayout>
              <c:xMode val="edge"/>
              <c:yMode val="edge"/>
              <c:x val="4.8304306789237542E-3"/>
              <c:y val="2.596454289367675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$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68591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Prep'!$L$3:$L$12</c:f>
              <c:numCache>
                <c:formatCode>General</c:formatCode>
                <c:ptCount val="10"/>
              </c:numCache>
            </c:numRef>
          </c:cat>
          <c:val>
            <c:numRef>
              <c:f>'Data Prep'!$W$3:$W$12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0-403D-BDD4-529C615263C2}"/>
            </c:ext>
          </c:extLst>
        </c:ser>
        <c:ser>
          <c:idx val="1"/>
          <c:order val="1"/>
          <c:tx>
            <c:strRef>
              <c:f>'Data Prep'!$Y$2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Prep'!$Y$3:$Y$12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74D0-403D-BDD4-529C6152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297514511"/>
        <c:axId val="297524111"/>
      </c:barChart>
      <c:catAx>
        <c:axId val="297514511"/>
        <c:scaling>
          <c:orientation val="minMax"/>
        </c:scaling>
        <c:delete val="0"/>
        <c:axPos val="l"/>
        <c:numFmt formatCode=";;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24111"/>
        <c:crosses val="autoZero"/>
        <c:auto val="1"/>
        <c:lblAlgn val="ctr"/>
        <c:lblOffset val="100"/>
        <c:noMultiLvlLbl val="0"/>
      </c:catAx>
      <c:valAx>
        <c:axId val="29752411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 i="0" u="none" strike="noStrike" baseline="0">
                    <a:effectLst/>
                  </a:rPr>
                  <a:t>MoM  %∆</a:t>
                </a:r>
                <a:endParaRPr lang="en-IN" sz="1100" b="1"/>
              </a:p>
            </c:rich>
          </c:tx>
          <c:layout>
            <c:manualLayout>
              <c:xMode val="edge"/>
              <c:yMode val="edge"/>
              <c:x val="0.30959313075556277"/>
              <c:y val="0.92912486064659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29751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937260</xdr:colOff>
      <xdr:row>12</xdr:row>
      <xdr:rowOff>53788</xdr:rowOff>
    </xdr:from>
    <xdr:to>
      <xdr:col>7</xdr:col>
      <xdr:colOff>181208</xdr:colOff>
      <xdr:row>32</xdr:row>
      <xdr:rowOff>104888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B47BD847-A65F-4D0B-93EB-5E9B52E2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358140</xdr:colOff>
      <xdr:row>0</xdr:row>
      <xdr:rowOff>91440</xdr:rowOff>
    </xdr:from>
    <xdr:to>
      <xdr:col>7</xdr:col>
      <xdr:colOff>457200</xdr:colOff>
      <xdr:row>4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E07DED-8A4B-6CD1-789B-22A6B3927A9A}"/>
            </a:ext>
          </a:extLst>
        </xdr:cNvPr>
        <xdr:cNvSpPr txBox="1"/>
      </xdr:nvSpPr>
      <xdr:spPr>
        <a:xfrm>
          <a:off x="358140" y="91440"/>
          <a:ext cx="7239000" cy="594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solidFill>
                <a:schemeClr val="tx1">
                  <a:lumMod val="85000"/>
                  <a:lumOff val="15000"/>
                </a:schemeClr>
              </a:solidFill>
            </a:rPr>
            <a:t>REGIONAL REVENUE DASHBOARD</a:t>
          </a:r>
        </a:p>
      </xdr:txBody>
    </xdr:sp>
    <xdr:clientData/>
  </xdr:twoCellAnchor>
  <xdr:twoCellAnchor editAs="absolute">
    <xdr:from>
      <xdr:col>1</xdr:col>
      <xdr:colOff>30480</xdr:colOff>
      <xdr:row>8</xdr:row>
      <xdr:rowOff>30480</xdr:rowOff>
    </xdr:from>
    <xdr:to>
      <xdr:col>18</xdr:col>
      <xdr:colOff>167640</xdr:colOff>
      <xdr:row>8</xdr:row>
      <xdr:rowOff>30480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C261BC3-0351-243E-15D4-345324050C63}"/>
            </a:ext>
          </a:extLst>
        </xdr:cNvPr>
        <xdr:cNvCxnSpPr/>
      </xdr:nvCxnSpPr>
      <xdr:spPr>
        <a:xfrm>
          <a:off x="472440" y="1592580"/>
          <a:ext cx="13601700" cy="0"/>
        </a:xfrm>
        <a:prstGeom prst="line">
          <a:avLst/>
        </a:prstGeom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285750</xdr:colOff>
      <xdr:row>9</xdr:row>
      <xdr:rowOff>77984</xdr:rowOff>
    </xdr:from>
    <xdr:to>
      <xdr:col>3</xdr:col>
      <xdr:colOff>563880</xdr:colOff>
      <xdr:row>11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5BA9365-94A7-7D28-1AD1-F836007088E7}"/>
            </a:ext>
          </a:extLst>
        </xdr:cNvPr>
        <xdr:cNvSpPr txBox="1"/>
      </xdr:nvSpPr>
      <xdr:spPr>
        <a:xfrm>
          <a:off x="285750" y="1739144"/>
          <a:ext cx="3318510" cy="4020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 b="0"/>
            <a:t>This was the </a:t>
          </a:r>
          <a:r>
            <a:rPr lang="en-IN" sz="1600" b="1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IN" sz="1600" b="0" baseline="0"/>
            <a:t> we drove in...</a:t>
          </a:r>
          <a:endParaRPr lang="en-IN" sz="1600" b="0"/>
        </a:p>
      </xdr:txBody>
    </xdr:sp>
    <xdr:clientData/>
  </xdr:twoCellAnchor>
  <xdr:twoCellAnchor editAs="absolute">
    <xdr:from>
      <xdr:col>0</xdr:col>
      <xdr:colOff>312421</xdr:colOff>
      <xdr:row>21</xdr:row>
      <xdr:rowOff>33953</xdr:rowOff>
    </xdr:from>
    <xdr:to>
      <xdr:col>3</xdr:col>
      <xdr:colOff>815947</xdr:colOff>
      <xdr:row>22</xdr:row>
      <xdr:rowOff>144781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4112507-4441-F562-79DD-492740AE8B2C}"/>
            </a:ext>
          </a:extLst>
        </xdr:cNvPr>
        <xdr:cNvSpPr txBox="1"/>
      </xdr:nvSpPr>
      <xdr:spPr>
        <a:xfrm>
          <a:off x="312421" y="4247813"/>
          <a:ext cx="3543906" cy="3394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 b="0"/>
            <a:t>...and</a:t>
          </a:r>
          <a:r>
            <a:rPr lang="en-IN" sz="1600" b="0" baseline="0"/>
            <a:t> the revenue trend in </a:t>
          </a:r>
          <a:r>
            <a:rPr lang="en-IN" sz="1600" b="1" baseline="0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IN" sz="1600" b="0" baseline="0"/>
            <a:t> vs </a:t>
          </a:r>
          <a:r>
            <a:rPr lang="en-IN" sz="1600" b="1" baseline="0">
              <a:solidFill>
                <a:schemeClr val="bg1">
                  <a:lumMod val="65000"/>
                </a:schemeClr>
              </a:solidFill>
            </a:rPr>
            <a:t>2020</a:t>
          </a:r>
          <a:endParaRPr lang="en-IN" sz="16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219920</xdr:colOff>
      <xdr:row>18</xdr:row>
      <xdr:rowOff>210182</xdr:rowOff>
    </xdr:from>
    <xdr:to>
      <xdr:col>2</xdr:col>
      <xdr:colOff>144140</xdr:colOff>
      <xdr:row>20</xdr:row>
      <xdr:rowOff>105807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4A0798-824A-BDD6-6BE2-7DD343914A55}"/>
            </a:ext>
          </a:extLst>
        </xdr:cNvPr>
        <xdr:cNvSpPr txBox="1"/>
      </xdr:nvSpPr>
      <xdr:spPr>
        <a:xfrm>
          <a:off x="661880" y="3829682"/>
          <a:ext cx="907200" cy="2613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0"/>
            <a:t>vs Last Month</a:t>
          </a:r>
          <a:endParaRPr lang="en-IN" sz="1050" b="0"/>
        </a:p>
      </xdr:txBody>
    </xdr:sp>
    <xdr:clientData/>
  </xdr:twoCellAnchor>
  <xdr:twoCellAnchor editAs="absolute">
    <xdr:from>
      <xdr:col>3</xdr:col>
      <xdr:colOff>1318260</xdr:colOff>
      <xdr:row>9</xdr:row>
      <xdr:rowOff>70364</xdr:rowOff>
    </xdr:from>
    <xdr:to>
      <xdr:col>10</xdr:col>
      <xdr:colOff>91440</xdr:colOff>
      <xdr:row>11</xdr:row>
      <xdr:rowOff>93224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FFAFE7C-47A8-E7A9-077A-ED8F070ECF27}"/>
            </a:ext>
          </a:extLst>
        </xdr:cNvPr>
        <xdr:cNvSpPr txBox="1"/>
      </xdr:nvSpPr>
      <xdr:spPr>
        <a:xfrm>
          <a:off x="4358640" y="1731524"/>
          <a:ext cx="4701540" cy="388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/>
            <a:t>This</a:t>
          </a:r>
          <a:r>
            <a:rPr lang="en-IN" sz="1600" b="0" baseline="0"/>
            <a:t> is how </a:t>
          </a:r>
          <a:r>
            <a:rPr lang="en-IN" sz="1600" b="1" baseline="0">
              <a:solidFill>
                <a:schemeClr val="accent1">
                  <a:lumMod val="75000"/>
                </a:schemeClr>
              </a:solidFill>
            </a:rPr>
            <a:t>our stores </a:t>
          </a:r>
          <a:r>
            <a:rPr lang="en-IN" sz="1600" b="0" baseline="0"/>
            <a:t>rank compared to </a:t>
          </a:r>
          <a:r>
            <a:rPr lang="en-IN" sz="1600" b="1" baseline="0">
              <a:solidFill>
                <a:schemeClr val="bg1">
                  <a:lumMod val="65000"/>
                </a:schemeClr>
              </a:solidFill>
            </a:rPr>
            <a:t>other regions</a:t>
          </a:r>
          <a:endParaRPr lang="en-IN" sz="16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absolute">
    <xdr:from>
      <xdr:col>14</xdr:col>
      <xdr:colOff>114300</xdr:colOff>
      <xdr:row>9</xdr:row>
      <xdr:rowOff>47504</xdr:rowOff>
    </xdr:from>
    <xdr:to>
      <xdr:col>17</xdr:col>
      <xdr:colOff>1528631</xdr:colOff>
      <xdr:row>11</xdr:row>
      <xdr:rowOff>116084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41C14C-9139-ABFA-6AA4-27D936662345}"/>
            </a:ext>
          </a:extLst>
        </xdr:cNvPr>
        <xdr:cNvSpPr txBox="1"/>
      </xdr:nvSpPr>
      <xdr:spPr>
        <a:xfrm>
          <a:off x="10180320" y="1708664"/>
          <a:ext cx="3700331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600" b="0"/>
            <a:t>Where these</a:t>
          </a:r>
          <a:r>
            <a:rPr lang="en-IN" sz="1600" b="0" baseline="0"/>
            <a:t> products </a:t>
          </a:r>
          <a:r>
            <a:rPr lang="en-IN" sz="1600" b="1" baseline="0">
              <a:solidFill>
                <a:schemeClr val="accent6"/>
              </a:solidFill>
            </a:rPr>
            <a:t>drove growth...</a:t>
          </a:r>
          <a:endParaRPr lang="en-IN" sz="1600" b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14</xdr:col>
      <xdr:colOff>152400</xdr:colOff>
      <xdr:row>20</xdr:row>
      <xdr:rowOff>203233</xdr:rowOff>
    </xdr:from>
    <xdr:to>
      <xdr:col>17</xdr:col>
      <xdr:colOff>1524580</xdr:colOff>
      <xdr:row>22</xdr:row>
      <xdr:rowOff>137160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38A788-60E4-3A24-6E86-034928D32E58}"/>
            </a:ext>
          </a:extLst>
        </xdr:cNvPr>
        <xdr:cNvSpPr txBox="1"/>
      </xdr:nvSpPr>
      <xdr:spPr>
        <a:xfrm>
          <a:off x="10218420" y="4188493"/>
          <a:ext cx="3658180" cy="3911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600" b="0"/>
            <a:t>...and these</a:t>
          </a:r>
          <a:r>
            <a:rPr lang="en-IN" sz="1600" b="0" baseline="0"/>
            <a:t> products </a:t>
          </a:r>
          <a:r>
            <a:rPr lang="en-IN" sz="1600" b="1" i="0" baseline="0">
              <a:solidFill>
                <a:srgbClr val="FF6565"/>
              </a:solidFill>
            </a:rPr>
            <a:t>caused losses</a:t>
          </a:r>
          <a:endParaRPr lang="en-IN" sz="1600" b="1" i="0">
            <a:solidFill>
              <a:srgbClr val="FF6565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68580</xdr:colOff>
          <xdr:row>16</xdr:row>
          <xdr:rowOff>106078</xdr:rowOff>
        </xdr:from>
        <xdr:to>
          <xdr:col>2</xdr:col>
          <xdr:colOff>402161</xdr:colOff>
          <xdr:row>18</xdr:row>
          <xdr:rowOff>76247</xdr:rowOff>
        </xdr:to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08485CA0-2A43-4E4E-ADA9-59703933930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6" spid="_x0000_s573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10540" y="3268378"/>
              <a:ext cx="1316561" cy="42736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0</xdr:col>
      <xdr:colOff>350520</xdr:colOff>
      <xdr:row>11</xdr:row>
      <xdr:rowOff>175260</xdr:rowOff>
    </xdr:from>
    <xdr:to>
      <xdr:col>3</xdr:col>
      <xdr:colOff>533400</xdr:colOff>
      <xdr:row>15</xdr:row>
      <xdr:rowOff>160020</xdr:rowOff>
    </xdr:to>
    <xdr:sp macro="" textlink="'Data Prep'!$E$2">
      <xdr:nvSpPr>
        <xdr:cNvPr id="38" name="TextBox 37">
          <a:extLst>
            <a:ext uri="{FF2B5EF4-FFF2-40B4-BE49-F238E27FC236}">
              <a16:creationId xmlns:a16="http://schemas.microsoft.com/office/drawing/2014/main" id="{B63525D5-18A1-4150-99CB-E771B67625E3}"/>
            </a:ext>
          </a:extLst>
        </xdr:cNvPr>
        <xdr:cNvSpPr txBox="1"/>
      </xdr:nvSpPr>
      <xdr:spPr>
        <a:xfrm>
          <a:off x="350520" y="2202180"/>
          <a:ext cx="3223260" cy="891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02DD120-7F93-4F47-A5C7-49A600B07BBF}" type="TxLink">
            <a:rPr lang="en-US" sz="60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 algn="ctr"/>
            <a:t>$69,038</a:t>
          </a:fld>
          <a:endParaRPr lang="en-IN" sz="166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655320</xdr:colOff>
      <xdr:row>18</xdr:row>
      <xdr:rowOff>210032</xdr:rowOff>
    </xdr:from>
    <xdr:to>
      <xdr:col>2</xdr:col>
      <xdr:colOff>1562100</xdr:colOff>
      <xdr:row>20</xdr:row>
      <xdr:rowOff>105957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0150650-832F-1BDD-A528-E148311E1197}"/>
            </a:ext>
          </a:extLst>
        </xdr:cNvPr>
        <xdr:cNvSpPr txBox="1"/>
      </xdr:nvSpPr>
      <xdr:spPr>
        <a:xfrm>
          <a:off x="2080260" y="3829532"/>
          <a:ext cx="906780" cy="2616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0"/>
            <a:t>vs Last Year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457201</xdr:colOff>
          <xdr:row>16</xdr:row>
          <xdr:rowOff>96271</xdr:rowOff>
        </xdr:from>
        <xdr:to>
          <xdr:col>3</xdr:col>
          <xdr:colOff>144780</xdr:colOff>
          <xdr:row>18</xdr:row>
          <xdr:rowOff>69869</xdr:rowOff>
        </xdr:to>
        <xdr:pic>
          <xdr:nvPicPr>
            <xdr:cNvPr id="45" name="Picture 44">
              <a:extLst>
                <a:ext uri="{FF2B5EF4-FFF2-40B4-BE49-F238E27FC236}">
                  <a16:creationId xmlns:a16="http://schemas.microsoft.com/office/drawing/2014/main" id="{39077994-44FC-EE2C-6CD1-8CEE8925728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5" spid="_x0000_s573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882141" y="3258571"/>
              <a:ext cx="1303019" cy="43079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1</xdr:col>
      <xdr:colOff>88302</xdr:colOff>
      <xdr:row>16</xdr:row>
      <xdr:rowOff>36937</xdr:rowOff>
    </xdr:from>
    <xdr:to>
      <xdr:col>3</xdr:col>
      <xdr:colOff>233082</xdr:colOff>
      <xdr:row>16</xdr:row>
      <xdr:rowOff>36937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A6A3E759-4331-BE92-7FA0-B06FECE33C10}"/>
            </a:ext>
          </a:extLst>
        </xdr:cNvPr>
        <xdr:cNvCxnSpPr/>
      </xdr:nvCxnSpPr>
      <xdr:spPr>
        <a:xfrm>
          <a:off x="527573" y="3183549"/>
          <a:ext cx="275082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461682</xdr:colOff>
      <xdr:row>16</xdr:row>
      <xdr:rowOff>36937</xdr:rowOff>
    </xdr:from>
    <xdr:to>
      <xdr:col>2</xdr:col>
      <xdr:colOff>475537</xdr:colOff>
      <xdr:row>20</xdr:row>
      <xdr:rowOff>45426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338B374-1B6C-FAB3-FDF3-55674D90A2AB}"/>
            </a:ext>
          </a:extLst>
        </xdr:cNvPr>
        <xdr:cNvCxnSpPr/>
      </xdr:nvCxnSpPr>
      <xdr:spPr>
        <a:xfrm>
          <a:off x="1887070" y="3183549"/>
          <a:ext cx="13855" cy="84220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396240</xdr:colOff>
      <xdr:row>22</xdr:row>
      <xdr:rowOff>227057</xdr:rowOff>
    </xdr:from>
    <xdr:to>
      <xdr:col>3</xdr:col>
      <xdr:colOff>449580</xdr:colOff>
      <xdr:row>32</xdr:row>
      <xdr:rowOff>172270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AD30DD9C-66D0-4170-9230-4CDCA356B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7</xdr:col>
      <xdr:colOff>106680</xdr:colOff>
      <xdr:row>12</xdr:row>
      <xdr:rowOff>38548</xdr:rowOff>
    </xdr:from>
    <xdr:to>
      <xdr:col>12</xdr:col>
      <xdr:colOff>0</xdr:colOff>
      <xdr:row>32</xdr:row>
      <xdr:rowOff>89648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1BF1D6B6-3599-4E99-843B-BF0BC033F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53340</xdr:colOff>
      <xdr:row>1</xdr:row>
      <xdr:rowOff>144780</xdr:rowOff>
    </xdr:from>
    <xdr:to>
      <xdr:col>18</xdr:col>
      <xdr:colOff>41358</xdr:colOff>
      <xdr:row>6</xdr:row>
      <xdr:rowOff>489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4A55D59-5ADC-B591-7D69-7B4DAE1FC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266700"/>
          <a:ext cx="2426418" cy="9266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36D32-2764-4886-A5B1-3D6411F929B9}" name="Data" displayName="Data" ref="A1:J4266" totalsRowShown="0" headerRowDxfId="3">
  <autoFilter ref="A1:J4266" xr:uid="{7C536D32-2764-4886-A5B1-3D6411F929B9}"/>
  <tableColumns count="10">
    <tableColumn id="1" xr3:uid="{A17419A2-F20D-4665-87AF-133C3CBD5336}" name="Year"/>
    <tableColumn id="2" xr3:uid="{B46A8FF2-B867-46A5-B418-F5BE5BDF03BA}" name="Month"/>
    <tableColumn id="3" xr3:uid="{4F69C429-5C5E-4EC0-BE80-333B9E6961E0}" name="Store Name"/>
    <tableColumn id="4" xr3:uid="{427289A8-C26B-4DDE-B5F3-52D726A7C1C8}" name="Region"/>
    <tableColumn id="5" xr3:uid="{A8521E22-0F53-476B-9C98-E816EE6412BE}" name="Store Type"/>
    <tableColumn id="6" xr3:uid="{193FDCCB-F9E7-4E25-B042-FBCF9229A8A4}" name="Product Name"/>
    <tableColumn id="7" xr3:uid="{83361D8E-083B-4626-8007-449B42FB24D7}" name="Product Category"/>
    <tableColumn id="8" xr3:uid="{D3B23750-0179-448B-A82C-6934DBEBD2FC}" name="Units Sold"/>
    <tableColumn id="9" xr3:uid="{2380DC04-D39D-4930-A25E-5768176867E5}" name="Revenue" dataDxfId="2"/>
    <tableColumn id="10" xr3:uid="{85809665-4863-420B-82E3-DCBA8A26DFC2}" name="Profi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6CE3E55-3EF1-4974-B4DF-ED81F16842D0}">
  <we:reference id="wa200007447" version="1.0.0.0" store="en-US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_xldudf_BOARDFLARE_PY</we:customFunctionIds>
        <we:customFunctionIds>_xldudf_BOARDFLARE_PY_ARR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topLeftCell="A3967" zoomScaleNormal="100" workbookViewId="0">
      <selection activeCell="F2" sqref="F2:F4266"/>
    </sheetView>
  </sheetViews>
  <sheetFormatPr defaultRowHeight="14.4" x14ac:dyDescent="0.3"/>
  <cols>
    <col min="1" max="1" width="7.109375" customWidth="1"/>
    <col min="2" max="2" width="9.109375" customWidth="1"/>
    <col min="3" max="3" width="14.33203125" customWidth="1"/>
    <col min="4" max="4" width="15" customWidth="1"/>
    <col min="5" max="5" width="16.33203125" customWidth="1"/>
    <col min="6" max="6" width="20.44140625" bestFit="1" customWidth="1"/>
    <col min="7" max="7" width="18.88671875" customWidth="1"/>
    <col min="8" max="8" width="12.109375" customWidth="1"/>
    <col min="9" max="9" width="11" customWidth="1"/>
    <col min="12" max="13" width="11.44140625" bestFit="1" customWidth="1"/>
    <col min="16" max="16" width="15.44140625" bestFit="1" customWidth="1"/>
    <col min="18" max="18" width="18.33203125" bestFit="1" customWidth="1"/>
    <col min="27" max="27" width="14.33203125" customWidth="1"/>
    <col min="28" max="28" width="11.44140625" customWidth="1"/>
    <col min="32" max="33" width="14.33203125" customWidth="1"/>
    <col min="34" max="34" width="11.44140625" customWidth="1"/>
    <col min="37" max="37" width="12.33203125" bestFit="1" customWidth="1"/>
    <col min="38" max="38" width="17.6640625" bestFit="1" customWidth="1"/>
    <col min="48" max="49" width="14.33203125" customWidth="1"/>
    <col min="50" max="50" width="17.44140625" bestFit="1" customWidth="1"/>
    <col min="51" max="51" width="11.44140625" customWidth="1"/>
  </cols>
  <sheetData>
    <row r="1" spans="1:51" x14ac:dyDescent="0.3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3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>_xlfn.XLOOKUP(AW3,C:C,D:D)</f>
        <v>Los Angeles</v>
      </c>
      <c r="AW3" t="s">
        <v>56</v>
      </c>
      <c r="AX3" t="s">
        <v>14</v>
      </c>
      <c r="AY3" s="3">
        <f>SUMIFS(I:I,D:D,_xlfn.SINGLE(Region),C:C,AW3,G:G,AX3,A:A,_xlfn.SINGLE(CurYear),B:B,_xlfn.SINGLE(CurMonth))</f>
        <v>0</v>
      </c>
    </row>
    <row r="4" spans="1:51" x14ac:dyDescent="0.3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>_xlfn.XLOOKUP(AW4,C:C,D:D)</f>
        <v>Los Angeles</v>
      </c>
      <c r="AW4" t="s">
        <v>56</v>
      </c>
      <c r="AX4" t="s">
        <v>9</v>
      </c>
      <c r="AY4" s="3">
        <f>SUMIFS(I:I,D:D,_xlfn.SINGLE(Region),C:C,AW4,G:G,AX4,A:A,_xlfn.SINGLE(CurYear),B:B,_xlfn.SINGLE(CurMonth))</f>
        <v>0</v>
      </c>
    </row>
    <row r="5" spans="1:51" x14ac:dyDescent="0.3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>_xlfn.XLOOKUP(AW5,C:C,D:D)</f>
        <v>Los Angeles</v>
      </c>
      <c r="AW5" t="s">
        <v>56</v>
      </c>
      <c r="AX5" t="s">
        <v>21</v>
      </c>
      <c r="AY5" s="3">
        <f>SUMIFS(I:I,D:D,_xlfn.SINGLE(Region),C:C,AW5,G:G,AX5,A:A,_xlfn.SINGLE(CurYear),B:B,_xlfn.SINGLE(CurMonth))</f>
        <v>0</v>
      </c>
    </row>
    <row r="6" spans="1:51" x14ac:dyDescent="0.3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>_xlfn.XLOOKUP(AW6,C:C,D:D)</f>
        <v>Los Angeles</v>
      </c>
      <c r="AW6" t="s">
        <v>56</v>
      </c>
      <c r="AX6" t="s">
        <v>7</v>
      </c>
      <c r="AY6" s="3">
        <f>SUMIFS(I:I,D:D,_xlfn.SINGLE(Region),C:C,AW6,G:G,AX6,A:A,_xlfn.SINGLE(CurYear),B:B,_xlfn.SINGLE(CurMonth))</f>
        <v>0</v>
      </c>
    </row>
    <row r="7" spans="1:51" x14ac:dyDescent="0.3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>_xlfn.XLOOKUP(AW7,C:C,D:D)</f>
        <v>Los Angeles</v>
      </c>
      <c r="AW7" t="s">
        <v>56</v>
      </c>
      <c r="AX7" t="s">
        <v>12</v>
      </c>
      <c r="AY7" s="3">
        <f>SUMIFS(I:I,D:D,_xlfn.SINGLE(Region),C:C,AW7,G:G,AX7,A:A,_xlfn.SINGLE(CurYear),B:B,_xlfn.SINGLE(CurMonth))</f>
        <v>0</v>
      </c>
    </row>
    <row r="8" spans="1:51" x14ac:dyDescent="0.3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>_xlfn.XLOOKUP(AW8,C:C,D:D)</f>
        <v>New York</v>
      </c>
      <c r="AW8" t="s">
        <v>58</v>
      </c>
      <c r="AX8" t="s">
        <v>14</v>
      </c>
      <c r="AY8" s="3">
        <f>SUMIFS(I:I,D:D,_xlfn.SINGLE(Region),C:C,AW8,G:G,AX8,A:A,_xlfn.SINGLE(CurYear),B:B,_xlfn.SINGLE(CurMonth))</f>
        <v>7200.6699999999992</v>
      </c>
    </row>
    <row r="9" spans="1:51" x14ac:dyDescent="0.3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>_xlfn.XLOOKUP(AW9,C:C,D:D)</f>
        <v>New York</v>
      </c>
      <c r="AW9" t="s">
        <v>58</v>
      </c>
      <c r="AX9" t="s">
        <v>9</v>
      </c>
      <c r="AY9" s="3">
        <f>SUMIFS(I:I,D:D,_xlfn.SINGLE(Region),C:C,AW9,G:G,AX9,A:A,_xlfn.SINGLE(CurYear),B:B,_xlfn.SINGLE(CurMonth))</f>
        <v>2147</v>
      </c>
    </row>
    <row r="10" spans="1:51" x14ac:dyDescent="0.3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>_xlfn.XLOOKUP(AW10,C:C,D:D)</f>
        <v>New York</v>
      </c>
      <c r="AW10" t="s">
        <v>58</v>
      </c>
      <c r="AX10" t="s">
        <v>21</v>
      </c>
      <c r="AY10" s="3">
        <f>SUMIFS(I:I,D:D,_xlfn.SINGLE(Region),C:C,AW10,G:G,AX10,A:A,_xlfn.SINGLE(CurYear),B:B,_xlfn.SINGLE(CurMonth))</f>
        <v>2603.58</v>
      </c>
    </row>
    <row r="11" spans="1:51" x14ac:dyDescent="0.3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>_xlfn.XLOOKUP(AW11,C:C,D:D)</f>
        <v>New York</v>
      </c>
      <c r="AW11" t="s">
        <v>58</v>
      </c>
      <c r="AX11" t="s">
        <v>7</v>
      </c>
      <c r="AY11" s="3">
        <f>SUMIFS(I:I,D:D,_xlfn.SINGLE(Region),C:C,AW11,G:G,AX11,A:A,_xlfn.SINGLE(CurYear),B:B,_xlfn.SINGLE(CurMonth))</f>
        <v>3290.2700000000004</v>
      </c>
    </row>
    <row r="12" spans="1:51" x14ac:dyDescent="0.3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>_xlfn.XLOOKUP(AW12,C:C,D:D)</f>
        <v>New York</v>
      </c>
      <c r="AW12" t="s">
        <v>58</v>
      </c>
      <c r="AX12" t="s">
        <v>12</v>
      </c>
      <c r="AY12" s="3">
        <f>SUMIFS(I:I,D:D,_xlfn.SINGLE(Region),C:C,AW12,G:G,AX12,A:A,_xlfn.SINGLE(CurYear),B:B,_xlfn.SINGLE(CurMonth))</f>
        <v>6911.19</v>
      </c>
    </row>
    <row r="13" spans="1:51" x14ac:dyDescent="0.3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>_xlfn.XLOOKUP(AW13,C:C,D:D)</f>
        <v>Los Angeles</v>
      </c>
      <c r="AW13" t="s">
        <v>59</v>
      </c>
      <c r="AX13" t="s">
        <v>14</v>
      </c>
      <c r="AY13" s="3">
        <f>SUMIFS(I:I,D:D,_xlfn.SINGLE(Region),C:C,AW13,G:G,AX13,A:A,_xlfn.SINGLE(CurYear),B:B,_xlfn.SINGLE(CurMonth))</f>
        <v>0</v>
      </c>
    </row>
    <row r="14" spans="1:51" x14ac:dyDescent="0.3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>_xlfn.XLOOKUP(AW14,C:C,D:D)</f>
        <v>Los Angeles</v>
      </c>
      <c r="AW14" t="s">
        <v>59</v>
      </c>
      <c r="AX14" t="s">
        <v>9</v>
      </c>
      <c r="AY14" s="3">
        <f>SUMIFS(I:I,D:D,_xlfn.SINGLE(Region),C:C,AW14,G:G,AX14,A:A,_xlfn.SINGLE(CurYear),B:B,_xlfn.SINGLE(CurMonth))</f>
        <v>0</v>
      </c>
    </row>
    <row r="15" spans="1:51" x14ac:dyDescent="0.3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>_xlfn.XLOOKUP(AW15,C:C,D:D)</f>
        <v>Los Angeles</v>
      </c>
      <c r="AW15" t="s">
        <v>59</v>
      </c>
      <c r="AX15" t="s">
        <v>21</v>
      </c>
      <c r="AY15" s="3">
        <f>SUMIFS(I:I,D:D,_xlfn.SINGLE(Region),C:C,AW15,G:G,AX15,A:A,_xlfn.SINGLE(CurYear),B:B,_xlfn.SINGLE(CurMonth))</f>
        <v>0</v>
      </c>
    </row>
    <row r="16" spans="1:51" x14ac:dyDescent="0.3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>_xlfn.XLOOKUP(AW16,C:C,D:D)</f>
        <v>Los Angeles</v>
      </c>
      <c r="AW16" t="s">
        <v>59</v>
      </c>
      <c r="AX16" t="s">
        <v>7</v>
      </c>
      <c r="AY16" s="3">
        <f>SUMIFS(I:I,D:D,_xlfn.SINGLE(Region),C:C,AW16,G:G,AX16,A:A,_xlfn.SINGLE(CurYear),B:B,_xlfn.SINGLE(CurMonth))</f>
        <v>0</v>
      </c>
    </row>
    <row r="17" spans="1:51" x14ac:dyDescent="0.3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>_xlfn.XLOOKUP(AW17,C:C,D:D)</f>
        <v>Los Angeles</v>
      </c>
      <c r="AW17" t="s">
        <v>59</v>
      </c>
      <c r="AX17" t="s">
        <v>12</v>
      </c>
      <c r="AY17" s="3">
        <f>SUMIFS(I:I,D:D,_xlfn.SINGLE(Region),C:C,AW17,G:G,AX17,A:A,_xlfn.SINGLE(CurYear),B:B,_xlfn.SINGLE(CurMonth))</f>
        <v>0</v>
      </c>
    </row>
    <row r="18" spans="1:51" x14ac:dyDescent="0.3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>_xlfn.XLOOKUP(AW18,C:C,D:D)</f>
        <v>New York</v>
      </c>
      <c r="AW18" t="s">
        <v>60</v>
      </c>
      <c r="AX18" t="s">
        <v>14</v>
      </c>
      <c r="AY18" s="3">
        <f>SUMIFS(I:I,D:D,_xlfn.SINGLE(Region),C:C,AW18,G:G,AX18,A:A,_xlfn.SINGLE(CurYear),B:B,_xlfn.SINGLE(CurMonth))</f>
        <v>7587.32</v>
      </c>
    </row>
    <row r="19" spans="1:51" x14ac:dyDescent="0.3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>_xlfn.XLOOKUP(AW19,C:C,D:D)</f>
        <v>New York</v>
      </c>
      <c r="AW19" t="s">
        <v>60</v>
      </c>
      <c r="AX19" t="s">
        <v>9</v>
      </c>
      <c r="AY19" s="3">
        <f>SUMIFS(I:I,D:D,_xlfn.SINGLE(Region),C:C,AW19,G:G,AX19,A:A,_xlfn.SINGLE(CurYear),B:B,_xlfn.SINGLE(CurMonth))</f>
        <v>5436.95</v>
      </c>
    </row>
    <row r="20" spans="1:51" x14ac:dyDescent="0.3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>_xlfn.XLOOKUP(AW20,C:C,D:D)</f>
        <v>New York</v>
      </c>
      <c r="AW20" t="s">
        <v>60</v>
      </c>
      <c r="AX20" t="s">
        <v>21</v>
      </c>
      <c r="AY20" s="3">
        <f>SUMIFS(I:I,D:D,_xlfn.SINGLE(Region),C:C,AW20,G:G,AX20,A:A,_xlfn.SINGLE(CurYear),B:B,_xlfn.SINGLE(CurMonth))</f>
        <v>2788.55</v>
      </c>
    </row>
    <row r="21" spans="1:51" x14ac:dyDescent="0.3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>_xlfn.XLOOKUP(AW21,C:C,D:D)</f>
        <v>New York</v>
      </c>
      <c r="AW21" t="s">
        <v>60</v>
      </c>
      <c r="AX21" t="s">
        <v>7</v>
      </c>
      <c r="AY21" s="3">
        <f>SUMIFS(I:I,D:D,_xlfn.SINGLE(Region),C:C,AW21,G:G,AX21,A:A,_xlfn.SINGLE(CurYear),B:B,_xlfn.SINGLE(CurMonth))</f>
        <v>3920.25</v>
      </c>
    </row>
    <row r="22" spans="1:51" x14ac:dyDescent="0.3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>_xlfn.XLOOKUP(AW22,C:C,D:D)</f>
        <v>New York</v>
      </c>
      <c r="AW22" t="s">
        <v>60</v>
      </c>
      <c r="AX22" t="s">
        <v>12</v>
      </c>
      <c r="AY22" s="3">
        <f>SUMIFS(I:I,D:D,_xlfn.SINGLE(Region),C:C,AW22,G:G,AX22,A:A,_xlfn.SINGLE(CurYear),B:B,_xlfn.SINGLE(CurMonth))</f>
        <v>4334.96</v>
      </c>
    </row>
    <row r="23" spans="1:51" x14ac:dyDescent="0.3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>_xlfn.XLOOKUP(AW23,C:C,D:D)</f>
        <v>Los Angeles</v>
      </c>
      <c r="AW23" t="s">
        <v>61</v>
      </c>
      <c r="AX23" t="s">
        <v>14</v>
      </c>
      <c r="AY23" s="3">
        <f>SUMIFS(I:I,D:D,_xlfn.SINGLE(Region),C:C,AW23,G:G,AX23,A:A,_xlfn.SINGLE(CurYear),B:B,_xlfn.SINGLE(CurMonth))</f>
        <v>0</v>
      </c>
    </row>
    <row r="24" spans="1:51" x14ac:dyDescent="0.3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>_xlfn.XLOOKUP(AW24,C:C,D:D)</f>
        <v>Los Angeles</v>
      </c>
      <c r="AW24" t="s">
        <v>61</v>
      </c>
      <c r="AX24" t="s">
        <v>9</v>
      </c>
      <c r="AY24" s="3">
        <f>SUMIFS(I:I,D:D,_xlfn.SINGLE(Region),C:C,AW24,G:G,AX24,A:A,_xlfn.SINGLE(CurYear),B:B,_xlfn.SINGLE(CurMonth))</f>
        <v>0</v>
      </c>
    </row>
    <row r="25" spans="1:51" x14ac:dyDescent="0.3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>_xlfn.XLOOKUP(AW25,C:C,D:D)</f>
        <v>Los Angeles</v>
      </c>
      <c r="AW25" t="s">
        <v>61</v>
      </c>
      <c r="AX25" t="s">
        <v>21</v>
      </c>
      <c r="AY25" s="3">
        <f>SUMIFS(I:I,D:D,_xlfn.SINGLE(Region),C:C,AW25,G:G,AX25,A:A,_xlfn.SINGLE(CurYear),B:B,_xlfn.SINGLE(CurMonth))</f>
        <v>0</v>
      </c>
    </row>
    <row r="26" spans="1:51" x14ac:dyDescent="0.3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>_xlfn.XLOOKUP(AW26,C:C,D:D)</f>
        <v>Los Angeles</v>
      </c>
      <c r="AW26" t="s">
        <v>61</v>
      </c>
      <c r="AX26" t="s">
        <v>7</v>
      </c>
      <c r="AY26" s="3">
        <f>SUMIFS(I:I,D:D,_xlfn.SINGLE(Region),C:C,AW26,G:G,AX26,A:A,_xlfn.SINGLE(CurYear),B:B,_xlfn.SINGLE(CurMonth))</f>
        <v>0</v>
      </c>
    </row>
    <row r="27" spans="1:51" x14ac:dyDescent="0.3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>_xlfn.XLOOKUP(AW27,C:C,D:D)</f>
        <v>Los Angeles</v>
      </c>
      <c r="AW27" t="s">
        <v>61</v>
      </c>
      <c r="AX27" t="s">
        <v>12</v>
      </c>
      <c r="AY27" s="3">
        <f>SUMIFS(I:I,D:D,_xlfn.SINGLE(Region),C:C,AW27,G:G,AX27,A:A,_xlfn.SINGLE(CurYear),B:B,_xlfn.SINGLE(CurMonth))</f>
        <v>0</v>
      </c>
    </row>
    <row r="28" spans="1:51" x14ac:dyDescent="0.3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>_xlfn.XLOOKUP(AW28,C:C,D:D)</f>
        <v>Chicago</v>
      </c>
      <c r="AW28" t="s">
        <v>53</v>
      </c>
      <c r="AX28" t="s">
        <v>14</v>
      </c>
      <c r="AY28" s="3">
        <f>SUMIFS(I:I,D:D,_xlfn.SINGLE(Region),C:C,AW28,G:G,AX28,A:A,_xlfn.SINGLE(CurYear),B:B,_xlfn.SINGLE(CurMonth))</f>
        <v>0</v>
      </c>
    </row>
    <row r="29" spans="1:51" x14ac:dyDescent="0.3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>_xlfn.XLOOKUP(AW29,C:C,D:D)</f>
        <v>Chicago</v>
      </c>
      <c r="AW29" t="s">
        <v>53</v>
      </c>
      <c r="AX29" t="s">
        <v>9</v>
      </c>
      <c r="AY29" s="3">
        <f>SUMIFS(I:I,D:D,_xlfn.SINGLE(Region),C:C,AW29,G:G,AX29,A:A,_xlfn.SINGLE(CurYear),B:B,_xlfn.SINGLE(CurMonth))</f>
        <v>0</v>
      </c>
    </row>
    <row r="30" spans="1:51" x14ac:dyDescent="0.3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>_xlfn.XLOOKUP(AW30,C:C,D:D)</f>
        <v>Chicago</v>
      </c>
      <c r="AW30" t="s">
        <v>53</v>
      </c>
      <c r="AX30" t="s">
        <v>21</v>
      </c>
      <c r="AY30" s="3">
        <f>SUMIFS(I:I,D:D,_xlfn.SINGLE(Region),C:C,AW30,G:G,AX30,A:A,_xlfn.SINGLE(CurYear),B:B,_xlfn.SINGLE(CurMonth))</f>
        <v>0</v>
      </c>
    </row>
    <row r="31" spans="1:51" x14ac:dyDescent="0.3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>_xlfn.XLOOKUP(AW31,C:C,D:D)</f>
        <v>Chicago</v>
      </c>
      <c r="AW31" t="s">
        <v>53</v>
      </c>
      <c r="AX31" t="s">
        <v>7</v>
      </c>
      <c r="AY31" s="3">
        <f>SUMIFS(I:I,D:D,_xlfn.SINGLE(Region),C:C,AW31,G:G,AX31,A:A,_xlfn.SINGLE(CurYear),B:B,_xlfn.SINGLE(CurMonth))</f>
        <v>0</v>
      </c>
    </row>
    <row r="32" spans="1:51" x14ac:dyDescent="0.3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>_xlfn.XLOOKUP(AW32,C:C,D:D)</f>
        <v>Chicago</v>
      </c>
      <c r="AW32" t="s">
        <v>53</v>
      </c>
      <c r="AX32" t="s">
        <v>12</v>
      </c>
      <c r="AY32" s="3">
        <f>SUMIFS(I:I,D:D,_xlfn.SINGLE(Region),C:C,AW32,G:G,AX32,A:A,_xlfn.SINGLE(CurYear),B:B,_xlfn.SINGLE(CurMonth))</f>
        <v>0</v>
      </c>
    </row>
    <row r="33" spans="1:51" x14ac:dyDescent="0.3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>_xlfn.XLOOKUP(AW33,C:C,D:D)</f>
        <v>Chicago</v>
      </c>
      <c r="AW33" t="s">
        <v>54</v>
      </c>
      <c r="AX33" t="s">
        <v>14</v>
      </c>
      <c r="AY33" s="3">
        <f>SUMIFS(I:I,D:D,_xlfn.SINGLE(Region),C:C,AW33,G:G,AX33,A:A,_xlfn.SINGLE(CurYear),B:B,_xlfn.SINGLE(CurMonth))</f>
        <v>0</v>
      </c>
    </row>
    <row r="34" spans="1:51" x14ac:dyDescent="0.3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>_xlfn.XLOOKUP(AW34,C:C,D:D)</f>
        <v>Chicago</v>
      </c>
      <c r="AW34" t="s">
        <v>54</v>
      </c>
      <c r="AX34" t="s">
        <v>9</v>
      </c>
      <c r="AY34" s="3">
        <f>SUMIFS(I:I,D:D,_xlfn.SINGLE(Region),C:C,AW34,G:G,AX34,A:A,_xlfn.SINGLE(CurYear),B:B,_xlfn.SINGLE(CurMonth))</f>
        <v>0</v>
      </c>
    </row>
    <row r="35" spans="1:51" x14ac:dyDescent="0.3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>_xlfn.XLOOKUP(AW35,C:C,D:D)</f>
        <v>Chicago</v>
      </c>
      <c r="AW35" t="s">
        <v>54</v>
      </c>
      <c r="AX35" t="s">
        <v>21</v>
      </c>
      <c r="AY35" s="3">
        <f>SUMIFS(I:I,D:D,_xlfn.SINGLE(Region),C:C,AW35,G:G,AX35,A:A,_xlfn.SINGLE(CurYear),B:B,_xlfn.SINGLE(CurMonth))</f>
        <v>0</v>
      </c>
    </row>
    <row r="36" spans="1:51" x14ac:dyDescent="0.3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>_xlfn.XLOOKUP(AW36,C:C,D:D)</f>
        <v>Chicago</v>
      </c>
      <c r="AW36" t="s">
        <v>54</v>
      </c>
      <c r="AX36" t="s">
        <v>7</v>
      </c>
      <c r="AY36" s="3">
        <f>SUMIFS(I:I,D:D,_xlfn.SINGLE(Region),C:C,AW36,G:G,AX36,A:A,_xlfn.SINGLE(CurYear),B:B,_xlfn.SINGLE(CurMonth))</f>
        <v>0</v>
      </c>
    </row>
    <row r="37" spans="1:51" x14ac:dyDescent="0.3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>_xlfn.XLOOKUP(AW37,C:C,D:D)</f>
        <v>Chicago</v>
      </c>
      <c r="AW37" t="s">
        <v>54</v>
      </c>
      <c r="AX37" t="s">
        <v>12</v>
      </c>
      <c r="AY37" s="3">
        <f>SUMIFS(I:I,D:D,_xlfn.SINGLE(Region),C:C,AW37,G:G,AX37,A:A,_xlfn.SINGLE(CurYear),B:B,_xlfn.SINGLE(CurMonth))</f>
        <v>0</v>
      </c>
    </row>
    <row r="38" spans="1:51" x14ac:dyDescent="0.3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>_xlfn.XLOOKUP(AW38,C:C,D:D)</f>
        <v>Chicago</v>
      </c>
      <c r="AW38" t="s">
        <v>55</v>
      </c>
      <c r="AX38" t="s">
        <v>14</v>
      </c>
      <c r="AY38" s="3">
        <f>SUMIFS(I:I,D:D,_xlfn.SINGLE(Region),C:C,AW38,G:G,AX38,A:A,_xlfn.SINGLE(CurYear),B:B,_xlfn.SINGLE(CurMonth))</f>
        <v>0</v>
      </c>
    </row>
    <row r="39" spans="1:51" x14ac:dyDescent="0.3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>_xlfn.XLOOKUP(AW39,C:C,D:D)</f>
        <v>Chicago</v>
      </c>
      <c r="AW39" t="s">
        <v>55</v>
      </c>
      <c r="AX39" t="s">
        <v>9</v>
      </c>
      <c r="AY39" s="3">
        <f>SUMIFS(I:I,D:D,_xlfn.SINGLE(Region),C:C,AW39,G:G,AX39,A:A,_xlfn.SINGLE(CurYear),B:B,_xlfn.SINGLE(CurMonth))</f>
        <v>0</v>
      </c>
    </row>
    <row r="40" spans="1:51" x14ac:dyDescent="0.3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>_xlfn.XLOOKUP(AW40,C:C,D:D)</f>
        <v>Chicago</v>
      </c>
      <c r="AW40" t="s">
        <v>55</v>
      </c>
      <c r="AX40" t="s">
        <v>21</v>
      </c>
      <c r="AY40" s="3">
        <f>SUMIFS(I:I,D:D,_xlfn.SINGLE(Region),C:C,AW40,G:G,AX40,A:A,_xlfn.SINGLE(CurYear),B:B,_xlfn.SINGLE(CurMonth))</f>
        <v>0</v>
      </c>
    </row>
    <row r="41" spans="1:51" x14ac:dyDescent="0.3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>_xlfn.XLOOKUP(AW41,C:C,D:D)</f>
        <v>Chicago</v>
      </c>
      <c r="AW41" t="s">
        <v>55</v>
      </c>
      <c r="AX41" t="s">
        <v>7</v>
      </c>
      <c r="AY41" s="3">
        <f>SUMIFS(I:I,D:D,_xlfn.SINGLE(Region),C:C,AW41,G:G,AX41,A:A,_xlfn.SINGLE(CurYear),B:B,_xlfn.SINGLE(CurMonth))</f>
        <v>0</v>
      </c>
    </row>
    <row r="42" spans="1:51" x14ac:dyDescent="0.3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>_xlfn.XLOOKUP(AW42,C:C,D:D)</f>
        <v>Chicago</v>
      </c>
      <c r="AW42" t="s">
        <v>55</v>
      </c>
      <c r="AX42" t="s">
        <v>12</v>
      </c>
      <c r="AY42" s="3">
        <f>SUMIFS(I:I,D:D,_xlfn.SINGLE(Region),C:C,AW42,G:G,AX42,A:A,_xlfn.SINGLE(CurYear),B:B,_xlfn.SINGLE(CurMonth))</f>
        <v>0</v>
      </c>
    </row>
    <row r="43" spans="1:51" x14ac:dyDescent="0.3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>_xlfn.XLOOKUP(AW43,C:C,D:D)</f>
        <v>Chicago</v>
      </c>
      <c r="AW43" t="s">
        <v>57</v>
      </c>
      <c r="AX43" t="s">
        <v>14</v>
      </c>
      <c r="AY43" s="3">
        <f>SUMIFS(I:I,D:D,_xlfn.SINGLE(Region),C:C,AW43,G:G,AX43,A:A,_xlfn.SINGLE(CurYear),B:B,_xlfn.SINGLE(CurMonth))</f>
        <v>0</v>
      </c>
    </row>
    <row r="44" spans="1:51" x14ac:dyDescent="0.3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>_xlfn.XLOOKUP(AW44,C:C,D:D)</f>
        <v>Chicago</v>
      </c>
      <c r="AW44" t="s">
        <v>57</v>
      </c>
      <c r="AX44" t="s">
        <v>9</v>
      </c>
      <c r="AY44" s="3">
        <f>SUMIFS(I:I,D:D,_xlfn.SINGLE(Region),C:C,AW44,G:G,AX44,A:A,_xlfn.SINGLE(CurYear),B:B,_xlfn.SINGLE(CurMonth))</f>
        <v>0</v>
      </c>
    </row>
    <row r="45" spans="1:51" x14ac:dyDescent="0.3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>_xlfn.XLOOKUP(AW45,C:C,D:D)</f>
        <v>Chicago</v>
      </c>
      <c r="AW45" t="s">
        <v>57</v>
      </c>
      <c r="AX45" t="s">
        <v>21</v>
      </c>
      <c r="AY45" s="3">
        <f>SUMIFS(I:I,D:D,_xlfn.SINGLE(Region),C:C,AW45,G:G,AX45,A:A,_xlfn.SINGLE(CurYear),B:B,_xlfn.SINGLE(CurMonth))</f>
        <v>0</v>
      </c>
    </row>
    <row r="46" spans="1:51" x14ac:dyDescent="0.3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>_xlfn.XLOOKUP(AW46,C:C,D:D)</f>
        <v>Chicago</v>
      </c>
      <c r="AW46" t="s">
        <v>57</v>
      </c>
      <c r="AX46" t="s">
        <v>7</v>
      </c>
      <c r="AY46" s="3">
        <f>SUMIFS(I:I,D:D,_xlfn.SINGLE(Region),C:C,AW46,G:G,AX46,A:A,_xlfn.SINGLE(CurYear),B:B,_xlfn.SINGLE(CurMonth))</f>
        <v>0</v>
      </c>
    </row>
    <row r="47" spans="1:51" x14ac:dyDescent="0.3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>_xlfn.XLOOKUP(AW47,C:C,D:D)</f>
        <v>Chicago</v>
      </c>
      <c r="AW47" t="s">
        <v>57</v>
      </c>
      <c r="AX47" t="s">
        <v>12</v>
      </c>
      <c r="AY47" s="3">
        <f>SUMIFS(I:I,D:D,_xlfn.SINGLE(Region),C:C,AW47,G:G,AX47,A:A,_xlfn.SINGLE(CurYear),B:B,_xlfn.SINGLE(CurMonth))</f>
        <v>0</v>
      </c>
    </row>
    <row r="48" spans="1:51" x14ac:dyDescent="0.3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>_xlfn.XLOOKUP(AW48,C:C,D:D)</f>
        <v>New York</v>
      </c>
      <c r="AW48" t="s">
        <v>62</v>
      </c>
      <c r="AX48" t="s">
        <v>14</v>
      </c>
      <c r="AY48" s="3">
        <f>SUMIFS(I:I,D:D,_xlfn.SINGLE(Region),C:C,AW48,G:G,AX48,A:A,_xlfn.SINGLE(CurYear),B:B,_xlfn.SINGLE(CurMonth))</f>
        <v>8089.9299999999994</v>
      </c>
    </row>
    <row r="49" spans="1:51" x14ac:dyDescent="0.3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>_xlfn.XLOOKUP(AW49,C:C,D:D)</f>
        <v>New York</v>
      </c>
      <c r="AW49" t="s">
        <v>62</v>
      </c>
      <c r="AX49" t="s">
        <v>9</v>
      </c>
      <c r="AY49" s="3">
        <f>SUMIFS(I:I,D:D,_xlfn.SINGLE(Region),C:C,AW49,G:G,AX49,A:A,_xlfn.SINGLE(CurYear),B:B,_xlfn.SINGLE(CurMonth))</f>
        <v>4067.7299999999996</v>
      </c>
    </row>
    <row r="50" spans="1:51" x14ac:dyDescent="0.3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>_xlfn.XLOOKUP(AW50,C:C,D:D)</f>
        <v>New York</v>
      </c>
      <c r="AW50" t="s">
        <v>62</v>
      </c>
      <c r="AX50" t="s">
        <v>21</v>
      </c>
      <c r="AY50" s="3">
        <f>SUMIFS(I:I,D:D,_xlfn.SINGLE(Region),C:C,AW50,G:G,AX50,A:A,_xlfn.SINGLE(CurYear),B:B,_xlfn.SINGLE(CurMonth))</f>
        <v>1941.94</v>
      </c>
    </row>
    <row r="51" spans="1:51" x14ac:dyDescent="0.3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>_xlfn.XLOOKUP(AW51,C:C,D:D)</f>
        <v>New York</v>
      </c>
      <c r="AW51" t="s">
        <v>62</v>
      </c>
      <c r="AX51" t="s">
        <v>7</v>
      </c>
      <c r="AY51" s="3">
        <f>SUMIFS(I:I,D:D,_xlfn.SINGLE(Region),C:C,AW51,G:G,AX51,A:A,_xlfn.SINGLE(CurYear),B:B,_xlfn.SINGLE(CurMonth))</f>
        <v>3917.4599999999996</v>
      </c>
    </row>
    <row r="52" spans="1:51" x14ac:dyDescent="0.3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>_xlfn.XLOOKUP(AW52,C:C,D:D)</f>
        <v>New York</v>
      </c>
      <c r="AW52" t="s">
        <v>62</v>
      </c>
      <c r="AX52" t="s">
        <v>12</v>
      </c>
      <c r="AY52" s="3">
        <f>SUMIFS(I:I,D:D,_xlfn.SINGLE(Region),C:C,AW52,G:G,AX52,A:A,_xlfn.SINGLE(CurYear),B:B,_xlfn.SINGLE(CurMonth))</f>
        <v>4800</v>
      </c>
    </row>
    <row r="53" spans="1:51" x14ac:dyDescent="0.3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3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3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3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3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3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3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3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3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3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3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3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3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3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3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3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3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3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3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3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3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3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3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3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3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3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3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3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3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3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3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3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3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3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3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3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3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3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3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3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3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3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3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3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3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3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3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3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3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3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3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3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3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3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3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3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3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3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3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3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3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3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3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3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3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3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3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3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3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3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3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3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3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3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3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3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3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3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3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3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3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3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3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3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3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3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3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3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3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3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3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3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3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3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3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3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3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3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3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3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3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3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3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3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3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3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3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3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3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3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3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3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3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3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3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3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3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3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3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3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3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3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3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3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3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3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3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3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3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3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3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3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3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3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3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3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3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3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3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3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3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3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3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3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3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3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3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3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3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3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3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3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3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3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3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3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3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3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3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3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3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3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3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3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3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3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3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3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3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3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3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3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3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3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3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3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3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3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3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3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3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3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3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3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3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3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3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3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3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3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3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3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3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3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3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3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3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3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3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3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3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3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3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3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3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3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3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3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3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3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3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3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3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3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3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3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3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3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3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3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3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3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3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3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3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3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3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3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3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3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3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3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3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3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3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3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3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3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3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3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3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3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3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3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3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3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3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3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3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3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3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3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3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3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3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3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3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3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3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3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3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3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3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3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3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3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3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3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3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3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3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3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3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3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3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3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3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3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3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3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3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3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3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3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3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3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3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3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3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3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3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3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3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3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3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3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3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3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3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3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3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3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3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3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3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3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3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3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3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3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3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3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3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3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3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3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3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3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3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3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3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3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3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3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3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3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3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3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3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3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3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3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3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3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3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3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3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3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3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3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3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3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3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3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3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3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3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3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3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3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3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3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3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3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3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3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3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3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3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3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3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3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3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3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3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3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3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3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3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3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3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3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3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3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3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3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3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3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3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3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3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3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3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3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3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3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3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3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3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3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3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3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3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3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3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3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3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3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3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3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3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3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3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3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3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3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3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3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3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3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3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3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3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3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3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3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3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3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3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3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3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3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3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3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3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3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3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3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3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3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3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3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3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3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3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3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3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3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3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3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3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3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3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3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3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3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3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3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3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3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3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3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3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3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3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3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3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3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3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3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3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3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3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3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3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3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3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3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3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3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3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3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3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3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3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3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3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3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3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3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3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3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3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3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3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3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3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3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3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3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3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3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3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3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3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3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3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3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3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3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3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3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3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3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3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3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3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3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3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3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3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3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3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3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3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3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3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3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3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3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3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3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3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3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3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3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3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3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3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3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3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3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3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3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3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3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3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3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3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3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3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3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3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3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3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3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3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3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3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3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3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3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3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3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3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3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3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3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3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3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3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3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3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3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3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3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3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3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3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3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3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3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3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3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3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3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3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3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3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3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3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3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3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3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3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3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3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3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3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3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3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3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3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3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3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3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3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3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3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3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3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3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3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3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3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3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3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3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3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3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3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3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3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3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3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3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3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3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3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3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3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3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3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3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3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3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3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3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3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3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3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3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3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3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3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3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3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3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3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3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3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3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3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3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3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3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3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3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3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3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3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3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3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3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3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3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3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3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3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3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3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3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3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3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3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3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3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3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3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3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3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3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3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3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3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3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3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3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3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3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3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3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3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3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3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3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3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3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3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3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3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3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3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3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3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3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3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3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3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3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3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3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3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3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3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3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3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3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3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3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3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3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3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3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3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3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3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3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3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3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3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3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3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3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3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3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3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3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3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3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3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3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3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3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3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3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3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3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3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3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3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3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3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3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3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3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3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3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3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3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3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3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3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3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3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3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3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3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3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3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3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3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3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3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3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3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3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3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3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3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3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3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3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3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3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3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3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3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3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3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3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3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3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3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3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3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3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3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3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3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3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3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3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3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3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3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3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3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3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3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3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3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3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3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3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3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3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3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3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3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3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3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3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3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3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3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3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3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3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3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3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3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3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3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3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3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3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3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3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3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3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3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3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3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3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3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3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3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3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3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3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3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3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3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3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3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3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3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3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3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3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3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3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3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3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3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3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3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3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3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3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3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3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3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3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3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3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3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3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3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3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3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3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3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3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3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3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3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3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3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3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3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3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3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3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3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3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3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3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3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3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3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3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3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3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3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3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3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3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3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3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3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3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3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3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3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3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3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3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3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3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3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3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3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3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3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3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3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3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3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3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3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3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3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3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3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3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3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3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3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3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3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3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3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3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3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3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3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3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3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3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3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3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3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3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3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3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3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3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3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3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3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3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3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3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3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3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3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3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3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3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3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3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3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3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3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3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3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3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3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3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3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3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3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3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3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3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3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3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3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3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3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3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3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3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3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3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3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3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3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3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3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3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3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3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3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3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3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3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3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3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3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3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3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3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3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3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3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3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3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3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3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3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3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3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3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3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3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3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3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3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3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3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3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3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3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3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3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3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3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3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3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3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3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3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3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3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3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3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3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3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3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3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3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3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3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3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3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3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3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3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3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3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3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3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3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3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3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3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3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3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3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3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3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3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3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3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3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3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3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3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3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3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3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3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3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3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3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3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3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3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3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3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3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3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3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3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3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3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3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3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3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3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3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3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3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3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3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3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3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3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3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3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3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3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3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3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3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3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3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3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3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3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3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3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3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3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3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3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3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3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3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3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3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3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3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3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3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3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3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3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3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3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3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3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3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3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3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3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3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3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3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3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3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3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3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3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3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3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3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3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3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3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3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3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3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3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3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3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3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3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3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3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3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3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3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3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3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3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3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3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3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3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3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3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3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3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3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3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3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3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3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3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3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3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3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3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3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3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3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3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3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3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3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3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3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3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3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3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3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3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3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3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3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3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3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3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3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3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3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3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3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3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3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3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3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3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3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3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3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3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3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3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3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3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3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3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3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3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3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3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3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3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3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3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3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3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3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3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3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3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3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3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3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3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3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3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3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3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3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3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3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3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3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3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3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3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3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3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3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3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3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3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3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3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3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3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3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3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3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3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3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3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3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3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3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3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3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3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3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3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3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3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3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3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3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3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3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3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3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3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3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3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3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3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3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3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3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3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3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3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3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3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3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3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3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3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3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3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3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3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3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3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3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3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3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3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3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3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3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3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3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3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3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3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3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3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3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3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3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3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3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3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3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3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3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3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3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3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3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3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3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3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3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3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3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3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3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3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3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3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3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3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3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3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3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3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3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3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3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3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3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3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3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3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3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3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3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3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3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3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3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3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3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3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3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3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3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3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3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3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3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3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3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3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3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3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3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3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3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3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3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3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3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3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3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3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3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3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3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3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3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3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3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3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3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3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3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3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3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3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3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3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3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3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3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3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3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3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3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3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3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3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3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3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3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3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3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3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3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3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3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3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3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3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3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3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3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3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3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3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3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3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3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3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3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3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3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3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3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3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3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3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3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3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3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3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3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3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3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3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3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3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3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3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3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3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3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3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3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3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3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3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3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3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3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3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3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3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3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3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3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3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3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3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3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3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3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3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3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3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3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3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3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3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3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3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3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3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3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3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3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3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3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3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3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3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3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3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3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3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3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3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3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3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3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3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3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3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3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3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3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3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3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3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3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3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3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3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3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3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3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3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3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3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3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3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3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3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3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3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3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3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3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3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3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3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3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3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3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3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3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3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3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3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3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3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3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3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3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3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3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3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3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3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3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3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3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3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3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3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3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3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3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3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3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3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3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3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3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3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3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3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3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3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3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3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3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3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3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3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3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3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3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3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3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3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3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3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3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3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3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3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3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3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3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3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3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3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3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3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3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3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3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3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3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3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3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3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3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3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3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3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3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3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3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3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3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3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3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3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3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3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3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3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3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3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3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3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3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3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3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3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3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3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3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3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3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3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3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3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3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3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3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3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3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3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3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3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3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3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3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3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3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3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3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3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3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3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3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3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3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3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3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3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3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3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3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3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3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3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3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3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3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3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3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3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3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3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3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3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3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3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3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3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3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3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3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3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3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3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3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3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3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3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3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3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3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3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3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3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3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3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3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3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3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3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3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3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3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3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3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3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3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3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3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3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3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3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3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3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3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3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3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3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3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3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3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3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3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3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3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3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3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3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3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3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3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3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3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3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3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3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3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3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3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3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3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3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3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3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3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3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3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3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3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3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3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3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3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3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3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3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3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3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3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3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3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3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3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3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3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3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3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3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3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3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3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3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3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3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3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3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3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3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3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3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3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3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3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3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3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3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3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3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3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3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3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3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3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3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3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3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3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3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3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3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3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3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3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3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3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3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3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3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3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3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3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3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3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3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3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3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3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3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3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3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3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3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3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3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3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3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3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3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3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3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3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3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3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3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3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3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3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3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3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3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3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3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3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3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3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3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3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3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3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3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3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3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3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3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3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3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3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3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3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3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3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3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3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3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3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3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3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3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3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3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3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3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3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3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3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3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3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3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3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3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3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3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3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3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3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3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3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3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3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3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3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3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3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3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3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3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3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3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3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3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3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3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3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3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3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3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3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3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3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3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3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3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3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3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3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3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3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3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3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3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3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3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3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3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3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3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3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3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3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3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3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3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3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3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3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3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3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3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3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3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3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3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3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3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3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3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3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3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3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3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3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3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3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3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3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3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3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3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3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3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3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3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3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3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3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3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3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3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3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3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3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3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3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3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3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3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3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3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3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3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3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3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3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3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3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3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3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3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3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3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3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3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3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3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3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3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3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3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3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3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3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3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3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3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3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3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3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3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3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3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3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3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3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3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3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3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3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3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3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3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3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3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3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3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3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3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3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3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3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3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3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3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3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3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3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3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3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3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3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3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3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3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3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3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3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3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3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3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3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3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3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3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3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3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3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3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3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3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3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3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3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3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3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3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3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3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3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3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3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3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3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3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3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3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3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3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3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3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3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3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3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3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3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3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3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3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3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3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3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3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3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3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3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3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3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3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3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3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3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3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3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3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3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3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3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3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3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3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3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3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3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3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3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3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3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3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3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3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3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3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3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3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3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3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3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3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3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3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3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3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3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3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3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3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3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3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3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3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3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3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3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3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3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3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3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3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3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3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3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3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3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3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3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3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3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3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3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3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3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3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3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3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3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3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3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3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3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3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3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3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3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3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3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3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3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3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3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3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3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3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3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3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3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3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3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3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3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3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3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3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3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3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3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3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3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3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3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3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3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3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3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3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3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3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3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3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3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3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3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3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3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3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3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3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3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3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3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3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3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3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3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3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3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3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3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3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3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3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3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3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3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3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3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3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3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3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3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3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3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3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3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3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3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3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3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3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3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3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3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3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3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3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3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3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3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3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3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3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3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3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3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3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3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3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3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3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3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3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3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3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3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3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3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3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3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3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3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3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3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3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3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3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3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3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3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3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3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3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3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3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3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3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3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3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3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3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3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3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3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3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3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3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3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3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3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3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3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3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3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3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3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3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3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3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3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3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3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3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3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3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3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3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3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3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3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3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3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3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3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3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3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3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3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3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3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3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3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3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3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3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3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3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3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3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3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3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3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3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3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3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3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3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3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3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3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3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3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3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3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3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3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3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3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3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3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3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3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3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3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3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3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3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3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3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3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3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3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3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3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3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3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3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3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3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3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3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3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3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3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3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3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3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3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3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3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3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3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3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3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3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3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3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3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3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3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3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3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3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3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3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3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3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3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3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3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3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3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3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3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3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3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3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3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3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3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3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3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3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3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3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3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3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3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3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3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3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3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3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3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3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3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3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3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3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3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3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3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3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3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3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3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3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3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3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3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3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3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3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3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3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3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3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3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3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3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3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3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3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3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3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3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3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3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3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3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3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3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3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3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3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3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3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3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3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3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3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3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3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3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3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3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3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3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3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3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3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3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3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3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3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3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3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3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3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3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3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3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3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3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3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3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3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3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3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3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3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3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3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3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3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3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3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3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3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3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3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3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3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3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3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3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3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3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3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3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3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3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3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3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3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3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3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3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3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3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3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3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3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3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3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3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3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3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3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3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3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3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3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3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3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3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3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3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3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3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3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3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3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3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3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3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3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3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3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3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3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3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3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3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3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3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3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3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3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3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3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3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3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3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3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3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3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3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3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3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3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3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3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3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3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3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3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3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3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3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3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3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3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3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3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3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3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3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3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3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3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3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3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3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3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3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3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3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3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3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3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3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3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3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3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3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3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3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3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3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3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3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3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3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3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3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3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3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3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3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3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3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3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3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3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3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3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3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3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3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3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3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3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3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3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3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3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3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3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3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3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3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3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3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3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3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3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3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3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3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3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3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3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3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3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3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3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3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3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3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3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3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3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3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3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3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3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3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3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3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3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3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3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3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3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3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3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3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3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3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3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3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3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3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3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3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3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3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3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3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3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3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3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3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3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3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3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3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3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3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3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3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3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3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3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3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3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3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3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3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3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3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3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3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3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3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3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3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3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3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3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3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3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3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3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3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3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3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3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3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3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3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3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3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3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3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3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3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3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3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3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3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3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3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3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3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3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3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3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3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3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3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3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3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3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3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3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3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3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3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3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3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3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3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3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3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3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3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3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3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3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3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3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3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3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3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3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3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3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3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3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3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3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3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3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3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3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3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3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3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3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3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3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3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3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3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3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3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3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3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3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3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3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3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3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3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3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3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3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3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3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3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3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3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3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3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3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3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3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3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3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3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3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3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3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3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3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3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3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3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3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3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3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3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3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3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3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3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3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3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3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3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3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3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3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3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3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3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3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3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3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3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3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3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3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3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3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3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3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3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3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3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3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3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3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3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3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3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3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3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3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3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3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3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3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3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3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3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3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3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3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3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3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3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3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3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3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3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3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3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3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3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0F7E-32A8-44CB-B6F6-2B6069CC9A4D}">
  <dimension ref="A1:AK36"/>
  <sheetViews>
    <sheetView topLeftCell="A4" workbookViewId="0">
      <selection activeCell="C13" sqref="C13"/>
    </sheetView>
  </sheetViews>
  <sheetFormatPr defaultRowHeight="14.4" x14ac:dyDescent="0.3"/>
  <cols>
    <col min="1" max="1" width="14.44140625" bestFit="1" customWidth="1"/>
    <col min="2" max="2" width="10.44140625" bestFit="1" customWidth="1"/>
    <col min="4" max="4" width="13.33203125" bestFit="1" customWidth="1"/>
    <col min="6" max="6" width="29.21875" bestFit="1" customWidth="1"/>
    <col min="13" max="13" width="12.33203125" customWidth="1"/>
    <col min="15" max="15" width="11.6640625" bestFit="1" customWidth="1"/>
    <col min="16" max="16" width="9.6640625" bestFit="1" customWidth="1"/>
    <col min="20" max="20" width="11.77734375" bestFit="1" customWidth="1"/>
    <col min="21" max="21" width="11.77734375" customWidth="1"/>
    <col min="27" max="27" width="15.21875" bestFit="1" customWidth="1"/>
    <col min="35" max="35" width="14.44140625" bestFit="1" customWidth="1"/>
  </cols>
  <sheetData>
    <row r="1" spans="1:37" x14ac:dyDescent="0.3">
      <c r="A1" s="4" t="s">
        <v>75</v>
      </c>
      <c r="B1" s="4"/>
      <c r="D1" s="10" t="s">
        <v>82</v>
      </c>
      <c r="E1" s="10"/>
      <c r="G1" s="10" t="s">
        <v>92</v>
      </c>
      <c r="H1" s="10"/>
      <c r="I1" s="10"/>
      <c r="J1" s="10"/>
      <c r="K1" s="10"/>
      <c r="M1" s="10" t="s">
        <v>101</v>
      </c>
      <c r="N1" s="10"/>
      <c r="O1" s="10"/>
      <c r="P1" s="10"/>
      <c r="Q1" s="10"/>
      <c r="S1" s="10" t="s">
        <v>104</v>
      </c>
      <c r="T1" s="10"/>
      <c r="U1" s="10"/>
      <c r="V1" s="10"/>
      <c r="W1" s="10"/>
      <c r="X1" s="10"/>
      <c r="Y1" s="10"/>
      <c r="AA1" s="10" t="s">
        <v>106</v>
      </c>
      <c r="AB1" s="10"/>
      <c r="AC1" s="10"/>
      <c r="AD1" s="10"/>
      <c r="AE1" s="10"/>
      <c r="AF1" s="10"/>
      <c r="AH1" s="10" t="s">
        <v>110</v>
      </c>
      <c r="AI1" s="10"/>
      <c r="AJ1" s="10"/>
      <c r="AK1" s="10"/>
    </row>
    <row r="2" spans="1:37" x14ac:dyDescent="0.3">
      <c r="A2" s="5" t="s">
        <v>52</v>
      </c>
      <c r="B2" s="5" t="s">
        <v>76</v>
      </c>
      <c r="D2" s="8" t="s">
        <v>83</v>
      </c>
      <c r="E2" s="9">
        <f>SUMIFS(Data[Revenue],Data[Region],Region,Data[Month],CurMonth,Data[Year],CurYear)</f>
        <v>69037.8</v>
      </c>
      <c r="F2" t="s">
        <v>89</v>
      </c>
      <c r="G2" s="11" t="s">
        <v>93</v>
      </c>
      <c r="H2" s="11" t="s">
        <v>49</v>
      </c>
      <c r="I2" s="11">
        <f>PrevYear</f>
        <v>2020</v>
      </c>
      <c r="J2" s="11">
        <f>CurYear</f>
        <v>2021</v>
      </c>
      <c r="K2" s="11" t="s">
        <v>76</v>
      </c>
      <c r="M2" s="11" t="s">
        <v>63</v>
      </c>
      <c r="N2" s="11" t="s">
        <v>46</v>
      </c>
      <c r="O2" s="11" t="s">
        <v>102</v>
      </c>
      <c r="P2" s="11" t="s">
        <v>105</v>
      </c>
      <c r="Q2" s="11" t="s">
        <v>103</v>
      </c>
      <c r="S2" s="11" t="s">
        <v>103</v>
      </c>
      <c r="T2" s="11" t="s">
        <v>63</v>
      </c>
      <c r="U2" s="11" t="s">
        <v>52</v>
      </c>
      <c r="V2" s="11" t="s">
        <v>46</v>
      </c>
      <c r="W2" s="11" t="s">
        <v>105</v>
      </c>
      <c r="X2" s="11" t="s">
        <v>76</v>
      </c>
      <c r="Y2" s="11" t="s">
        <v>76</v>
      </c>
      <c r="AA2" s="11" t="s">
        <v>107</v>
      </c>
      <c r="AB2" s="11" t="s">
        <v>46</v>
      </c>
      <c r="AC2" s="11" t="s">
        <v>102</v>
      </c>
      <c r="AD2" s="11" t="s">
        <v>111</v>
      </c>
      <c r="AE2" s="11" t="s">
        <v>108</v>
      </c>
      <c r="AF2" s="11" t="s">
        <v>109</v>
      </c>
      <c r="AH2" s="11" t="s">
        <v>103</v>
      </c>
      <c r="AI2" s="11" t="s">
        <v>107</v>
      </c>
      <c r="AJ2" s="11" t="s">
        <v>46</v>
      </c>
      <c r="AK2" s="11" t="s">
        <v>111</v>
      </c>
    </row>
    <row r="3" spans="1:37" x14ac:dyDescent="0.3">
      <c r="A3" t="s">
        <v>4</v>
      </c>
      <c r="B3" t="str">
        <f>Dashboard!C6</f>
        <v>New York</v>
      </c>
      <c r="D3" s="8" t="s">
        <v>84</v>
      </c>
      <c r="E3" s="9">
        <f>SUMIFS(Data[Revenue],Data[Region],Region,Data[Month],CurMonth,Data[Year],PrevYear)</f>
        <v>41568.47</v>
      </c>
      <c r="F3" t="s">
        <v>86</v>
      </c>
      <c r="G3">
        <v>1</v>
      </c>
      <c r="H3" t="s">
        <v>94</v>
      </c>
      <c r="I3" s="9">
        <f>SUMIFS(Data[[Revenue]:[Revenue]],Data[[Region]:[Region]],Region,Data[[Month]:[Month]],$G3,Data[[Year]:[Year]],I$2)</f>
        <v>31544.950000000004</v>
      </c>
      <c r="J3" s="9">
        <f>IF(G3&gt;CurMonth,NA(),SUMIFS(Data[[Revenue]:[Revenue]],Data[[Region]:[Region]],Region,Data[[Month]:[Month]],$G3,Data[[Year]:[Year]],J$2))</f>
        <v>45431.029999999984</v>
      </c>
      <c r="K3" s="9" t="e">
        <f>IF(G3=CurMonth,J3,NA())</f>
        <v>#N/A</v>
      </c>
      <c r="M3" t="s">
        <v>59</v>
      </c>
      <c r="N3" s="9">
        <f>SUMIFS(Data[Revenue],Data[Store Name],$M3,Data[Month],CurMonth,Data[Year],CurYear)</f>
        <v>12894.550000000001</v>
      </c>
      <c r="O3" s="9">
        <f>SUMIFS(Data[Revenue],Data[Store Name],$M3,Data[Month],PrevMonth,Data[Year],CurYear)</f>
        <v>9291.49</v>
      </c>
      <c r="P3" s="7">
        <f>N3/O3-1</f>
        <v>0.38778064659166622</v>
      </c>
      <c r="Q3">
        <f>_xlfn.RANK.AVG(N3,$N$3:$N$12,1)</f>
        <v>1</v>
      </c>
      <c r="S3">
        <v>1</v>
      </c>
      <c r="T3" t="str">
        <f>INDEX($M$3:$P$12,MATCH($S3,$Q$3:$Q$12,0),MATCH(T$2,$M$2:$P$2,0))</f>
        <v>Hollywood</v>
      </c>
      <c r="U3" t="str">
        <f>VLOOKUP(T3,Data[[Store Name]:[Region]],2,FALSE)</f>
        <v>Los Angeles</v>
      </c>
      <c r="V3" s="9">
        <f>INDEX($M$3:$P$12,MATCH($S3,$Q$3:$Q$12,0),MATCH(V$2,$M$2:$P$2,0))</f>
        <v>12894.550000000001</v>
      </c>
      <c r="W3" s="7">
        <f>INDEX($M$3:$P$12,MATCH($S3,$Q$3:$Q$12,0),MATCH(W$2,$M$2:$P$2,0))</f>
        <v>0.38778064659166622</v>
      </c>
      <c r="X3" s="9">
        <f>IF($U3=Region,V3,0)</f>
        <v>0</v>
      </c>
      <c r="Y3" s="7">
        <f>IF($U3=Region,W3,0)</f>
        <v>0</v>
      </c>
      <c r="AA3" t="s">
        <v>13</v>
      </c>
      <c r="AB3" s="9">
        <f>SUMIFS(Data[Revenue],Data[Region],Region,Data[Month],CurMonth,Data[Year],CurYear,Data[Product Name],'Data Prep'!$AA3)</f>
        <v>1551.03</v>
      </c>
      <c r="AC3" s="9">
        <f>SUMIFS(Data[Revenue],Data[Region],Region,Data[Month],PrevMonth,Data[Year],PMYear,Data[Product Name],'Data Prep'!$AA3)</f>
        <v>2638.3500000000004</v>
      </c>
      <c r="AD3" s="12">
        <f>AB3-AC3</f>
        <v>-1087.3200000000004</v>
      </c>
      <c r="AE3">
        <f>_xlfn.RANK.AVG(AD3,$AD$3:$AD$36,0)</f>
        <v>34</v>
      </c>
      <c r="AF3">
        <f>_xlfn.RANK.AVG(AD3,$AD$3:$AD$36,1)</f>
        <v>1</v>
      </c>
      <c r="AH3">
        <v>1</v>
      </c>
      <c r="AI3" t="str">
        <f>INDEX($AA$3:$AD$36,MATCH($AH3,$AE$3:$AE$36,0),MATCH(AI$2,$AA$2:$AD$2,0))</f>
        <v>Rubik's Cube</v>
      </c>
      <c r="AJ3" s="12">
        <f t="shared" ref="AJ3:AK7" si="0">INDEX($AA$3:$AD$36,MATCH($AH3,$AE$3:$AE$36,0),MATCH(AJ$2,$AA$2:$AD$2,0))</f>
        <v>3418.2899999999995</v>
      </c>
      <c r="AK3" s="12">
        <f t="shared" si="0"/>
        <v>1679.1599999999996</v>
      </c>
    </row>
    <row r="4" spans="1:37" x14ac:dyDescent="0.3">
      <c r="A4" t="s">
        <v>5</v>
      </c>
      <c r="D4" s="8" t="s">
        <v>87</v>
      </c>
      <c r="E4" s="9">
        <f>SUMIFS(Data[Revenue],Data[Region],Region,Data[Month],PrevMonth,Data[Year],PMYear)</f>
        <v>61649.439999999981</v>
      </c>
      <c r="G4">
        <v>2</v>
      </c>
      <c r="H4" t="s">
        <v>95</v>
      </c>
      <c r="I4" s="9">
        <f>SUMIFS(Data[[Revenue]:[Revenue]],Data[[Region]:[Region]],Region,Data[[Month]:[Month]],$G4,Data[[Year]:[Year]],I$2)</f>
        <v>31002.100000000009</v>
      </c>
      <c r="J4" s="9">
        <f>IF(G4&gt;CurMonth,NA(),SUMIFS(Data[[Revenue]:[Revenue]],Data[[Region]:[Region]],Region,Data[[Month]:[Month]],$G4,Data[[Year]:[Year]],J$2))</f>
        <v>42456.219999999987</v>
      </c>
      <c r="K4" s="9" t="e">
        <f>IF(G4=CurMonth,J4,NA())</f>
        <v>#N/A</v>
      </c>
      <c r="M4" t="s">
        <v>56</v>
      </c>
      <c r="N4" s="9">
        <f>SUMIFS(Data[Revenue],Data[Store Name],$M4,Data[Month],CurMonth,Data[Year],CurYear)</f>
        <v>14836.320000000002</v>
      </c>
      <c r="O4" s="9">
        <f>SUMIFS(Data[Revenue],Data[Store Name],$M4,Data[Month],PrevMonth,Data[Year],CurYear)</f>
        <v>11676.369999999999</v>
      </c>
      <c r="P4" s="7">
        <f>N4/O4-1</f>
        <v>0.27062777215864209</v>
      </c>
      <c r="Q4">
        <f>_xlfn.RANK.AVG(N4,$N$3:$N$12,1)</f>
        <v>2</v>
      </c>
      <c r="S4">
        <v>2</v>
      </c>
      <c r="T4" t="str">
        <f>INDEX($M$3:$P$12,MATCH($S4,$Q$3:$Q$12,0),MATCH(T$2,$M$2:$P$2,0))</f>
        <v>Beverly Hills</v>
      </c>
      <c r="U4" t="str">
        <f>VLOOKUP(T4,Data[[Store Name]:[Region]],2,FALSE)</f>
        <v>Los Angeles</v>
      </c>
      <c r="V4" s="9">
        <f>INDEX($M$3:$P$12,MATCH($S4,$Q$3:$Q$12,0),MATCH(V$2,$M$2:$P$2,0))</f>
        <v>14836.320000000002</v>
      </c>
      <c r="W4" s="7">
        <f>INDEX($M$3:$P$12,MATCH($S4,$Q$3:$Q$12,0),MATCH(W$2,$M$2:$P$2,0))</f>
        <v>0.27062777215864209</v>
      </c>
      <c r="X4" s="9">
        <f>IF($U4=Region,V4,0)</f>
        <v>0</v>
      </c>
      <c r="Y4" s="7">
        <f>IF($U4=Region,W4,0)</f>
        <v>0</v>
      </c>
      <c r="AA4" t="s">
        <v>24</v>
      </c>
      <c r="AB4" s="9">
        <f>SUMIFS(Data[Revenue],Data[Region],Region,Data[Month],CurMonth,Data[Year],CurYear,Data[Product Name],'Data Prep'!$AA4)</f>
        <v>2286.2399999999998</v>
      </c>
      <c r="AC4" s="9">
        <f>SUMIFS(Data[Revenue],Data[Region],Region,Data[Month],PrevMonth,Data[Year],PMYear,Data[Product Name],'Data Prep'!$AA4)</f>
        <v>1493.85</v>
      </c>
      <c r="AD4" s="12">
        <f t="shared" ref="AD4:AD36" si="1">AB4-AC4</f>
        <v>792.38999999999987</v>
      </c>
      <c r="AE4">
        <f t="shared" ref="AE4:AE36" si="2">_xlfn.RANK.AVG(AD4,$AD$3:$AD$36,0)</f>
        <v>7</v>
      </c>
      <c r="AF4">
        <f t="shared" ref="AF4:AF36" si="3">_xlfn.RANK.AVG(AD4,$AD$3:$AD$36,1)</f>
        <v>28</v>
      </c>
      <c r="AH4">
        <v>2</v>
      </c>
      <c r="AI4" t="str">
        <f t="shared" ref="AI4:AI7" si="4">INDEX($AA$3:$AD$36,MATCH($AH4,$AE$3:$AE$36,0),MATCH(AI$2,$AA$2:$AD$2,0))</f>
        <v>Dinosaur Figures</v>
      </c>
      <c r="AJ4" s="12">
        <f t="shared" si="0"/>
        <v>2413.39</v>
      </c>
      <c r="AK4" s="12">
        <f t="shared" si="0"/>
        <v>1409.06</v>
      </c>
    </row>
    <row r="5" spans="1:37" x14ac:dyDescent="0.3">
      <c r="A5" t="s">
        <v>48</v>
      </c>
      <c r="D5" s="8" t="s">
        <v>90</v>
      </c>
      <c r="E5" s="13">
        <f>E2/E3-1</f>
        <v>0.66082129075234186</v>
      </c>
      <c r="F5" s="20"/>
      <c r="G5">
        <v>3</v>
      </c>
      <c r="H5" t="s">
        <v>96</v>
      </c>
      <c r="I5" s="9">
        <f>SUMIFS(Data[[Revenue]:[Revenue]],Data[[Region]:[Region]],Region,Data[[Month]:[Month]],$G5,Data[[Year]:[Year]],I$2)</f>
        <v>40942.11</v>
      </c>
      <c r="J5" s="9">
        <f>IF(G5&gt;CurMonth,NA(),SUMIFS(Data[[Revenue]:[Revenue]],Data[[Region]:[Region]],Region,Data[[Month]:[Month]],$G5,Data[[Year]:[Year]],J$2))</f>
        <v>58945.410000000011</v>
      </c>
      <c r="K5" s="9" t="e">
        <f>IF(G5=CurMonth,J5,NA())</f>
        <v>#N/A</v>
      </c>
      <c r="M5" t="s">
        <v>54</v>
      </c>
      <c r="N5" s="9">
        <f>SUMIFS(Data[Revenue],Data[Store Name],$M5,Data[Month],CurMonth,Data[Year],CurYear)</f>
        <v>16131.78</v>
      </c>
      <c r="O5" s="9">
        <f>SUMIFS(Data[Revenue],Data[Store Name],$M5,Data[Month],PrevMonth,Data[Year],CurYear)</f>
        <v>19646.239999999998</v>
      </c>
      <c r="P5" s="7">
        <f>N5/O5-1</f>
        <v>-0.1788871560156039</v>
      </c>
      <c r="Q5">
        <f>_xlfn.RANK.AVG(N5,$N$3:$N$12,1)</f>
        <v>3</v>
      </c>
      <c r="S5">
        <v>3</v>
      </c>
      <c r="T5" t="str">
        <f>INDEX($M$3:$P$12,MATCH($S5,$Q$3:$Q$12,0),MATCH(T$2,$M$2:$P$2,0))</f>
        <v>Michigan Ave</v>
      </c>
      <c r="U5" t="str">
        <f>VLOOKUP(T5,Data[[Store Name]:[Region]],2,FALSE)</f>
        <v>Chicago</v>
      </c>
      <c r="V5" s="9">
        <f>INDEX($M$3:$P$12,MATCH($S5,$Q$3:$Q$12,0),MATCH(V$2,$M$2:$P$2,0))</f>
        <v>16131.78</v>
      </c>
      <c r="W5" s="7">
        <f>INDEX($M$3:$P$12,MATCH($S5,$Q$3:$Q$12,0),MATCH(W$2,$M$2:$P$2,0))</f>
        <v>-0.1788871560156039</v>
      </c>
      <c r="X5" s="9">
        <f>IF($U5=Region,V5,0)</f>
        <v>0</v>
      </c>
      <c r="Y5" s="7">
        <f>IF($U5=Region,W5,0)</f>
        <v>0</v>
      </c>
      <c r="AA5" t="s">
        <v>18</v>
      </c>
      <c r="AB5" s="9">
        <f>SUMIFS(Data[Revenue],Data[Region],Region,Data[Month],CurMonth,Data[Year],CurYear,Data[Product Name],'Data Prep'!$AA5)</f>
        <v>597.54</v>
      </c>
      <c r="AC5" s="9">
        <f>SUMIFS(Data[Revenue],Data[Region],Region,Data[Month],PrevMonth,Data[Year],PMYear,Data[Product Name],'Data Prep'!$AA5)</f>
        <v>389.70000000000005</v>
      </c>
      <c r="AD5" s="12">
        <f t="shared" si="1"/>
        <v>207.83999999999992</v>
      </c>
      <c r="AE5">
        <f t="shared" si="2"/>
        <v>13</v>
      </c>
      <c r="AF5">
        <f t="shared" si="3"/>
        <v>22</v>
      </c>
      <c r="AH5">
        <v>3</v>
      </c>
      <c r="AI5" t="str">
        <f t="shared" si="4"/>
        <v>Nerf Gun</v>
      </c>
      <c r="AJ5" s="12">
        <f t="shared" si="0"/>
        <v>3058.4699999999993</v>
      </c>
      <c r="AK5" s="12">
        <f t="shared" si="0"/>
        <v>1379.3099999999997</v>
      </c>
    </row>
    <row r="6" spans="1:37" x14ac:dyDescent="0.3">
      <c r="D6" s="8" t="s">
        <v>91</v>
      </c>
      <c r="E6" s="13">
        <f>E2/E4-1</f>
        <v>0.11984472202829455</v>
      </c>
      <c r="G6">
        <v>4</v>
      </c>
      <c r="H6" t="s">
        <v>97</v>
      </c>
      <c r="I6" s="9">
        <f>SUMIFS(Data[[Revenue]:[Revenue]],Data[[Region]:[Region]],Region,Data[[Month]:[Month]],$G6,Data[[Year]:[Year]],I$2)</f>
        <v>51274.420000000006</v>
      </c>
      <c r="J6" s="9">
        <f>IF(G6&gt;CurMonth,NA(),SUMIFS(Data[[Revenue]:[Revenue]],Data[[Region]:[Region]],Region,Data[[Month]:[Month]],$G6,Data[[Year]:[Year]],J$2))</f>
        <v>66317.759999999995</v>
      </c>
      <c r="K6" s="9" t="e">
        <f>IF(G6=CurMonth,J6,NA())</f>
        <v>#N/A</v>
      </c>
      <c r="M6" t="s">
        <v>55</v>
      </c>
      <c r="N6" s="9">
        <f>SUMIFS(Data[Revenue],Data[Store Name],$M6,Data[Month],CurMonth,Data[Year],CurYear)</f>
        <v>20890.14</v>
      </c>
      <c r="O6" s="9">
        <f>SUMIFS(Data[Revenue],Data[Store Name],$M6,Data[Month],PrevMonth,Data[Year],CurYear)</f>
        <v>24100.490000000009</v>
      </c>
      <c r="P6" s="7">
        <f>N6/O6-1</f>
        <v>-0.13320683521372423</v>
      </c>
      <c r="Q6">
        <f>_xlfn.RANK.AVG(N6,$N$3:$N$12,1)</f>
        <v>4</v>
      </c>
      <c r="S6">
        <v>4</v>
      </c>
      <c r="T6" t="str">
        <f>INDEX($M$3:$P$12,MATCH($S6,$Q$3:$Q$12,0),MATCH(T$2,$M$2:$P$2,0))</f>
        <v>Millenium</v>
      </c>
      <c r="U6" t="str">
        <f>VLOOKUP(T6,Data[[Store Name]:[Region]],2,FALSE)</f>
        <v>Chicago</v>
      </c>
      <c r="V6" s="9">
        <f>INDEX($M$3:$P$12,MATCH($S6,$Q$3:$Q$12,0),MATCH(V$2,$M$2:$P$2,0))</f>
        <v>20890.14</v>
      </c>
      <c r="W6" s="7">
        <f>INDEX($M$3:$P$12,MATCH($S6,$Q$3:$Q$12,0),MATCH(W$2,$M$2:$P$2,0))</f>
        <v>-0.13320683521372423</v>
      </c>
      <c r="X6" s="9">
        <f>IF($U6=Region,V6,0)</f>
        <v>0</v>
      </c>
      <c r="Y6" s="7">
        <f>IF($U6=Region,W6,0)</f>
        <v>0</v>
      </c>
      <c r="AA6" t="s">
        <v>30</v>
      </c>
      <c r="AB6" s="9">
        <f>SUMIFS(Data[Revenue],Data[Region],Region,Data[Month],CurMonth,Data[Year],CurYear,Data[Product Name],'Data Prep'!$AA6)</f>
        <v>239.76000000000002</v>
      </c>
      <c r="AC6" s="9">
        <f>SUMIFS(Data[Revenue],Data[Region],Region,Data[Month],PrevMonth,Data[Year],PMYear,Data[Product Name],'Data Prep'!$AA6)</f>
        <v>419.58</v>
      </c>
      <c r="AD6" s="12">
        <f t="shared" si="1"/>
        <v>-179.81999999999996</v>
      </c>
      <c r="AE6">
        <f t="shared" si="2"/>
        <v>27</v>
      </c>
      <c r="AF6">
        <f t="shared" si="3"/>
        <v>8</v>
      </c>
      <c r="AH6">
        <v>4</v>
      </c>
      <c r="AI6" t="str">
        <f t="shared" si="4"/>
        <v>Toy Robot</v>
      </c>
      <c r="AJ6" s="12">
        <f t="shared" si="0"/>
        <v>2105.1899999999996</v>
      </c>
      <c r="AK6" s="12">
        <f t="shared" si="0"/>
        <v>1377.4699999999998</v>
      </c>
    </row>
    <row r="7" spans="1:37" x14ac:dyDescent="0.3">
      <c r="A7" s="4" t="s">
        <v>77</v>
      </c>
      <c r="B7" s="4"/>
      <c r="D7" s="14"/>
      <c r="G7">
        <v>5</v>
      </c>
      <c r="H7" t="s">
        <v>96</v>
      </c>
      <c r="I7" s="9">
        <f>SUMIFS(Data[[Revenue]:[Revenue]],Data[[Region]:[Region]],Region,Data[[Month]:[Month]],$G7,Data[[Year]:[Year]],I$2)</f>
        <v>39052.43</v>
      </c>
      <c r="J7" s="9">
        <f>IF(G7&gt;CurMonth,NA(),SUMIFS(Data[[Revenue]:[Revenue]],Data[[Region]:[Region]],Region,Data[[Month]:[Month]],$G7,Data[[Year]:[Year]],J$2))</f>
        <v>63906.600000000006</v>
      </c>
      <c r="K7" s="9" t="e">
        <f>IF(G7=CurMonth,J7,NA())</f>
        <v>#N/A</v>
      </c>
      <c r="M7" t="s">
        <v>53</v>
      </c>
      <c r="N7" s="9">
        <f>SUMIFS(Data[Revenue],Data[Store Name],$M7,Data[Month],CurMonth,Data[Year],CurYear)</f>
        <v>21829.790000000008</v>
      </c>
      <c r="O7" s="9">
        <f>SUMIFS(Data[Revenue],Data[Store Name],$M7,Data[Month],PrevMonth,Data[Year],CurYear)</f>
        <v>17645.59</v>
      </c>
      <c r="P7" s="7">
        <f>N7/O7-1</f>
        <v>0.23712440332117013</v>
      </c>
      <c r="Q7">
        <f>_xlfn.RANK.AVG(N7,$N$3:$N$12,1)</f>
        <v>5</v>
      </c>
      <c r="S7">
        <v>5</v>
      </c>
      <c r="T7" t="str">
        <f>INDEX($M$3:$P$12,MATCH($S7,$Q$3:$Q$12,0),MATCH(T$2,$M$2:$P$2,0))</f>
        <v>Lincoln Park</v>
      </c>
      <c r="U7" t="str">
        <f>VLOOKUP(T7,Data[[Store Name]:[Region]],2,FALSE)</f>
        <v>Chicago</v>
      </c>
      <c r="V7" s="9">
        <f>INDEX($M$3:$P$12,MATCH($S7,$Q$3:$Q$12,0),MATCH(V$2,$M$2:$P$2,0))</f>
        <v>21829.790000000008</v>
      </c>
      <c r="W7" s="7">
        <f>INDEX($M$3:$P$12,MATCH($S7,$Q$3:$Q$12,0),MATCH(W$2,$M$2:$P$2,0))</f>
        <v>0.23712440332117013</v>
      </c>
      <c r="X7" s="9">
        <f>IF($U7=Region,V7,0)</f>
        <v>0</v>
      </c>
      <c r="Y7" s="7">
        <f>IF($U7=Region,W7,0)</f>
        <v>0</v>
      </c>
      <c r="AA7" t="s">
        <v>20</v>
      </c>
      <c r="AB7" s="9">
        <f>SUMIFS(Data[Revenue],Data[Region],Region,Data[Month],CurMonth,Data[Year],CurYear,Data[Product Name],'Data Prep'!$AA7)</f>
        <v>3297.8</v>
      </c>
      <c r="AC7" s="9">
        <f>SUMIFS(Data[Revenue],Data[Region],Region,Data[Month],PrevMonth,Data[Year],PMYear,Data[Product Name],'Data Prep'!$AA7)</f>
        <v>3117.92</v>
      </c>
      <c r="AD7" s="12">
        <f t="shared" si="1"/>
        <v>179.88000000000011</v>
      </c>
      <c r="AE7">
        <f t="shared" si="2"/>
        <v>15</v>
      </c>
      <c r="AF7">
        <f t="shared" si="3"/>
        <v>20</v>
      </c>
      <c r="AH7">
        <v>5</v>
      </c>
      <c r="AI7" t="str">
        <f t="shared" si="4"/>
        <v>Kids Makeup Kit</v>
      </c>
      <c r="AJ7" s="12">
        <f t="shared" si="0"/>
        <v>3338.33</v>
      </c>
      <c r="AK7" s="12">
        <f t="shared" si="0"/>
        <v>1059.4700000000003</v>
      </c>
    </row>
    <row r="8" spans="1:37" x14ac:dyDescent="0.3">
      <c r="A8" s="8" t="s">
        <v>78</v>
      </c>
      <c r="B8" s="6">
        <f>MAX(Data[Year])</f>
        <v>2021</v>
      </c>
      <c r="G8">
        <v>6</v>
      </c>
      <c r="H8" t="s">
        <v>94</v>
      </c>
      <c r="I8" s="9">
        <f>SUMIFS(Data[[Revenue]:[Revenue]],Data[[Region]:[Region]],Region,Data[[Month]:[Month]],$G8,Data[[Year]:[Year]],I$2)</f>
        <v>47915.380000000005</v>
      </c>
      <c r="J8" s="9">
        <f>IF(G8&gt;CurMonth,NA(),SUMIFS(Data[[Revenue]:[Revenue]],Data[[Region]:[Region]],Region,Data[[Month]:[Month]],$G8,Data[[Year]:[Year]],J$2))</f>
        <v>61649.439999999981</v>
      </c>
      <c r="K8" s="9" t="e">
        <f>IF(G8=CurMonth,J8,NA())</f>
        <v>#N/A</v>
      </c>
      <c r="M8" t="s">
        <v>58</v>
      </c>
      <c r="N8" s="9">
        <f>SUMIFS(Data[Revenue],Data[Store Name],$M8,Data[Month],CurMonth,Data[Year],CurYear)</f>
        <v>22152.709999999995</v>
      </c>
      <c r="O8" s="9">
        <f>SUMIFS(Data[Revenue],Data[Store Name],$M8,Data[Month],PrevMonth,Data[Year],CurYear)</f>
        <v>19305.510000000002</v>
      </c>
      <c r="P8" s="7">
        <f>N8/O8-1</f>
        <v>0.1474812113225703</v>
      </c>
      <c r="Q8">
        <f>_xlfn.RANK.AVG(N8,$N$3:$N$12,1)</f>
        <v>6</v>
      </c>
      <c r="S8">
        <v>6</v>
      </c>
      <c r="T8" t="str">
        <f>INDEX($M$3:$P$12,MATCH($S8,$Q$3:$Q$12,0),MATCH(T$2,$M$2:$P$2,0))</f>
        <v>Fifth Avenue</v>
      </c>
      <c r="U8" t="str">
        <f>VLOOKUP(T8,Data[[Store Name]:[Region]],2,FALSE)</f>
        <v>New York</v>
      </c>
      <c r="V8" s="9">
        <f>INDEX($M$3:$P$12,MATCH($S8,$Q$3:$Q$12,0),MATCH(V$2,$M$2:$P$2,0))</f>
        <v>22152.709999999995</v>
      </c>
      <c r="W8" s="7">
        <f>INDEX($M$3:$P$12,MATCH($S8,$Q$3:$Q$12,0),MATCH(W$2,$M$2:$P$2,0))</f>
        <v>0.1474812113225703</v>
      </c>
      <c r="X8" s="9">
        <f>IF($U8=Region,V8,0)</f>
        <v>22152.709999999995</v>
      </c>
      <c r="Y8" s="7">
        <f>IF($U8=Region,W8,0)</f>
        <v>0.1474812113225703</v>
      </c>
      <c r="AA8" t="s">
        <v>25</v>
      </c>
      <c r="AB8" s="9">
        <f>SUMIFS(Data[Revenue],Data[Region],Region,Data[Month],CurMonth,Data[Year],CurYear,Data[Product Name],'Data Prep'!$AA8)</f>
        <v>1087.32</v>
      </c>
      <c r="AC8" s="9">
        <f>SUMIFS(Data[Revenue],Data[Region],Region,Data[Month],PrevMonth,Data[Year],PMYear,Data[Product Name],'Data Prep'!$AA8)</f>
        <v>1471.08</v>
      </c>
      <c r="AD8" s="12">
        <f t="shared" si="1"/>
        <v>-383.76</v>
      </c>
      <c r="AE8">
        <f t="shared" si="2"/>
        <v>30</v>
      </c>
      <c r="AF8">
        <f t="shared" si="3"/>
        <v>5</v>
      </c>
    </row>
    <row r="9" spans="1:37" x14ac:dyDescent="0.3">
      <c r="A9" s="8" t="s">
        <v>79</v>
      </c>
      <c r="B9" s="6">
        <f>_xlfn.MAXIFS(Data[Month],Data[Year],CurYear)</f>
        <v>7</v>
      </c>
      <c r="C9" cm="1">
        <f t="array" ref="C9">MAX(IF(Data[Year]='Data Prep'!B8,Data[Month]))</f>
        <v>7</v>
      </c>
      <c r="G9">
        <v>7</v>
      </c>
      <c r="H9" t="s">
        <v>94</v>
      </c>
      <c r="I9" s="9">
        <f>SUMIFS(Data[[Revenue]:[Revenue]],Data[[Region]:[Region]],Region,Data[[Month]:[Month]],$G9,Data[[Year]:[Year]],I$2)</f>
        <v>41568.47</v>
      </c>
      <c r="J9" s="9">
        <f>IF(G9&gt;CurMonth,NA(),SUMIFS(Data[[Revenue]:[Revenue]],Data[[Region]:[Region]],Region,Data[[Month]:[Month]],$G9,Data[[Year]:[Year]],J$2))</f>
        <v>69037.8</v>
      </c>
      <c r="K9" s="9">
        <f>IF(G9=CurMonth,J9,NA())</f>
        <v>69037.8</v>
      </c>
      <c r="M9" t="s">
        <v>62</v>
      </c>
      <c r="N9" s="9">
        <f>SUMIFS(Data[Revenue],Data[Store Name],$M9,Data[Month],CurMonth,Data[Year],CurYear)</f>
        <v>22817.06</v>
      </c>
      <c r="O9" s="9">
        <f>SUMIFS(Data[Revenue],Data[Store Name],$M9,Data[Month],PrevMonth,Data[Year],CurYear)</f>
        <v>20167.499999999996</v>
      </c>
      <c r="P9" s="7">
        <f>N9/O9-1</f>
        <v>0.13137771166480761</v>
      </c>
      <c r="Q9">
        <f>_xlfn.RANK.AVG(N9,$N$3:$N$12,1)</f>
        <v>7</v>
      </c>
      <c r="S9">
        <v>7</v>
      </c>
      <c r="T9" t="str">
        <f>INDEX($M$3:$P$12,MATCH($S9,$Q$3:$Q$12,0),MATCH(T$2,$M$2:$P$2,0))</f>
        <v>Times Square</v>
      </c>
      <c r="U9" t="str">
        <f>VLOOKUP(T9,Data[[Store Name]:[Region]],2,FALSE)</f>
        <v>New York</v>
      </c>
      <c r="V9" s="9">
        <f>INDEX($M$3:$P$12,MATCH($S9,$Q$3:$Q$12,0),MATCH(V$2,$M$2:$P$2,0))</f>
        <v>22817.06</v>
      </c>
      <c r="W9" s="7">
        <f>INDEX($M$3:$P$12,MATCH($S9,$Q$3:$Q$12,0),MATCH(W$2,$M$2:$P$2,0))</f>
        <v>0.13137771166480761</v>
      </c>
      <c r="X9" s="9">
        <f>IF($U9=Region,V9,0)</f>
        <v>22817.06</v>
      </c>
      <c r="Y9" s="7">
        <f>IF($U9=Region,W9,0)</f>
        <v>0.13137771166480761</v>
      </c>
      <c r="AA9" t="s">
        <v>8</v>
      </c>
      <c r="AB9" s="9">
        <f>SUMIFS(Data[Revenue],Data[Region],Region,Data[Month],CurMonth,Data[Year],CurYear,Data[Product Name],'Data Prep'!$AA9)</f>
        <v>2173.89</v>
      </c>
      <c r="AC9" s="9">
        <f>SUMIFS(Data[Revenue],Data[Region],Region,Data[Month],PrevMonth,Data[Year],PMYear,Data[Product Name],'Data Prep'!$AA9)</f>
        <v>1817.4</v>
      </c>
      <c r="AD9" s="12">
        <f t="shared" si="1"/>
        <v>356.48999999999978</v>
      </c>
      <c r="AE9">
        <f t="shared" si="2"/>
        <v>12</v>
      </c>
      <c r="AF9">
        <f t="shared" si="3"/>
        <v>23</v>
      </c>
    </row>
    <row r="10" spans="1:37" x14ac:dyDescent="0.3">
      <c r="A10" s="8" t="s">
        <v>80</v>
      </c>
      <c r="B10" s="6">
        <f>CurYear-1</f>
        <v>2020</v>
      </c>
      <c r="G10">
        <v>8</v>
      </c>
      <c r="H10" t="s">
        <v>97</v>
      </c>
      <c r="I10" s="9">
        <f>SUMIFS(Data[[Revenue]:[Revenue]],Data[[Region]:[Region]],Region,Data[[Month]:[Month]],$G10,Data[[Year]:[Year]],I$2)</f>
        <v>30149.900000000009</v>
      </c>
      <c r="J10" s="9" t="e">
        <f>IF(G10&gt;CurMonth,NA(),SUMIFS(Data[[Revenue]:[Revenue]],Data[[Region]:[Region]],Region,Data[[Month]:[Month]],$G10,Data[[Year]:[Year]],J$2))</f>
        <v>#N/A</v>
      </c>
      <c r="K10" s="9" t="e">
        <f>IF(G10=CurMonth,J10,NA())</f>
        <v>#N/A</v>
      </c>
      <c r="M10" t="s">
        <v>60</v>
      </c>
      <c r="N10" s="9">
        <f>SUMIFS(Data[Revenue],Data[Store Name],$M10,Data[Month],CurMonth,Data[Year],CurYear)</f>
        <v>24068.03</v>
      </c>
      <c r="O10" s="9">
        <f>SUMIFS(Data[Revenue],Data[Store Name],$M10,Data[Month],PrevMonth,Data[Year],CurYear)</f>
        <v>22176.43</v>
      </c>
      <c r="P10" s="7">
        <f>N10/O10-1</f>
        <v>8.5297768847375277E-2</v>
      </c>
      <c r="Q10">
        <f>_xlfn.RANK.AVG(N10,$N$3:$N$12,1)</f>
        <v>8</v>
      </c>
      <c r="S10">
        <v>8</v>
      </c>
      <c r="T10" t="str">
        <f>INDEX($M$3:$P$12,MATCH($S10,$Q$3:$Q$12,0),MATCH(T$2,$M$2:$P$2,0))</f>
        <v>JFK</v>
      </c>
      <c r="U10" t="str">
        <f>VLOOKUP(T10,Data[[Store Name]:[Region]],2,FALSE)</f>
        <v>New York</v>
      </c>
      <c r="V10" s="9">
        <f>INDEX($M$3:$P$12,MATCH($S10,$Q$3:$Q$12,0),MATCH(V$2,$M$2:$P$2,0))</f>
        <v>24068.03</v>
      </c>
      <c r="W10" s="7">
        <f>INDEX($M$3:$P$12,MATCH($S10,$Q$3:$Q$12,0),MATCH(W$2,$M$2:$P$2,0))</f>
        <v>8.5297768847375277E-2</v>
      </c>
      <c r="X10" s="9">
        <f>IF($U10=Region,V10,0)</f>
        <v>24068.03</v>
      </c>
      <c r="Y10" s="7">
        <f>IF($U10=Region,W10,0)</f>
        <v>8.5297768847375277E-2</v>
      </c>
      <c r="AA10" t="s">
        <v>17</v>
      </c>
      <c r="AB10" s="9">
        <f>SUMIFS(Data[Revenue],Data[Region],Region,Data[Month],CurMonth,Data[Year],CurYear,Data[Product Name],'Data Prep'!$AA10)</f>
        <v>2868.39</v>
      </c>
      <c r="AC10" s="9">
        <f>SUMIFS(Data[Revenue],Data[Region],Region,Data[Month],PrevMonth,Data[Year],PMYear,Data[Product Name],'Data Prep'!$AA10)</f>
        <v>2110.0800000000004</v>
      </c>
      <c r="AD10" s="12">
        <f t="shared" si="1"/>
        <v>758.30999999999949</v>
      </c>
      <c r="AE10">
        <f t="shared" si="2"/>
        <v>8</v>
      </c>
      <c r="AF10">
        <f t="shared" si="3"/>
        <v>27</v>
      </c>
      <c r="AH10" s="10" t="s">
        <v>112</v>
      </c>
      <c r="AI10" s="10"/>
      <c r="AJ10" s="10"/>
      <c r="AK10" s="10"/>
    </row>
    <row r="11" spans="1:37" x14ac:dyDescent="0.3">
      <c r="A11" s="8" t="s">
        <v>81</v>
      </c>
      <c r="B11" s="6">
        <f>IF(CurMonth=1,12,CurMonth-1)</f>
        <v>6</v>
      </c>
      <c r="G11">
        <v>9</v>
      </c>
      <c r="H11" t="s">
        <v>85</v>
      </c>
      <c r="I11" s="9">
        <f>SUMIFS(Data[[Revenue]:[Revenue]],Data[[Region]:[Region]],Region,Data[[Month]:[Month]],$G11,Data[[Year]:[Year]],I$2)</f>
        <v>34844.409999999982</v>
      </c>
      <c r="J11" s="9" t="e">
        <f>IF(G11&gt;CurMonth,NA(),SUMIFS(Data[[Revenue]:[Revenue]],Data[[Region]:[Region]],Region,Data[[Month]:[Month]],$G11,Data[[Year]:[Year]],J$2))</f>
        <v>#N/A</v>
      </c>
      <c r="K11" s="9" t="e">
        <f>IF(G11=CurMonth,J11,NA())</f>
        <v>#N/A</v>
      </c>
      <c r="M11" t="s">
        <v>61</v>
      </c>
      <c r="N11" s="9">
        <f>SUMIFS(Data[Revenue],Data[Store Name],$M11,Data[Month],CurMonth,Data[Year],CurYear)</f>
        <v>32052.109999999993</v>
      </c>
      <c r="O11" s="9">
        <f>SUMIFS(Data[Revenue],Data[Store Name],$M11,Data[Month],PrevMonth,Data[Year],CurYear)</f>
        <v>25228.359999999997</v>
      </c>
      <c r="P11" s="7">
        <f>N11/O11-1</f>
        <v>0.27047933357538878</v>
      </c>
      <c r="Q11">
        <f>_xlfn.RANK.AVG(N11,$N$3:$N$12,1)</f>
        <v>9</v>
      </c>
      <c r="S11">
        <v>9</v>
      </c>
      <c r="T11" t="str">
        <f>INDEX($M$3:$P$12,MATCH($S11,$Q$3:$Q$12,0),MATCH(T$2,$M$2:$P$2,0))</f>
        <v>LAX</v>
      </c>
      <c r="U11" t="str">
        <f>VLOOKUP(T11,Data[[Store Name]:[Region]],2,FALSE)</f>
        <v>Los Angeles</v>
      </c>
      <c r="V11" s="9">
        <f>INDEX($M$3:$P$12,MATCH($S11,$Q$3:$Q$12,0),MATCH(V$2,$M$2:$P$2,0))</f>
        <v>32052.109999999993</v>
      </c>
      <c r="W11" s="7">
        <f>INDEX($M$3:$P$12,MATCH($S11,$Q$3:$Q$12,0),MATCH(W$2,$M$2:$P$2,0))</f>
        <v>0.27047933357538878</v>
      </c>
      <c r="X11" s="9">
        <f>IF($U11=Region,V11,0)</f>
        <v>0</v>
      </c>
      <c r="Y11" s="7">
        <f>IF($U11=Region,W11,0)</f>
        <v>0</v>
      </c>
      <c r="AA11" t="s">
        <v>28</v>
      </c>
      <c r="AB11" s="9">
        <f>SUMIFS(Data[Revenue],Data[Region],Region,Data[Month],CurMonth,Data[Year],CurYear,Data[Product Name],'Data Prep'!$AA11)</f>
        <v>2413.39</v>
      </c>
      <c r="AC11" s="9">
        <f>SUMIFS(Data[Revenue],Data[Region],Region,Data[Month],PrevMonth,Data[Year],PMYear,Data[Product Name],'Data Prep'!$AA11)</f>
        <v>1004.33</v>
      </c>
      <c r="AD11" s="12">
        <f t="shared" si="1"/>
        <v>1409.06</v>
      </c>
      <c r="AE11">
        <f t="shared" si="2"/>
        <v>2</v>
      </c>
      <c r="AF11">
        <f t="shared" si="3"/>
        <v>33</v>
      </c>
      <c r="AH11" s="11" t="s">
        <v>103</v>
      </c>
      <c r="AI11" s="11" t="s">
        <v>107</v>
      </c>
      <c r="AJ11" s="11" t="s">
        <v>46</v>
      </c>
      <c r="AK11" s="11" t="s">
        <v>111</v>
      </c>
    </row>
    <row r="12" spans="1:37" x14ac:dyDescent="0.3">
      <c r="A12" s="8" t="s">
        <v>88</v>
      </c>
      <c r="B12" s="6">
        <f>IF(CurMonth=1,PrevYear,CurYear)</f>
        <v>2021</v>
      </c>
      <c r="G12">
        <v>10</v>
      </c>
      <c r="H12" t="s">
        <v>98</v>
      </c>
      <c r="I12" s="9">
        <f>SUMIFS(Data[[Revenue]:[Revenue]],Data[[Region]:[Region]],Region,Data[[Month]:[Month]],$G12,Data[[Year]:[Year]],I$2)</f>
        <v>36809.12000000001</v>
      </c>
      <c r="J12" s="9" t="e">
        <f>IF(G12&gt;CurMonth,NA(),SUMIFS(Data[[Revenue]:[Revenue]],Data[[Region]:[Region]],Region,Data[[Month]:[Month]],$G12,Data[[Year]:[Year]],J$2))</f>
        <v>#N/A</v>
      </c>
      <c r="K12" s="9" t="e">
        <f>IF(G12=CurMonth,J12,NA())</f>
        <v>#N/A</v>
      </c>
      <c r="M12" t="s">
        <v>57</v>
      </c>
      <c r="N12" s="9">
        <f>SUMIFS(Data[Revenue],Data[Store Name],$M12,Data[Month],CurMonth,Data[Year],CurYear)</f>
        <v>36101.759999999995</v>
      </c>
      <c r="O12" s="9">
        <f>SUMIFS(Data[Revenue],Data[Store Name],$M12,Data[Month],PrevMonth,Data[Year],CurYear)</f>
        <v>30245.009999999995</v>
      </c>
      <c r="P12" s="7">
        <f>N12/O12-1</f>
        <v>0.19364351342585118</v>
      </c>
      <c r="Q12">
        <f>_xlfn.RANK.AVG(N12,$N$3:$N$12,1)</f>
        <v>10</v>
      </c>
      <c r="S12">
        <v>10</v>
      </c>
      <c r="T12" t="str">
        <f>INDEX($M$3:$P$12,MATCH($S12,$Q$3:$Q$12,0),MATCH(T$2,$M$2:$P$2,0))</f>
        <v>O'Hare</v>
      </c>
      <c r="U12" t="str">
        <f>VLOOKUP(T12,Data[[Store Name]:[Region]],2,FALSE)</f>
        <v>Chicago</v>
      </c>
      <c r="V12" s="9">
        <f>INDEX($M$3:$P$12,MATCH($S12,$Q$3:$Q$12,0),MATCH(V$2,$M$2:$P$2,0))</f>
        <v>36101.759999999995</v>
      </c>
      <c r="W12" s="7">
        <f>INDEX($M$3:$P$12,MATCH($S12,$Q$3:$Q$12,0),MATCH(W$2,$M$2:$P$2,0))</f>
        <v>0.19364351342585118</v>
      </c>
      <c r="X12" s="9">
        <f>IF($U12=Region,V12,0)</f>
        <v>0</v>
      </c>
      <c r="Y12" s="7">
        <f>IF($U12=Region,W12,0)</f>
        <v>0</v>
      </c>
      <c r="AA12" t="s">
        <v>32</v>
      </c>
      <c r="AB12" s="9">
        <f>SUMIFS(Data[Revenue],Data[Region],Region,Data[Month],CurMonth,Data[Year],CurYear,Data[Product Name],'Data Prep'!$AA12)</f>
        <v>4538.87</v>
      </c>
      <c r="AC12" s="9">
        <f>SUMIFS(Data[Revenue],Data[Region],Region,Data[Month],PrevMonth,Data[Year],PMYear,Data[Product Name],'Data Prep'!$AA12)</f>
        <v>5341.14</v>
      </c>
      <c r="AD12" s="12">
        <f t="shared" si="1"/>
        <v>-802.27000000000044</v>
      </c>
      <c r="AE12">
        <f t="shared" si="2"/>
        <v>33</v>
      </c>
      <c r="AF12">
        <f t="shared" si="3"/>
        <v>2</v>
      </c>
      <c r="AH12">
        <v>1</v>
      </c>
      <c r="AI12" t="str">
        <f>INDEX($AA$3:$AD$36,MATCH($AH12,$AF$3:$AF$36,0),MATCH(AI$2,$AA$2:$AD$2,0))</f>
        <v>Action Figure</v>
      </c>
      <c r="AJ12" s="12">
        <f t="shared" ref="AJ12:AK16" si="5">INDEX($AA$3:$AD$36,MATCH($AH12,$AF$3:$AF$36,0),MATCH(AJ$2,$AA$2:$AD$2,0))</f>
        <v>1551.03</v>
      </c>
      <c r="AK12" s="12">
        <f t="shared" si="5"/>
        <v>-1087.3200000000004</v>
      </c>
    </row>
    <row r="13" spans="1:37" x14ac:dyDescent="0.3">
      <c r="A13" s="8" t="s">
        <v>115</v>
      </c>
      <c r="B13" t="str">
        <f>VLOOKUP(CurMonth,A16:B27,2,TRUE)&amp;" "&amp;CurYear</f>
        <v>July 2021</v>
      </c>
      <c r="G13">
        <v>11</v>
      </c>
      <c r="H13" t="s">
        <v>99</v>
      </c>
      <c r="I13" s="9">
        <f>SUMIFS(Data[[Revenue]:[Revenue]],Data[[Region]:[Region]],Region,Data[[Month]:[Month]],$G13,Data[[Year]:[Year]],I$2)</f>
        <v>42365.650000000009</v>
      </c>
      <c r="J13" s="9" t="e">
        <f>IF(G13&gt;CurMonth,NA(),SUMIFS(Data[[Revenue]:[Revenue]],Data[[Region]:[Region]],Region,Data[[Month]:[Month]],$G13,Data[[Year]:[Year]],J$2))</f>
        <v>#N/A</v>
      </c>
      <c r="K13" s="9" t="e">
        <f>IF(G13=CurMonth,J13,NA())</f>
        <v>#N/A</v>
      </c>
      <c r="AA13" t="s">
        <v>31</v>
      </c>
      <c r="AB13" s="9">
        <f>SUMIFS(Data[Revenue],Data[Region],Region,Data[Month],CurMonth,Data[Year],CurYear,Data[Product Name],'Data Prep'!$AA13)</f>
        <v>3338.33</v>
      </c>
      <c r="AC13" s="9">
        <f>SUMIFS(Data[Revenue],Data[Region],Region,Data[Month],PrevMonth,Data[Year],PMYear,Data[Product Name],'Data Prep'!$AA13)</f>
        <v>2278.8599999999997</v>
      </c>
      <c r="AD13" s="12">
        <f t="shared" si="1"/>
        <v>1059.4700000000003</v>
      </c>
      <c r="AE13">
        <f t="shared" si="2"/>
        <v>5</v>
      </c>
      <c r="AF13">
        <f t="shared" si="3"/>
        <v>30</v>
      </c>
      <c r="AH13">
        <v>2</v>
      </c>
      <c r="AI13" t="str">
        <f t="shared" ref="AI13:AI16" si="6">INDEX($AA$3:$AD$36,MATCH($AH13,$AF$3:$AF$36,0),MATCH(AI$2,$AA$2:$AD$2,0))</f>
        <v>Glass Marbles</v>
      </c>
      <c r="AJ13" s="12">
        <f t="shared" si="5"/>
        <v>4538.87</v>
      </c>
      <c r="AK13" s="12">
        <f t="shared" si="5"/>
        <v>-802.27000000000044</v>
      </c>
    </row>
    <row r="14" spans="1:37" x14ac:dyDescent="0.3">
      <c r="G14">
        <v>12</v>
      </c>
      <c r="H14" t="s">
        <v>100</v>
      </c>
      <c r="I14" s="9">
        <f>SUMIFS(Data[[Revenue]:[Revenue]],Data[[Region]:[Region]],Region,Data[[Month]:[Month]],$G14,Data[[Year]:[Year]],I$2)</f>
        <v>48216.44999999999</v>
      </c>
      <c r="J14" s="9" t="e">
        <f>IF(G14&gt;CurMonth,NA(),SUMIFS(Data[[Revenue]:[Revenue]],Data[[Region]:[Region]],Region,Data[[Month]:[Month]],$G14,Data[[Year]:[Year]],J$2))</f>
        <v>#N/A</v>
      </c>
      <c r="K14" s="9" t="e">
        <f>IF(G14=CurMonth,J14,NA())</f>
        <v>#N/A</v>
      </c>
      <c r="AA14" t="s">
        <v>15</v>
      </c>
      <c r="AB14" s="9">
        <f>SUMIFS(Data[Revenue],Data[Region],Region,Data[Month],CurMonth,Data[Year],CurYear,Data[Product Name],'Data Prep'!$AA14)</f>
        <v>11517.119999999999</v>
      </c>
      <c r="AC14" s="9">
        <f>SUMIFS(Data[Revenue],Data[Region],Region,Data[Month],PrevMonth,Data[Year],PMYear,Data[Product Name],'Data Prep'!$AA14)</f>
        <v>11717.07</v>
      </c>
      <c r="AD14" s="12">
        <f t="shared" si="1"/>
        <v>-199.95000000000073</v>
      </c>
      <c r="AE14">
        <f t="shared" si="2"/>
        <v>29</v>
      </c>
      <c r="AF14">
        <f t="shared" si="3"/>
        <v>6</v>
      </c>
      <c r="AH14">
        <v>3</v>
      </c>
      <c r="AI14" t="str">
        <f t="shared" si="6"/>
        <v>Splash Balls</v>
      </c>
      <c r="AJ14" s="12">
        <f t="shared" si="5"/>
        <v>4557.93</v>
      </c>
      <c r="AK14" s="12">
        <f t="shared" si="5"/>
        <v>-701.21999999999935</v>
      </c>
    </row>
    <row r="15" spans="1:37" x14ac:dyDescent="0.3">
      <c r="A15" s="5" t="s">
        <v>93</v>
      </c>
      <c r="B15" s="5" t="s">
        <v>49</v>
      </c>
      <c r="AA15" t="s">
        <v>71</v>
      </c>
      <c r="AB15" s="9">
        <f>SUMIFS(Data[Revenue],Data[Region],Region,Data[Month],CurMonth,Data[Year],CurYear,Data[Product Name],'Data Prep'!$AA15)</f>
        <v>159.84</v>
      </c>
      <c r="AC15" s="9">
        <f>SUMIFS(Data[Revenue],Data[Region],Region,Data[Month],PrevMonth,Data[Year],PMYear,Data[Product Name],'Data Prep'!$AA15)</f>
        <v>229.77</v>
      </c>
      <c r="AD15" s="12">
        <f t="shared" si="1"/>
        <v>-69.930000000000007</v>
      </c>
      <c r="AE15">
        <f t="shared" si="2"/>
        <v>23</v>
      </c>
      <c r="AF15">
        <f t="shared" si="3"/>
        <v>12</v>
      </c>
      <c r="AH15">
        <v>4</v>
      </c>
      <c r="AI15" t="str">
        <f t="shared" si="6"/>
        <v>PlayDoh Can</v>
      </c>
      <c r="AJ15" s="12">
        <f t="shared" si="5"/>
        <v>1336.5300000000002</v>
      </c>
      <c r="AK15" s="12">
        <f t="shared" si="5"/>
        <v>-580.05999999999995</v>
      </c>
    </row>
    <row r="16" spans="1:37" x14ac:dyDescent="0.3">
      <c r="A16">
        <v>1</v>
      </c>
      <c r="B16" t="s">
        <v>116</v>
      </c>
      <c r="AA16" t="s">
        <v>19</v>
      </c>
      <c r="AB16" s="9">
        <f>SUMIFS(Data[Revenue],Data[Region],Region,Data[Month],CurMonth,Data[Year],CurYear,Data[Product Name],'Data Prep'!$AA16)</f>
        <v>79.959999999999994</v>
      </c>
      <c r="AC16" s="9">
        <f>SUMIFS(Data[Revenue],Data[Region],Region,Data[Month],PrevMonth,Data[Year],PMYear,Data[Product Name],'Data Prep'!$AA16)</f>
        <v>279.85999999999996</v>
      </c>
      <c r="AD16" s="12">
        <f t="shared" si="1"/>
        <v>-199.89999999999998</v>
      </c>
      <c r="AE16">
        <f t="shared" si="2"/>
        <v>28</v>
      </c>
      <c r="AF16">
        <f t="shared" si="3"/>
        <v>7</v>
      </c>
      <c r="AH16">
        <v>5</v>
      </c>
      <c r="AI16" t="str">
        <f t="shared" si="6"/>
        <v>Dart Gun</v>
      </c>
      <c r="AJ16" s="12">
        <f t="shared" si="5"/>
        <v>1087.32</v>
      </c>
      <c r="AK16" s="12">
        <f t="shared" si="5"/>
        <v>-383.76</v>
      </c>
    </row>
    <row r="17" spans="1:32" x14ac:dyDescent="0.3">
      <c r="A17">
        <v>2</v>
      </c>
      <c r="B17" t="s">
        <v>117</v>
      </c>
      <c r="AA17" t="s">
        <v>27</v>
      </c>
      <c r="AB17" s="9">
        <f>SUMIFS(Data[Revenue],Data[Region],Region,Data[Month],CurMonth,Data[Year],CurYear,Data[Product Name],'Data Prep'!$AA17)</f>
        <v>1336.5300000000002</v>
      </c>
      <c r="AC17" s="9">
        <f>SUMIFS(Data[Revenue],Data[Region],Region,Data[Month],PrevMonth,Data[Year],PMYear,Data[Product Name],'Data Prep'!$AA17)</f>
        <v>1916.5900000000001</v>
      </c>
      <c r="AD17" s="12">
        <f t="shared" si="1"/>
        <v>-580.05999999999995</v>
      </c>
      <c r="AE17">
        <f t="shared" si="2"/>
        <v>31</v>
      </c>
      <c r="AF17">
        <f t="shared" si="3"/>
        <v>4</v>
      </c>
    </row>
    <row r="18" spans="1:32" x14ac:dyDescent="0.3">
      <c r="A18">
        <v>3</v>
      </c>
      <c r="B18" t="s">
        <v>118</v>
      </c>
      <c r="AA18" t="s">
        <v>11</v>
      </c>
      <c r="AB18" s="9">
        <f>SUMIFS(Data[Revenue],Data[Region],Region,Data[Month],CurMonth,Data[Year],CurYear,Data[Product Name],'Data Prep'!$AA18)</f>
        <v>254.49</v>
      </c>
      <c r="AC18" s="9">
        <f>SUMIFS(Data[Revenue],Data[Region],Region,Data[Month],PrevMonth,Data[Year],PMYear,Data[Product Name],'Data Prep'!$AA18)</f>
        <v>249.5</v>
      </c>
      <c r="AD18" s="12">
        <f t="shared" si="1"/>
        <v>4.9900000000000091</v>
      </c>
      <c r="AE18">
        <f t="shared" si="2"/>
        <v>19</v>
      </c>
      <c r="AF18">
        <f t="shared" si="3"/>
        <v>16</v>
      </c>
    </row>
    <row r="19" spans="1:32" x14ac:dyDescent="0.3">
      <c r="A19">
        <v>4</v>
      </c>
      <c r="B19" t="s">
        <v>119</v>
      </c>
      <c r="AA19" t="s">
        <v>26</v>
      </c>
      <c r="AB19" s="9">
        <f>SUMIFS(Data[Revenue],Data[Region],Region,Data[Month],CurMonth,Data[Year],CurYear,Data[Product Name],'Data Prep'!$AA19)</f>
        <v>3418.2899999999995</v>
      </c>
      <c r="AC19" s="9">
        <f>SUMIFS(Data[Revenue],Data[Region],Region,Data[Month],PrevMonth,Data[Year],PMYear,Data[Product Name],'Data Prep'!$AA19)</f>
        <v>1739.1299999999999</v>
      </c>
      <c r="AD19" s="12">
        <f t="shared" si="1"/>
        <v>1679.1599999999996</v>
      </c>
      <c r="AE19">
        <f t="shared" si="2"/>
        <v>1</v>
      </c>
      <c r="AF19">
        <f t="shared" si="3"/>
        <v>34</v>
      </c>
    </row>
    <row r="20" spans="1:32" x14ac:dyDescent="0.3">
      <c r="A20">
        <v>5</v>
      </c>
      <c r="B20" t="s">
        <v>120</v>
      </c>
      <c r="AA20" t="s">
        <v>6</v>
      </c>
      <c r="AB20" s="9">
        <f>SUMIFS(Data[Revenue],Data[Region],Region,Data[Month],CurMonth,Data[Year],CurYear,Data[Product Name],'Data Prep'!$AA20)</f>
        <v>4557.93</v>
      </c>
      <c r="AC20" s="9">
        <f>SUMIFS(Data[Revenue],Data[Region],Region,Data[Month],PrevMonth,Data[Year],PMYear,Data[Product Name],'Data Prep'!$AA20)</f>
        <v>5259.15</v>
      </c>
      <c r="AD20" s="12">
        <f t="shared" si="1"/>
        <v>-701.21999999999935</v>
      </c>
      <c r="AE20">
        <f t="shared" si="2"/>
        <v>32</v>
      </c>
      <c r="AF20">
        <f t="shared" si="3"/>
        <v>3</v>
      </c>
    </row>
    <row r="21" spans="1:32" x14ac:dyDescent="0.3">
      <c r="A21">
        <v>6</v>
      </c>
      <c r="B21" t="s">
        <v>121</v>
      </c>
      <c r="AA21" t="s">
        <v>16</v>
      </c>
      <c r="AB21" s="9">
        <f>SUMIFS(Data[Revenue],Data[Region],Region,Data[Month],CurMonth,Data[Year],CurYear,Data[Product Name],'Data Prep'!$AA21)</f>
        <v>0</v>
      </c>
      <c r="AC21" s="9">
        <f>SUMIFS(Data[Revenue],Data[Region],Region,Data[Month],PrevMonth,Data[Year],PMYear,Data[Product Name],'Data Prep'!$AA21)</f>
        <v>0</v>
      </c>
      <c r="AD21" s="12">
        <f t="shared" si="1"/>
        <v>0</v>
      </c>
      <c r="AE21">
        <f t="shared" si="2"/>
        <v>20</v>
      </c>
      <c r="AF21">
        <f t="shared" si="3"/>
        <v>15</v>
      </c>
    </row>
    <row r="22" spans="1:32" x14ac:dyDescent="0.3">
      <c r="A22">
        <v>7</v>
      </c>
      <c r="B22" t="s">
        <v>122</v>
      </c>
      <c r="AA22" t="s">
        <v>23</v>
      </c>
      <c r="AB22" s="9">
        <f>SUMIFS(Data[Revenue],Data[Region],Region,Data[Month],CurMonth,Data[Year],CurYear,Data[Product Name],'Data Prep'!$AA22)</f>
        <v>2105.1899999999996</v>
      </c>
      <c r="AC22" s="9">
        <f>SUMIFS(Data[Revenue],Data[Region],Region,Data[Month],PrevMonth,Data[Year],PMYear,Data[Product Name],'Data Prep'!$AA22)</f>
        <v>727.71999999999991</v>
      </c>
      <c r="AD22" s="12">
        <f t="shared" si="1"/>
        <v>1377.4699999999998</v>
      </c>
      <c r="AE22">
        <f t="shared" si="2"/>
        <v>4</v>
      </c>
      <c r="AF22">
        <f t="shared" si="3"/>
        <v>31</v>
      </c>
    </row>
    <row r="23" spans="1:32" x14ac:dyDescent="0.3">
      <c r="A23">
        <v>8</v>
      </c>
      <c r="B23" t="s">
        <v>123</v>
      </c>
      <c r="AA23" t="s">
        <v>10</v>
      </c>
      <c r="AB23" s="9">
        <f>SUMIFS(Data[Revenue],Data[Region],Region,Data[Month],CurMonth,Data[Year],CurYear,Data[Product Name],'Data Prep'!$AA23)</f>
        <v>3058.4699999999993</v>
      </c>
      <c r="AC23" s="9">
        <f>SUMIFS(Data[Revenue],Data[Region],Region,Data[Month],PrevMonth,Data[Year],PMYear,Data[Product Name],'Data Prep'!$AA23)</f>
        <v>1679.1599999999996</v>
      </c>
      <c r="AD23" s="12">
        <f t="shared" si="1"/>
        <v>1379.3099999999997</v>
      </c>
      <c r="AE23">
        <f t="shared" si="2"/>
        <v>3</v>
      </c>
      <c r="AF23">
        <f t="shared" si="3"/>
        <v>32</v>
      </c>
    </row>
    <row r="24" spans="1:32" x14ac:dyDescent="0.3">
      <c r="A24">
        <v>9</v>
      </c>
      <c r="B24" t="s">
        <v>124</v>
      </c>
      <c r="AA24" t="s">
        <v>66</v>
      </c>
      <c r="AB24" s="9">
        <f>SUMIFS(Data[Revenue],Data[Region],Region,Data[Month],CurMonth,Data[Year],CurYear,Data[Product Name],'Data Prep'!$AA24)</f>
        <v>549.78</v>
      </c>
      <c r="AC24" s="9">
        <f>SUMIFS(Data[Revenue],Data[Region],Region,Data[Month],PrevMonth,Data[Year],PMYear,Data[Product Name],'Data Prep'!$AA24)</f>
        <v>0</v>
      </c>
      <c r="AD24" s="12">
        <f t="shared" si="1"/>
        <v>549.78</v>
      </c>
      <c r="AE24">
        <f t="shared" si="2"/>
        <v>10</v>
      </c>
      <c r="AF24">
        <f t="shared" si="3"/>
        <v>25</v>
      </c>
    </row>
    <row r="25" spans="1:32" x14ac:dyDescent="0.3">
      <c r="A25">
        <v>10</v>
      </c>
      <c r="B25" t="s">
        <v>125</v>
      </c>
      <c r="AA25" t="s">
        <v>29</v>
      </c>
      <c r="AB25" s="9">
        <f>SUMIFS(Data[Revenue],Data[Region],Region,Data[Month],CurMonth,Data[Year],CurYear,Data[Product Name],'Data Prep'!$AA25)</f>
        <v>103.87</v>
      </c>
      <c r="AC25" s="9">
        <f>SUMIFS(Data[Revenue],Data[Region],Region,Data[Month],PrevMonth,Data[Year],PMYear,Data[Product Name],'Data Prep'!$AA25)</f>
        <v>143.82</v>
      </c>
      <c r="AD25" s="12">
        <f t="shared" si="1"/>
        <v>-39.949999999999989</v>
      </c>
      <c r="AE25">
        <f t="shared" si="2"/>
        <v>21</v>
      </c>
      <c r="AF25">
        <f t="shared" si="3"/>
        <v>14</v>
      </c>
    </row>
    <row r="26" spans="1:32" x14ac:dyDescent="0.3">
      <c r="A26">
        <v>11</v>
      </c>
      <c r="B26" t="s">
        <v>126</v>
      </c>
      <c r="AA26" t="s">
        <v>34</v>
      </c>
      <c r="AB26" s="9">
        <f>SUMIFS(Data[Revenue],Data[Region],Region,Data[Month],CurMonth,Data[Year],CurYear,Data[Product Name],'Data Prep'!$AA26)</f>
        <v>893.7600000000001</v>
      </c>
      <c r="AC26" s="9">
        <f>SUMIFS(Data[Revenue],Data[Region],Region,Data[Month],PrevMonth,Data[Year],PMYear,Data[Product Name],'Data Prep'!$AA26)</f>
        <v>1061.3400000000001</v>
      </c>
      <c r="AD26" s="12">
        <f t="shared" si="1"/>
        <v>-167.58000000000004</v>
      </c>
      <c r="AE26">
        <f t="shared" si="2"/>
        <v>26</v>
      </c>
      <c r="AF26">
        <f t="shared" si="3"/>
        <v>9</v>
      </c>
    </row>
    <row r="27" spans="1:32" x14ac:dyDescent="0.3">
      <c r="A27">
        <v>12</v>
      </c>
      <c r="B27" t="s">
        <v>127</v>
      </c>
      <c r="AA27" t="s">
        <v>70</v>
      </c>
      <c r="AB27" s="9">
        <f>SUMIFS(Data[Revenue],Data[Region],Region,Data[Month],CurMonth,Data[Year],CurYear,Data[Product Name],'Data Prep'!$AA27)</f>
        <v>712.81</v>
      </c>
      <c r="AC27" s="9">
        <f>SUMIFS(Data[Revenue],Data[Region],Region,Data[Month],PrevMonth,Data[Year],PMYear,Data[Product Name],'Data Prep'!$AA27)</f>
        <v>862.56000000000017</v>
      </c>
      <c r="AD27" s="12">
        <f t="shared" si="1"/>
        <v>-149.75000000000023</v>
      </c>
      <c r="AE27">
        <f t="shared" si="2"/>
        <v>24</v>
      </c>
      <c r="AF27">
        <f t="shared" si="3"/>
        <v>11</v>
      </c>
    </row>
    <row r="28" spans="1:32" x14ac:dyDescent="0.3">
      <c r="AA28" t="s">
        <v>67</v>
      </c>
      <c r="AB28" s="9">
        <f>SUMIFS(Data[Revenue],Data[Region],Region,Data[Month],CurMonth,Data[Year],CurYear,Data[Product Name],'Data Prep'!$AA28)</f>
        <v>419.71999999999997</v>
      </c>
      <c r="AC28" s="9">
        <f>SUMIFS(Data[Revenue],Data[Region],Region,Data[Month],PrevMonth,Data[Year],PMYear,Data[Product Name],'Data Prep'!$AA28)</f>
        <v>224.85</v>
      </c>
      <c r="AD28" s="12">
        <f t="shared" si="1"/>
        <v>194.86999999999998</v>
      </c>
      <c r="AE28">
        <f t="shared" si="2"/>
        <v>14</v>
      </c>
      <c r="AF28">
        <f t="shared" si="3"/>
        <v>21</v>
      </c>
    </row>
    <row r="29" spans="1:32" x14ac:dyDescent="0.3">
      <c r="AA29" t="s">
        <v>37</v>
      </c>
      <c r="AB29" s="9">
        <f>SUMIFS(Data[Revenue],Data[Region],Region,Data[Month],CurMonth,Data[Year],CurYear,Data[Product Name],'Data Prep'!$AA29)</f>
        <v>549.78</v>
      </c>
      <c r="AC29" s="9">
        <f>SUMIFS(Data[Revenue],Data[Region],Region,Data[Month],PrevMonth,Data[Year],PMYear,Data[Product Name],'Data Prep'!$AA29)</f>
        <v>599.76</v>
      </c>
      <c r="AD29" s="12">
        <f t="shared" si="1"/>
        <v>-49.980000000000018</v>
      </c>
      <c r="AE29">
        <f t="shared" si="2"/>
        <v>22</v>
      </c>
      <c r="AF29">
        <f t="shared" si="3"/>
        <v>13</v>
      </c>
    </row>
    <row r="30" spans="1:32" x14ac:dyDescent="0.3">
      <c r="AA30" t="s">
        <v>38</v>
      </c>
      <c r="AB30" s="9">
        <f>SUMIFS(Data[Revenue],Data[Region],Region,Data[Month],CurMonth,Data[Year],CurYear,Data[Product Name],'Data Prep'!$AA30)</f>
        <v>499.5</v>
      </c>
      <c r="AC30" s="9">
        <f>SUMIFS(Data[Revenue],Data[Region],Region,Data[Month],PrevMonth,Data[Year],PMYear,Data[Product Name],'Data Prep'!$AA30)</f>
        <v>469.53000000000003</v>
      </c>
      <c r="AD30" s="12">
        <f t="shared" si="1"/>
        <v>29.96999999999997</v>
      </c>
      <c r="AE30">
        <f t="shared" si="2"/>
        <v>18</v>
      </c>
      <c r="AF30">
        <f t="shared" si="3"/>
        <v>17</v>
      </c>
    </row>
    <row r="31" spans="1:32" x14ac:dyDescent="0.3">
      <c r="AA31" t="s">
        <v>39</v>
      </c>
      <c r="AB31" s="9">
        <f>SUMIFS(Data[Revenue],Data[Region],Region,Data[Month],CurMonth,Data[Year],CurYear,Data[Product Name],'Data Prep'!$AA31)</f>
        <v>939.53</v>
      </c>
      <c r="AC31" s="9">
        <f>SUMIFS(Data[Revenue],Data[Region],Region,Data[Month],PrevMonth,Data[Year],PMYear,Data[Product Name],'Data Prep'!$AA31)</f>
        <v>1099.4499999999998</v>
      </c>
      <c r="AD31" s="12">
        <f t="shared" si="1"/>
        <v>-159.91999999999985</v>
      </c>
      <c r="AE31">
        <f t="shared" si="2"/>
        <v>25</v>
      </c>
      <c r="AF31">
        <f t="shared" si="3"/>
        <v>10</v>
      </c>
    </row>
    <row r="32" spans="1:32" x14ac:dyDescent="0.3">
      <c r="AA32" t="s">
        <v>68</v>
      </c>
      <c r="AB32" s="9">
        <f>SUMIFS(Data[Revenue],Data[Region],Region,Data[Month],CurMonth,Data[Year],CurYear,Data[Product Name],'Data Prep'!$AA32)</f>
        <v>1931.08</v>
      </c>
      <c r="AC32" s="9">
        <f>SUMIFS(Data[Revenue],Data[Region],Region,Data[Month],PrevMonth,Data[Year],PMYear,Data[Product Name],'Data Prep'!$AA32)</f>
        <v>1511.2799999999997</v>
      </c>
      <c r="AD32" s="12">
        <f t="shared" si="1"/>
        <v>419.80000000000018</v>
      </c>
      <c r="AE32">
        <f t="shared" si="2"/>
        <v>11</v>
      </c>
      <c r="AF32">
        <f t="shared" si="3"/>
        <v>24</v>
      </c>
    </row>
    <row r="33" spans="27:32" x14ac:dyDescent="0.3">
      <c r="AA33" t="s">
        <v>42</v>
      </c>
      <c r="AB33" s="9">
        <f>SUMIFS(Data[Revenue],Data[Region],Region,Data[Month],CurMonth,Data[Year],CurYear,Data[Product Name],'Data Prep'!$AA33)</f>
        <v>7595.25</v>
      </c>
      <c r="AC33" s="9">
        <f>SUMIFS(Data[Revenue],Data[Region],Region,Data[Month],PrevMonth,Data[Year],PMYear,Data[Product Name],'Data Prep'!$AA33)</f>
        <v>6923.67</v>
      </c>
      <c r="AD33" s="12">
        <f t="shared" si="1"/>
        <v>671.57999999999993</v>
      </c>
      <c r="AE33">
        <f t="shared" si="2"/>
        <v>9</v>
      </c>
      <c r="AF33">
        <f t="shared" si="3"/>
        <v>26</v>
      </c>
    </row>
    <row r="34" spans="27:32" x14ac:dyDescent="0.3">
      <c r="AA34" t="s">
        <v>41</v>
      </c>
      <c r="AB34" s="9">
        <f>SUMIFS(Data[Revenue],Data[Region],Region,Data[Month],CurMonth,Data[Year],CurYear,Data[Product Name],'Data Prep'!$AA34)</f>
        <v>589.41</v>
      </c>
      <c r="AC34" s="9">
        <f>SUMIFS(Data[Revenue],Data[Region],Region,Data[Month],PrevMonth,Data[Year],PMYear,Data[Product Name],'Data Prep'!$AA34)</f>
        <v>459.54000000000008</v>
      </c>
      <c r="AD34" s="12">
        <f t="shared" si="1"/>
        <v>129.86999999999989</v>
      </c>
      <c r="AE34">
        <f t="shared" si="2"/>
        <v>16</v>
      </c>
      <c r="AF34">
        <f t="shared" si="3"/>
        <v>19</v>
      </c>
    </row>
    <row r="35" spans="27:32" x14ac:dyDescent="0.3">
      <c r="AA35" t="s">
        <v>43</v>
      </c>
      <c r="AB35" s="9">
        <f>SUMIFS(Data[Revenue],Data[Region],Region,Data[Month],CurMonth,Data[Year],CurYear,Data[Product Name],'Data Prep'!$AA35)</f>
        <v>2078.0099999999998</v>
      </c>
      <c r="AC35" s="9">
        <f>SUMIFS(Data[Revenue],Data[Region],Region,Data[Month],PrevMonth,Data[Year],PMYear,Data[Product Name],'Data Prep'!$AA35)</f>
        <v>1154.4499999999998</v>
      </c>
      <c r="AD35" s="12">
        <f t="shared" si="1"/>
        <v>923.56</v>
      </c>
      <c r="AE35">
        <f t="shared" si="2"/>
        <v>6</v>
      </c>
      <c r="AF35">
        <f t="shared" si="3"/>
        <v>29</v>
      </c>
    </row>
    <row r="36" spans="27:32" x14ac:dyDescent="0.3">
      <c r="AA36" t="s">
        <v>69</v>
      </c>
      <c r="AB36" s="9">
        <f>SUMIFS(Data[Revenue],Data[Region],Region,Data[Month],CurMonth,Data[Year],CurYear,Data[Product Name],'Data Prep'!$AA36)</f>
        <v>1294.92</v>
      </c>
      <c r="AC36" s="9">
        <f>SUMIFS(Data[Revenue],Data[Region],Region,Data[Month],PrevMonth,Data[Year],PMYear,Data[Product Name],'Data Prep'!$AA36)</f>
        <v>1258.95</v>
      </c>
      <c r="AD36" s="12">
        <f t="shared" si="1"/>
        <v>35.970000000000027</v>
      </c>
      <c r="AE36">
        <f t="shared" si="2"/>
        <v>17</v>
      </c>
      <c r="AF36">
        <f t="shared" si="3"/>
        <v>18</v>
      </c>
    </row>
  </sheetData>
  <sortState xmlns:xlrd2="http://schemas.microsoft.com/office/spreadsheetml/2017/richdata2" ref="M3:P14">
    <sortCondition ref="N1:N14"/>
  </sortState>
  <phoneticPr fontId="2" type="noConversion"/>
  <conditionalFormatting sqref="E5:E6">
    <cfRule type="cellIs" dxfId="0" priority="1" operator="greaterThan">
      <formula>0</formula>
    </cfRule>
  </conditionalFormatting>
  <pageMargins left="0.7" right="0.7" top="0.75" bottom="0.75" header="0.3" footer="0.3"/>
  <ignoredErrors>
    <ignoredError sqref="U3:U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FC7F-6DC0-4820-80D4-E018F2ED754A}">
  <dimension ref="B1:S40"/>
  <sheetViews>
    <sheetView showGridLines="0" tabSelected="1" zoomScaleNormal="100" workbookViewId="0">
      <selection activeCell="A18" sqref="A18"/>
    </sheetView>
  </sheetViews>
  <sheetFormatPr defaultColWidth="0" defaultRowHeight="14.4" zeroHeight="1" x14ac:dyDescent="0.3"/>
  <cols>
    <col min="1" max="1" width="6.44140625" customWidth="1"/>
    <col min="2" max="2" width="14.33203125" bestFit="1" customWidth="1"/>
    <col min="3" max="3" width="23.5546875" customWidth="1"/>
    <col min="4" max="4" width="21.5546875" customWidth="1"/>
    <col min="5" max="5" width="20.44140625" bestFit="1" customWidth="1"/>
    <col min="6" max="10" width="8.88671875" customWidth="1"/>
    <col min="11" max="11" width="3.77734375" customWidth="1"/>
    <col min="12" max="12" width="3.44140625" customWidth="1"/>
    <col min="13" max="13" width="4.44140625" customWidth="1"/>
    <col min="14" max="14" width="4.33203125" customWidth="1"/>
    <col min="15" max="15" width="2.6640625" customWidth="1"/>
    <col min="16" max="16" width="17.77734375" bestFit="1" customWidth="1"/>
    <col min="17" max="17" width="12.88671875" customWidth="1"/>
    <col min="18" max="18" width="22.6640625" customWidth="1"/>
    <col min="19" max="19" width="3.5546875" customWidth="1"/>
    <col min="20" max="16384" width="8.88671875" hidden="1"/>
  </cols>
  <sheetData>
    <row r="1" spans="2:19" ht="9.6" customHeight="1" x14ac:dyDescent="0.3"/>
    <row r="2" spans="2:19" x14ac:dyDescent="0.3"/>
    <row r="3" spans="2:19" x14ac:dyDescent="0.3"/>
    <row r="4" spans="2:19" x14ac:dyDescent="0.3"/>
    <row r="5" spans="2:19" ht="10.199999999999999" customHeight="1" x14ac:dyDescent="0.3"/>
    <row r="6" spans="2:19" ht="31.2" x14ac:dyDescent="0.6">
      <c r="B6" s="21" t="s">
        <v>114</v>
      </c>
      <c r="C6" s="25" t="s">
        <v>5</v>
      </c>
      <c r="D6" s="21" t="s">
        <v>128</v>
      </c>
      <c r="E6" s="22" t="str">
        <f>'Data Prep'!$B$13&amp;"?"</f>
        <v>July 2021?</v>
      </c>
    </row>
    <row r="7" spans="2:19" x14ac:dyDescent="0.3"/>
    <row r="8" spans="2:19" x14ac:dyDescent="0.3"/>
    <row r="9" spans="2:19" ht="7.8" customHeight="1" x14ac:dyDescent="0.3"/>
    <row r="10" spans="2:19" x14ac:dyDescent="0.3"/>
    <row r="11" spans="2:19" x14ac:dyDescent="0.3"/>
    <row r="12" spans="2:19" x14ac:dyDescent="0.3"/>
    <row r="13" spans="2:19" ht="21" x14ac:dyDescent="0.4">
      <c r="P13" s="16" t="s">
        <v>107</v>
      </c>
      <c r="Q13" s="17" t="s">
        <v>46</v>
      </c>
      <c r="R13" s="17" t="s">
        <v>113</v>
      </c>
      <c r="S13" s="15"/>
    </row>
    <row r="14" spans="2:19" ht="18" customHeight="1" x14ac:dyDescent="0.35">
      <c r="P14" s="18" t="str">
        <f>'Data Prep'!AI3</f>
        <v>Rubik's Cube</v>
      </c>
      <c r="Q14" s="19">
        <f>'Data Prep'!AJ3</f>
        <v>3418.2899999999995</v>
      </c>
      <c r="R14" s="19">
        <f>'Data Prep'!AK3</f>
        <v>1679.1599999999996</v>
      </c>
    </row>
    <row r="15" spans="2:19" ht="18" customHeight="1" x14ac:dyDescent="0.35">
      <c r="P15" s="18" t="str">
        <f>'Data Prep'!AI4</f>
        <v>Dinosaur Figures</v>
      </c>
      <c r="Q15" s="19">
        <f>'Data Prep'!AJ4</f>
        <v>2413.39</v>
      </c>
      <c r="R15" s="19">
        <f>'Data Prep'!AK4</f>
        <v>1409.06</v>
      </c>
    </row>
    <row r="16" spans="2:19" ht="18" customHeight="1" x14ac:dyDescent="0.35">
      <c r="P16" s="18" t="str">
        <f>'Data Prep'!AI5</f>
        <v>Nerf Gun</v>
      </c>
      <c r="Q16" s="19">
        <f>'Data Prep'!AJ5</f>
        <v>3058.4699999999993</v>
      </c>
      <c r="R16" s="19">
        <f>'Data Prep'!AK5</f>
        <v>1379.3099999999997</v>
      </c>
    </row>
    <row r="17" spans="16:18" ht="18" customHeight="1" x14ac:dyDescent="0.35">
      <c r="P17" s="18" t="str">
        <f>'Data Prep'!AI6</f>
        <v>Toy Robot</v>
      </c>
      <c r="Q17" s="19">
        <f>'Data Prep'!AJ6</f>
        <v>2105.1899999999996</v>
      </c>
      <c r="R17" s="19">
        <f>'Data Prep'!AK6</f>
        <v>1377.4699999999998</v>
      </c>
    </row>
    <row r="18" spans="16:18" ht="18" customHeight="1" x14ac:dyDescent="0.35">
      <c r="P18" s="18" t="str">
        <f>'Data Prep'!AI7</f>
        <v>Kids Makeup Kit</v>
      </c>
      <c r="Q18" s="19">
        <f>'Data Prep'!AJ7</f>
        <v>3338.33</v>
      </c>
      <c r="R18" s="19">
        <f>'Data Prep'!AK7</f>
        <v>1059.4700000000003</v>
      </c>
    </row>
    <row r="19" spans="16:18" ht="18" customHeight="1" x14ac:dyDescent="0.35">
      <c r="R19" s="23">
        <f>SUM(R14:R18)</f>
        <v>6904.4699999999984</v>
      </c>
    </row>
    <row r="20" spans="16:18" ht="10.8" customHeight="1" x14ac:dyDescent="0.3"/>
    <row r="21" spans="16:18" ht="18" customHeight="1" x14ac:dyDescent="0.3"/>
    <row r="22" spans="16:18" ht="18" customHeight="1" x14ac:dyDescent="0.3"/>
    <row r="23" spans="16:18" ht="18" customHeight="1" x14ac:dyDescent="0.3"/>
    <row r="24" spans="16:18" ht="18" customHeight="1" x14ac:dyDescent="0.4">
      <c r="P24" s="16" t="s">
        <v>107</v>
      </c>
      <c r="Q24" s="17" t="s">
        <v>46</v>
      </c>
      <c r="R24" s="17" t="s">
        <v>113</v>
      </c>
    </row>
    <row r="25" spans="16:18" ht="18" customHeight="1" x14ac:dyDescent="0.35">
      <c r="P25" s="18" t="str">
        <f>'Data Prep'!AI12</f>
        <v>Action Figure</v>
      </c>
      <c r="Q25" s="18">
        <f>'Data Prep'!AJ12</f>
        <v>1551.03</v>
      </c>
      <c r="R25" s="18">
        <f>'Data Prep'!AK12</f>
        <v>-1087.3200000000004</v>
      </c>
    </row>
    <row r="26" spans="16:18" ht="18" customHeight="1" x14ac:dyDescent="0.35">
      <c r="P26" s="18" t="str">
        <f>'Data Prep'!AI13</f>
        <v>Glass Marbles</v>
      </c>
      <c r="Q26" s="18">
        <f>'Data Prep'!AJ13</f>
        <v>4538.87</v>
      </c>
      <c r="R26" s="18">
        <f>'Data Prep'!AK13</f>
        <v>-802.27000000000044</v>
      </c>
    </row>
    <row r="27" spans="16:18" ht="18" customHeight="1" x14ac:dyDescent="0.35">
      <c r="P27" s="18" t="str">
        <f>'Data Prep'!AI14</f>
        <v>Splash Balls</v>
      </c>
      <c r="Q27" s="18">
        <f>'Data Prep'!AJ14</f>
        <v>4557.93</v>
      </c>
      <c r="R27" s="18">
        <f>'Data Prep'!AK14</f>
        <v>-701.21999999999935</v>
      </c>
    </row>
    <row r="28" spans="16:18" ht="18" customHeight="1" x14ac:dyDescent="0.35">
      <c r="P28" s="18" t="str">
        <f>'Data Prep'!AI15</f>
        <v>PlayDoh Can</v>
      </c>
      <c r="Q28" s="18">
        <f>'Data Prep'!AJ15</f>
        <v>1336.5300000000002</v>
      </c>
      <c r="R28" s="18">
        <f>'Data Prep'!AK15</f>
        <v>-580.05999999999995</v>
      </c>
    </row>
    <row r="29" spans="16:18" ht="18" customHeight="1" x14ac:dyDescent="0.35">
      <c r="P29" s="18" t="str">
        <f>'Data Prep'!AI16</f>
        <v>Dart Gun</v>
      </c>
      <c r="Q29" s="18">
        <f>'Data Prep'!AJ16</f>
        <v>1087.32</v>
      </c>
      <c r="R29" s="18">
        <f>'Data Prep'!AK16</f>
        <v>-383.76</v>
      </c>
    </row>
    <row r="30" spans="16:18" ht="18" customHeight="1" x14ac:dyDescent="0.35">
      <c r="R30" s="24">
        <f>SUM(R25:R29)</f>
        <v>-3554.63</v>
      </c>
    </row>
    <row r="31" spans="16:18" ht="18" customHeight="1" x14ac:dyDescent="0.3"/>
    <row r="32" spans="16:18" ht="18" customHeight="1" x14ac:dyDescent="0.3"/>
    <row r="33" ht="18" customHeight="1" x14ac:dyDescent="0.3"/>
    <row r="34" ht="18" customHeight="1" x14ac:dyDescent="0.3"/>
    <row r="35" ht="18" hidden="1" customHeight="1" x14ac:dyDescent="0.3"/>
    <row r="36" ht="18" hidden="1" customHeight="1" x14ac:dyDescent="0.3"/>
    <row r="37" ht="18" hidden="1" customHeight="1" x14ac:dyDescent="0.3"/>
    <row r="38" ht="18" hidden="1" customHeight="1" x14ac:dyDescent="0.3"/>
    <row r="39" ht="18" hidden="1" customHeight="1" x14ac:dyDescent="0.3"/>
    <row r="40" ht="18" hidden="1" customHeight="1" x14ac:dyDescent="0.3"/>
  </sheetData>
  <conditionalFormatting sqref="R14:R18">
    <cfRule type="colorScale" priority="2">
      <colorScale>
        <cfvo type="min"/>
        <cfvo type="max"/>
        <color theme="0"/>
        <color theme="9" tint="0.39997558519241921"/>
      </colorScale>
    </cfRule>
  </conditionalFormatting>
  <conditionalFormatting sqref="R25:R29">
    <cfRule type="colorScale" priority="1">
      <colorScale>
        <cfvo type="min"/>
        <cfvo type="max"/>
        <color rgb="FFF9777A"/>
        <color rgb="FFFCFCFF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80E83B-4696-412F-BE79-EA9E2A6D8E3B}">
          <x14:formula1>
            <xm:f>'Data Prep'!$A$3:$A$5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243" workbookViewId="0">
      <selection sqref="A1:J269"/>
    </sheetView>
  </sheetViews>
  <sheetFormatPr defaultRowHeight="14.4" x14ac:dyDescent="0.3"/>
  <sheetData>
    <row r="1" spans="1:10" x14ac:dyDescent="0.3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>
      <selection activeCell="H14" sqref="H14:H20"/>
    </sheetView>
  </sheetViews>
  <sheetFormatPr defaultRowHeight="14.4" x14ac:dyDescent="0.3"/>
  <sheetData>
    <row r="1" spans="1:10" x14ac:dyDescent="0.3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Data Prep</vt:lpstr>
      <vt:lpstr>Dashboard</vt:lpstr>
      <vt:lpstr>New Data (Aug 2021)</vt:lpstr>
      <vt:lpstr>New Data (Sep 2021)</vt:lpstr>
      <vt:lpstr>CurMonth</vt:lpstr>
      <vt:lpstr>CurYear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Aishwarya Chandrashekar</cp:lastModifiedBy>
  <dcterms:created xsi:type="dcterms:W3CDTF">2021-07-16T18:17:37Z</dcterms:created>
  <dcterms:modified xsi:type="dcterms:W3CDTF">2024-10-27T15:32:20Z</dcterms:modified>
</cp:coreProperties>
</file>