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1GlobalMarkets\"/>
    </mc:Choice>
  </mc:AlternateContent>
  <bookViews>
    <workbookView xWindow="17340" yWindow="-21576" windowWidth="31044" windowHeight="20136" tabRatio="500"/>
  </bookViews>
  <sheets>
    <sheet name="wk01" sheetId="1" r:id="rId1"/>
    <sheet name="wk02" sheetId="2" r:id="rId2"/>
    <sheet name="wk0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47" i="1"/>
  <c r="BM2" i="3"/>
  <c r="AA3" i="3"/>
  <c r="D46" i="1"/>
  <c r="D45" i="1"/>
  <c r="D44" i="1"/>
  <c r="AC3" i="3"/>
  <c r="BH2" i="3"/>
  <c r="BC2" i="3"/>
  <c r="AY5" i="3"/>
  <c r="AW2" i="3"/>
  <c r="AV2" i="3"/>
  <c r="AT2" i="3"/>
  <c r="AI3" i="3"/>
  <c r="AK3" i="3"/>
  <c r="AL3" i="3"/>
  <c r="AM3" i="3"/>
  <c r="AO3" i="3"/>
  <c r="AO2" i="3"/>
  <c r="AM2" i="3"/>
  <c r="AI2" i="3"/>
  <c r="AK2" i="3"/>
  <c r="AL2" i="3"/>
  <c r="AE2" i="3"/>
  <c r="AC2" i="3"/>
  <c r="X2" i="3"/>
  <c r="N2" i="3"/>
  <c r="O2" i="3"/>
  <c r="P2" i="3"/>
  <c r="Q2" i="3"/>
  <c r="S2" i="3"/>
  <c r="F2" i="3"/>
  <c r="E2" i="3"/>
  <c r="G2" i="3"/>
  <c r="H2" i="3"/>
  <c r="M19" i="2"/>
  <c r="N19" i="2"/>
  <c r="O19" i="2"/>
  <c r="P19" i="2"/>
  <c r="Q19" i="2"/>
  <c r="R19" i="2"/>
  <c r="AF4" i="2"/>
  <c r="AG4" i="2"/>
  <c r="AH4" i="2"/>
  <c r="M18" i="2"/>
  <c r="N18" i="2"/>
  <c r="O18" i="2"/>
  <c r="P18" i="2"/>
  <c r="Q18" i="2"/>
  <c r="R18" i="2"/>
  <c r="M17" i="2"/>
  <c r="N17" i="2"/>
  <c r="O17" i="2"/>
  <c r="P17" i="2"/>
  <c r="Q17" i="2"/>
  <c r="R17" i="2"/>
  <c r="M16" i="2"/>
  <c r="N16" i="2"/>
  <c r="O16" i="2"/>
  <c r="P16" i="2"/>
  <c r="Q16" i="2"/>
  <c r="R16" i="2"/>
  <c r="M15" i="2"/>
  <c r="N15" i="2"/>
  <c r="O15" i="2"/>
  <c r="P15" i="2"/>
  <c r="Q15" i="2"/>
  <c r="R15" i="2"/>
  <c r="M14" i="2"/>
  <c r="N14" i="2"/>
  <c r="O14" i="2"/>
  <c r="P14" i="2"/>
  <c r="Q14" i="2"/>
  <c r="R14" i="2"/>
  <c r="M13" i="2"/>
  <c r="N13" i="2"/>
  <c r="O13" i="2"/>
  <c r="P13" i="2"/>
  <c r="Q13" i="2"/>
  <c r="R13" i="2"/>
  <c r="AF3" i="2"/>
  <c r="AG3" i="2"/>
  <c r="AH3" i="2"/>
  <c r="W7" i="2"/>
  <c r="Y7" i="2"/>
  <c r="Z7" i="2"/>
  <c r="AA7" i="2"/>
  <c r="M12" i="2"/>
  <c r="N12" i="2"/>
  <c r="O12" i="2"/>
  <c r="P12" i="2"/>
  <c r="Q12" i="2"/>
  <c r="R12" i="2"/>
  <c r="AH2" i="2"/>
  <c r="AG2" i="2"/>
  <c r="AF2" i="2"/>
  <c r="W6" i="2"/>
  <c r="Y6" i="2"/>
  <c r="Z6" i="2"/>
  <c r="AA6" i="2"/>
  <c r="W5" i="2"/>
  <c r="Y5" i="2"/>
  <c r="Z5" i="2"/>
  <c r="AA5" i="2"/>
  <c r="W2" i="2"/>
  <c r="Y2" i="2"/>
  <c r="Z2" i="2"/>
  <c r="AA2" i="2"/>
  <c r="AA3" i="2"/>
  <c r="AA4" i="2"/>
  <c r="W3" i="2"/>
  <c r="Y3" i="2"/>
  <c r="Z3" i="2"/>
  <c r="W4" i="2"/>
  <c r="Y4" i="2"/>
  <c r="Z4" i="2"/>
  <c r="M11" i="2"/>
  <c r="N11" i="2"/>
  <c r="O11" i="2"/>
  <c r="P11" i="2"/>
  <c r="Q11" i="2"/>
  <c r="R11" i="2"/>
  <c r="R10" i="2"/>
  <c r="M10" i="2"/>
  <c r="N10" i="2"/>
  <c r="O10" i="2"/>
  <c r="P10" i="2"/>
  <c r="Q10" i="2"/>
  <c r="M9" i="2"/>
  <c r="N9" i="2"/>
  <c r="O9" i="2"/>
  <c r="P9" i="2"/>
  <c r="Q9" i="2"/>
  <c r="R9" i="2"/>
  <c r="F6" i="2"/>
  <c r="M8" i="2"/>
  <c r="N8" i="2"/>
  <c r="O8" i="2"/>
  <c r="P8" i="2"/>
  <c r="Q8" i="2"/>
  <c r="R8" i="2"/>
  <c r="D4" i="2"/>
  <c r="F4" i="2"/>
  <c r="M7" i="2"/>
  <c r="N7" i="2"/>
  <c r="O7" i="2"/>
  <c r="P7" i="2"/>
  <c r="Q7" i="2"/>
  <c r="R7" i="2"/>
  <c r="M6" i="2"/>
  <c r="N6" i="2"/>
  <c r="O6" i="2"/>
  <c r="P6" i="2"/>
  <c r="Q6" i="2"/>
  <c r="R6" i="2"/>
  <c r="M4" i="2"/>
  <c r="M5" i="2"/>
  <c r="N5" i="2"/>
  <c r="O5" i="2"/>
  <c r="P5" i="2"/>
  <c r="Q5" i="2"/>
  <c r="R5" i="2"/>
  <c r="N4" i="2"/>
  <c r="O4" i="2"/>
  <c r="P4" i="2"/>
  <c r="Q4" i="2"/>
  <c r="R4" i="2"/>
  <c r="M3" i="2"/>
  <c r="N3" i="2"/>
  <c r="O3" i="2"/>
  <c r="P3" i="2"/>
  <c r="Q3" i="2"/>
  <c r="R3" i="2"/>
  <c r="M2" i="2"/>
  <c r="N2" i="2"/>
  <c r="O2" i="2"/>
  <c r="P2" i="2"/>
  <c r="Q2" i="2"/>
  <c r="R2" i="2"/>
  <c r="D2" i="2"/>
  <c r="F2" i="2"/>
  <c r="D3" i="2"/>
  <c r="F3" i="2"/>
  <c r="D9" i="1"/>
  <c r="E9" i="1"/>
  <c r="D8" i="1"/>
  <c r="E8" i="1"/>
  <c r="B7" i="1"/>
  <c r="D7" i="1"/>
  <c r="E7" i="1"/>
  <c r="I6" i="1"/>
  <c r="K6" i="1"/>
  <c r="L6" i="1"/>
  <c r="W4" i="1"/>
  <c r="X4" i="1"/>
  <c r="AA2" i="1"/>
  <c r="E57" i="1"/>
  <c r="F57" i="1"/>
  <c r="G57" i="1"/>
  <c r="K20" i="1"/>
  <c r="L20" i="1"/>
  <c r="E56" i="1"/>
  <c r="F56" i="1"/>
  <c r="G56" i="1"/>
  <c r="E55" i="1"/>
  <c r="F55" i="1"/>
  <c r="G55" i="1"/>
  <c r="D43" i="1"/>
  <c r="D42" i="1"/>
  <c r="W3" i="1"/>
  <c r="X3" i="1"/>
  <c r="B41" i="1"/>
  <c r="D41" i="1"/>
  <c r="D40" i="1"/>
  <c r="D39" i="1"/>
  <c r="J17" i="1"/>
  <c r="J16" i="1"/>
  <c r="E52" i="1"/>
  <c r="F52" i="1"/>
  <c r="D38" i="1"/>
  <c r="D37" i="1"/>
  <c r="C29" i="1"/>
  <c r="E29" i="1"/>
  <c r="D36" i="1"/>
  <c r="E51" i="1"/>
  <c r="F51" i="1"/>
  <c r="D35" i="1"/>
  <c r="D34" i="1"/>
  <c r="C28" i="1"/>
  <c r="E28" i="1"/>
  <c r="C27" i="1"/>
  <c r="E27" i="1"/>
  <c r="C26" i="1"/>
  <c r="E26" i="1"/>
  <c r="C25" i="1"/>
  <c r="E25" i="1"/>
  <c r="C24" i="1"/>
  <c r="E24" i="1"/>
  <c r="C23" i="1"/>
  <c r="E23" i="1"/>
  <c r="C22" i="1"/>
  <c r="E22" i="1"/>
  <c r="C21" i="1"/>
  <c r="E21" i="1"/>
  <c r="I13" i="1"/>
  <c r="D20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J5" i="1"/>
  <c r="I5" i="1"/>
  <c r="K5" i="1"/>
  <c r="L5" i="1"/>
  <c r="J4" i="1"/>
  <c r="I2" i="1"/>
  <c r="I4" i="1"/>
  <c r="K4" i="1"/>
  <c r="L4" i="1"/>
  <c r="J3" i="1"/>
  <c r="I3" i="1"/>
  <c r="K3" i="1"/>
  <c r="L3" i="1"/>
  <c r="D6" i="1"/>
  <c r="E6" i="1"/>
  <c r="D5" i="1"/>
  <c r="E5" i="1"/>
  <c r="D4" i="1"/>
  <c r="E4" i="1"/>
  <c r="Q3" i="1"/>
  <c r="R3" i="1"/>
  <c r="W2" i="1"/>
  <c r="X2" i="1"/>
  <c r="Q2" i="1"/>
  <c r="R2" i="1"/>
  <c r="K2" i="1"/>
  <c r="L2" i="1"/>
  <c r="D3" i="1"/>
  <c r="E3" i="1"/>
  <c r="D2" i="1"/>
  <c r="E2" i="1"/>
</calcChain>
</file>

<file path=xl/sharedStrings.xml><?xml version="1.0" encoding="utf-8"?>
<sst xmlns="http://schemas.openxmlformats.org/spreadsheetml/2006/main" count="139" uniqueCount="82">
  <si>
    <t>Annuity</t>
  </si>
  <si>
    <t>Rate</t>
  </si>
  <si>
    <t>Periods</t>
  </si>
  <si>
    <t>PresVal</t>
  </si>
  <si>
    <t>ADF</t>
  </si>
  <si>
    <t>Loan</t>
  </si>
  <si>
    <t>Payments</t>
  </si>
  <si>
    <t>ACF</t>
  </si>
  <si>
    <t>FutVal</t>
  </si>
  <si>
    <t>APR</t>
  </si>
  <si>
    <t>PeriodRate</t>
  </si>
  <si>
    <t>PerForRate</t>
  </si>
  <si>
    <t>PerRate</t>
  </si>
  <si>
    <t>ContComp</t>
  </si>
  <si>
    <t>Perpetuity</t>
  </si>
  <si>
    <t>GrowthRate</t>
  </si>
  <si>
    <t>AnnGrowthRate</t>
  </si>
  <si>
    <t>Amt</t>
  </si>
  <si>
    <t>CompPer</t>
  </si>
  <si>
    <t>RatePerPeriod</t>
  </si>
  <si>
    <t>TotMult</t>
  </si>
  <si>
    <t>EffPeriods</t>
  </si>
  <si>
    <t>FaceVal</t>
  </si>
  <si>
    <t>Yrs</t>
  </si>
  <si>
    <t>Return</t>
  </si>
  <si>
    <t>Nperiods</t>
  </si>
  <si>
    <t>RetPeriods</t>
  </si>
  <si>
    <t>RetPerPeriod</t>
  </si>
  <si>
    <t>CoupPerYr</t>
  </si>
  <si>
    <t>CoupPresVal</t>
  </si>
  <si>
    <t>FacePresVal</t>
  </si>
  <si>
    <t>TotPresVal</t>
  </si>
  <si>
    <t>CoupVal</t>
  </si>
  <si>
    <t>TBillFaceVal</t>
  </si>
  <si>
    <t>Today</t>
  </si>
  <si>
    <t>Maturity</t>
  </si>
  <si>
    <t>DaysToMat</t>
  </si>
  <si>
    <t>Discount</t>
  </si>
  <si>
    <t>ImpliedPrice</t>
  </si>
  <si>
    <t>IRR</t>
  </si>
  <si>
    <t>YTM</t>
  </si>
  <si>
    <t>EffAnnYield</t>
  </si>
  <si>
    <t>BuyPrice</t>
  </si>
  <si>
    <t>SellPrice</t>
  </si>
  <si>
    <t>Dividend</t>
  </si>
  <si>
    <t>Ndivs</t>
  </si>
  <si>
    <t>TotRet</t>
  </si>
  <si>
    <t>CapGain</t>
  </si>
  <si>
    <t>DivYield</t>
  </si>
  <si>
    <t>DivTot</t>
  </si>
  <si>
    <t>Div1</t>
  </si>
  <si>
    <t>Div2</t>
  </si>
  <si>
    <t>Div3</t>
  </si>
  <si>
    <t>Ret</t>
  </si>
  <si>
    <t>PV1</t>
  </si>
  <si>
    <t>PV2</t>
  </si>
  <si>
    <t>PV3</t>
  </si>
  <si>
    <t>PVTot</t>
  </si>
  <si>
    <t>Shares</t>
  </si>
  <si>
    <t>PVTotPerShare</t>
  </si>
  <si>
    <t>StartDiv</t>
  </si>
  <si>
    <t>Growth</t>
  </si>
  <si>
    <t>TargRet</t>
  </si>
  <si>
    <t>PV</t>
  </si>
  <si>
    <t>Div</t>
  </si>
  <si>
    <t>DivGrowth</t>
  </si>
  <si>
    <t>ImpliedGrowth</t>
  </si>
  <si>
    <t>r</t>
  </si>
  <si>
    <t>g</t>
  </si>
  <si>
    <t>yrs</t>
  </si>
  <si>
    <t>StartDist</t>
  </si>
  <si>
    <t>LastAnnVal</t>
  </si>
  <si>
    <t>NextG</t>
  </si>
  <si>
    <t>NextStart</t>
  </si>
  <si>
    <t>StartPerp</t>
  </si>
  <si>
    <t>StartVal</t>
  </si>
  <si>
    <t>Items</t>
  </si>
  <si>
    <t>EqPrice</t>
  </si>
  <si>
    <t>ContractPrice</t>
  </si>
  <si>
    <t>ActualPrice</t>
  </si>
  <si>
    <t>Qty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</si>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</sst>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44" fontId="0" fillId="0" borderId="0" xfId="29" applyFont="1"/>
    <xf numFmtId="2" fontId="0" fillId="0" borderId="0" xfId="0" applyNumberFormat="1"/>
    <xf numFmtId="164" fontId="0" fillId="0" borderId="0" xfId="30" applyNumberFormat="1" applyFont="1"/>
    <xf numFmtId="165" fontId="0" fillId="0" borderId="0" xfId="29" applyNumberFormat="1" applyFont="1"/>
    <xf numFmtId="44" fontId="0" fillId="0" borderId="0" xfId="0" applyNumberFormat="1"/>
    <xf numFmtId="14" fontId="0" fillId="0" borderId="0" xfId="0" applyNumberFormat="1"/>
    <xf numFmtId="166" fontId="0" fillId="0" borderId="0" xfId="29" applyNumberFormat="1" applyFont="1"/>
    <xf numFmtId="10" fontId="0" fillId="0" borderId="0" xfId="30" applyNumberFormat="1" applyFont="1"/>
    <xf numFmtId="43" fontId="0" fillId="0" borderId="0" xfId="31" applyFont="1"/>
  </cellXfs>
  <cellStyles count="32">
    <cellStyle name="Comma" xfId="31" builtinId="3"/>
    <cellStyle name="Currency" xfId="2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30" builtinId="5"/>
  </cellStyles>
  <dxfs count="50"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6" formatCode="_(&quot;$&quot;* #,##0.000_);_(&quot;$&quot;* \(#,##0.000\);_(&quot;$&quot;* &quot;-&quot;??_);_(@_)"/>
    </dxf>
    <dxf>
      <numFmt numFmtId="14" formatCode="0.00%"/>
    </dxf>
    <dxf>
      <numFmt numFmtId="14" formatCode="0.00%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4" formatCode="0.00%"/>
    </dxf>
    <dxf>
      <numFmt numFmtId="164" formatCode="0.0000%"/>
    </dxf>
    <dxf>
      <numFmt numFmtId="164" formatCode="0.0000%"/>
    </dxf>
    <dxf>
      <numFmt numFmtId="164" formatCode="0.0000%"/>
    </dxf>
    <dxf>
      <numFmt numFmtId="2" formatCode="0.00"/>
    </dxf>
    <dxf>
      <numFmt numFmtId="164" formatCode="0.0000%"/>
    </dxf>
    <dxf>
      <numFmt numFmtId="164" formatCode="0.0000%"/>
    </dxf>
    <dxf>
      <numFmt numFmtId="164" formatCode="0.0000%"/>
    </dxf>
    <dxf>
      <numFmt numFmtId="164" formatCode="0.0000%"/>
    </dxf>
    <dxf>
      <numFmt numFmtId="164" formatCode="0.0000%"/>
    </dxf>
    <dxf>
      <numFmt numFmtId="166" formatCode="_(&quot;$&quot;* #,##0.000_);_(&quot;$&quot;* \(#,##0.000\);_(&quot;$&quot;* &quot;-&quot;??_);_(@_)"/>
    </dxf>
    <dxf>
      <numFmt numFmtId="19" formatCode="m/d/yyyy"/>
    </dxf>
    <dxf>
      <numFmt numFmtId="19" formatCode="m/d/yyyy"/>
    </dxf>
    <dxf>
      <numFmt numFmtId="165" formatCode="_(&quot;$&quot;* #,##0.0000_);_(&quot;$&quot;* \(#,##0.0000\);_(&quot;$&quot;* &quot;-&quot;??_);_(@_)"/>
    </dxf>
    <dxf>
      <numFmt numFmtId="2" formatCode="0.00"/>
    </dxf>
    <dxf>
      <numFmt numFmtId="164" formatCode="0.0000%"/>
    </dxf>
    <dxf>
      <numFmt numFmtId="164" formatCode="0.0000%"/>
    </dxf>
    <dxf>
      <numFmt numFmtId="2" formatCode="0.00"/>
    </dxf>
    <dxf>
      <numFmt numFmtId="2" formatCode="0.00"/>
    </dxf>
    <dxf>
      <numFmt numFmtId="164" formatCode="0.0000%"/>
    </dxf>
    <dxf>
      <numFmt numFmtId="2" formatCode="0.00"/>
    </dxf>
    <dxf>
      <numFmt numFmtId="164" formatCode="0.0000%"/>
    </dxf>
    <dxf>
      <numFmt numFmtId="2" formatCode="0.00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Annuity"/>
    <tableColumn id="2" name="Rate"/>
    <tableColumn id="3" name="Periods"/>
    <tableColumn id="4" name="ADF">
      <calculatedColumnFormula>(1-1/POWER(1+$B2,$C2))/$B2</calculatedColumnFormula>
    </tableColumn>
    <tableColumn id="5" name="PresVal">
      <calculatedColumnFormula>$A2*$D2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54:G57" totalsRowShown="0">
  <autoFilter ref="A54:G57"/>
  <tableColumns count="7">
    <tableColumn id="1" name="Amt"/>
    <tableColumn id="2" name="APR"/>
    <tableColumn id="3" name="CompPer"/>
    <tableColumn id="4" name="Periods"/>
    <tableColumn id="5" name="RatePerPeriod">
      <calculatedColumnFormula>$B55/$C55</calculatedColumnFormula>
    </tableColumn>
    <tableColumn id="6" name="TotMult">
      <calculatedColumnFormula>POWER(1+$E55,$D55)</calculatedColumnFormula>
    </tableColumn>
    <tableColumn id="7" name="FutVal">
      <calculatedColumnFormula>$A55*$F55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H19:L20" totalsRowShown="0">
  <autoFilter ref="H19:L20"/>
  <tableColumns count="5">
    <tableColumn id="1" name="Loan"/>
    <tableColumn id="2" name="Rate"/>
    <tableColumn id="3" name="EffPeriods"/>
    <tableColumn id="4" name="ADF">
      <calculatedColumnFormula>(1-1/POWER(1+$I20,$J20))/$I20</calculatedColumnFormula>
    </tableColumn>
    <tableColumn id="5" name="Payments">
      <calculatedColumnFormula>$H20/(1+$K20)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F4" totalsRowShown="0">
  <autoFilter ref="A1:F4"/>
  <tableColumns count="6">
    <tableColumn id="1" name="PresVal" dataCellStyle="Currency"/>
    <tableColumn id="2" name="FaceVal" dataCellStyle="Currency"/>
    <tableColumn id="3" name="Nperiods" dataDxfId="48"/>
    <tableColumn id="4" name="RetPerPeriod" dataDxfId="47" dataCellStyle="Percent">
      <calculatedColumnFormula>POWER($B2/$A2,1/$C2)-1</calculatedColumnFormula>
    </tableColumn>
    <tableColumn id="5" name="RetPeriods" dataDxfId="46"/>
    <tableColumn id="6" name="Return" dataDxfId="45" dataCellStyle="Percent">
      <calculatedColumnFormula>$D2*$E2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H1:R19" totalsRowShown="0">
  <autoFilter ref="H1:R19"/>
  <tableColumns count="11">
    <tableColumn id="1" name="FaceVal" dataCellStyle="Currency"/>
    <tableColumn id="2" name="CoupVal" dataCellStyle="Currency"/>
    <tableColumn id="3" name="CoupPerYr" dataDxfId="44"/>
    <tableColumn id="4" name="Yrs" dataDxfId="43"/>
    <tableColumn id="5" name="Rate" dataDxfId="42" dataCellStyle="Percent"/>
    <tableColumn id="6" name="PeriodRate" dataDxfId="41" dataCellStyle="Percent">
      <calculatedColumnFormula>$L2/$J2</calculatedColumnFormula>
    </tableColumn>
    <tableColumn id="7" name="Nperiods" dataDxfId="40">
      <calculatedColumnFormula>$J2*$K2</calculatedColumnFormula>
    </tableColumn>
    <tableColumn id="8" name="ADF">
      <calculatedColumnFormula>(1-1/POWER(1+$M2,$N2))/$M2</calculatedColumnFormula>
    </tableColumn>
    <tableColumn id="9" name="CoupPresVal">
      <calculatedColumnFormula>$I2*$O2</calculatedColumnFormula>
    </tableColumn>
    <tableColumn id="10" name="FacePresVal">
      <calculatedColumnFormula>$H2/POWER(1+$M2,$N2)</calculatedColumnFormula>
    </tableColumn>
    <tableColumn id="11" name="TotPresVal" dataDxfId="39" dataCellStyle="Currency">
      <calculatedColumnFormula>$P2+$Q2</calculatedColumnFormula>
    </tableColumn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T1:AA7" totalsRowShown="0">
  <autoFilter ref="T1:AA7"/>
  <tableColumns count="8">
    <tableColumn id="1" name="TBillFaceVal" dataCellStyle="Currency"/>
    <tableColumn id="2" name="Today" dataDxfId="38"/>
    <tableColumn id="3" name="Maturity" dataDxfId="37"/>
    <tableColumn id="4" name="DaysToMat">
      <calculatedColumnFormula>$V2-$U2</calculatedColumnFormula>
    </tableColumn>
    <tableColumn id="5" name="Discount"/>
    <tableColumn id="6" name="ImpliedPrice" dataDxfId="36" dataCellStyle="Currency">
      <calculatedColumnFormula>$T2*(1-$X2*$W2/36000)</calculatedColumnFormula>
    </tableColumn>
    <tableColumn id="7" name="IRR" dataDxfId="35" dataCellStyle="Percent">
      <calculatedColumnFormula>$T2/$Y2-1</calculatedColumnFormula>
    </tableColumn>
    <tableColumn id="8" name="APR" dataDxfId="34" dataCellStyle="Percent">
      <calculatedColumnFormula>$Z2*365/$W2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C1:AH4" totalsRowShown="0">
  <autoFilter ref="AC1:AH4"/>
  <tableColumns count="6">
    <tableColumn id="1" name="FaceVal" dataCellStyle="Currency"/>
    <tableColumn id="2" name="PresVal" dataCellStyle="Currency"/>
    <tableColumn id="3" name="DaysToMat"/>
    <tableColumn id="4" name="IRR" dataDxfId="33" dataCellStyle="Percent">
      <calculatedColumnFormula>$AC2/$AD2-1</calculatedColumnFormula>
    </tableColumn>
    <tableColumn id="5" name="YTM" dataDxfId="32" dataCellStyle="Percent">
      <calculatedColumnFormula>$AF2*360/$AE2</calculatedColumnFormula>
    </tableColumn>
    <tableColumn id="6" name="EffAnnYield" dataDxfId="31" dataCellStyle="Percent">
      <calculatedColumnFormula>POWER(1+$AG2*$AE2/365,365/$AE2)-1</calculatedColumnFormula>
    </tableColumn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H2" totalsRowShown="0">
  <autoFilter ref="A1:H2"/>
  <tableColumns count="8">
    <tableColumn id="1" name="BuyPrice" dataCellStyle="Currency"/>
    <tableColumn id="2" name="SellPrice" dataCellStyle="Currency"/>
    <tableColumn id="3" name="Dividend" dataCellStyle="Currency"/>
    <tableColumn id="4" name="Ndivs" dataDxfId="30"/>
    <tableColumn id="5" name="DivTot" dataCellStyle="Currency">
      <calculatedColumnFormula>$C2*$D2</calculatedColumnFormula>
    </tableColumn>
    <tableColumn id="6" name="CapGain" dataDxfId="29" dataCellStyle="Percent">
      <calculatedColumnFormula>($B2-$A2)/$A2</calculatedColumnFormula>
    </tableColumn>
    <tableColumn id="7" name="DivYield" dataDxfId="28" dataCellStyle="Percent">
      <calculatedColumnFormula>$E2/$A2</calculatedColumnFormula>
    </tableColumn>
    <tableColumn id="8" name="TotRet" dataDxfId="27" dataCellStyle="Percent">
      <calculatedColumnFormula>$F2+$G2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J1:S2" totalsRowShown="0">
  <autoFilter ref="J1:S2"/>
  <tableColumns count="10">
    <tableColumn id="1" name="Div1" dataCellStyle="Currency"/>
    <tableColumn id="2" name="Div2" dataCellStyle="Currency"/>
    <tableColumn id="3" name="Div3" dataCellStyle="Currency"/>
    <tableColumn id="4" name="Ret" dataDxfId="26" dataCellStyle="Percent"/>
    <tableColumn id="5" name="PV1" dataDxfId="25" dataCellStyle="Currency">
      <calculatedColumnFormula>$J2/(1+$M2)</calculatedColumnFormula>
    </tableColumn>
    <tableColumn id="6" name="PV2" dataDxfId="24" dataCellStyle="Currency">
      <calculatedColumnFormula>$K2/POWER(1+$M2,2)</calculatedColumnFormula>
    </tableColumn>
    <tableColumn id="7" name="PV3" dataDxfId="23" dataCellStyle="Currency">
      <calculatedColumnFormula>$L2/POWER(1+$M2,3)</calculatedColumnFormula>
    </tableColumn>
    <tableColumn id="8" name="PVTotPerShare" dataDxfId="22" dataCellStyle="Currency">
      <calculatedColumnFormula>SUM(N2:P2)</calculatedColumnFormula>
    </tableColumn>
    <tableColumn id="9" name="Shares" dataDxfId="21" dataCellStyle="Currency"/>
    <tableColumn id="10" name="PVTot" dataDxfId="20" dataCellStyle="Currency">
      <calculatedColumnFormula>$Q2*$R2</calculatedColumnFormula>
    </tableColumn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U1:X2" totalsRowShown="0">
  <autoFilter ref="U1:X2"/>
  <tableColumns count="4">
    <tableColumn id="1" name="StartDiv" dataCellStyle="Currency"/>
    <tableColumn id="2" name="Growth" dataDxfId="19" dataCellStyle="Percent"/>
    <tableColumn id="3" name="TargRet" dataDxfId="18" dataCellStyle="Percent"/>
    <tableColumn id="4" name="PV" dataDxfId="17" dataCellStyle="Currency">
      <calculatedColumnFormula>$U2/($W2-$V2)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Z1:AC3" totalsRowShown="0">
  <autoFilter ref="Z1:AC3"/>
  <tableColumns count="4">
    <tableColumn id="1" name="PV" dataCellStyle="Currency"/>
    <tableColumn id="2" name="Div" dataCellStyle="Currency"/>
    <tableColumn id="3" name="DivGrowth" dataDxfId="16" dataCellStyle="Percent"/>
    <tableColumn id="4" name="ImpliedGrowth" dataDxfId="15" dataCellStyle="Percent">
      <calculatedColumnFormula>$AB2+$AA2/$Z2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L6" totalsRowShown="0">
  <autoFilter ref="H1:L6"/>
  <tableColumns count="5">
    <tableColumn id="1" name="Loan"/>
    <tableColumn id="2" name="Rate" dataDxfId="49">
      <calculatedColumnFormula>0.035/12</calculatedColumnFormula>
    </tableColumn>
    <tableColumn id="3" name="Periods"/>
    <tableColumn id="4" name="ADF">
      <calculatedColumnFormula>(1-1/POWER(1+$I2,$J2))/$I2</calculatedColumnFormula>
    </tableColumn>
    <tableColumn id="5" name="Payments">
      <calculatedColumnFormula>$H2/$K2</calculatedColumnFormula>
    </tableColumn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E1:AO3" totalsRowShown="0">
  <autoFilter ref="AE1:AO3"/>
  <tableColumns count="11">
    <tableColumn id="1" name="Annuity" dataDxfId="14" dataCellStyle="Currency">
      <calculatedColumnFormula>1.15*1.18</calculatedColumnFormula>
    </tableColumn>
    <tableColumn id="2" name="r" dataDxfId="13" dataCellStyle="Percent"/>
    <tableColumn id="3" name="g" dataDxfId="12" dataCellStyle="Percent"/>
    <tableColumn id="4" name="yrs" dataCellStyle="Comma"/>
    <tableColumn id="5" name="ADF">
      <calculatedColumnFormula>(POWER((1+$AG2)/(1+$AF2),$AH2)-1)/($AG2-$AF2)</calculatedColumnFormula>
    </tableColumn>
    <tableColumn id="6" name="StartDist" dataCellStyle="Comma"/>
    <tableColumn id="7" name="Discount" dataCellStyle="Comma">
      <calculatedColumnFormula>1/POWER(1+$AF2,$AJ2)</calculatedColumnFormula>
    </tableColumn>
    <tableColumn id="8" name="PV" dataDxfId="11" dataCellStyle="Currency">
      <calculatedColumnFormula>$AI2*$AE2*AK2</calculatedColumnFormula>
    </tableColumn>
    <tableColumn id="9" name="LastAnnVal" dataDxfId="10" dataCellStyle="Currency">
      <calculatedColumnFormula>$AE2*POWER(1+$AG2, $AH2-1)</calculatedColumnFormula>
    </tableColumn>
    <tableColumn id="10" name="NextG" dataDxfId="9" dataCellStyle="Percent"/>
    <tableColumn id="11" name="NextStart" dataDxfId="8" dataCellStyle="Currency">
      <calculatedColumnFormula>$AM2+$AM2*AN2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Q1:AW2" totalsRowShown="0">
  <autoFilter ref="AQ1:AW2"/>
  <tableColumns count="7">
    <tableColumn id="1" name="StartPerp" dataCellStyle="Currency"/>
    <tableColumn id="2" name="r" dataDxfId="7" dataCellStyle="Percent"/>
    <tableColumn id="3" name="g" dataDxfId="6" dataCellStyle="Percent"/>
    <tableColumn id="4" name="StartVal" dataCellStyle="Currency">
      <calculatedColumnFormula>$AQ2/($AR2-$AS2)</calculatedColumnFormula>
    </tableColumn>
    <tableColumn id="5" name="StartDist" dataCellStyle="Comma"/>
    <tableColumn id="6" name="Discount" dataCellStyle="Comma">
      <calculatedColumnFormula>1/POWER(1+$AR2,$AU2)</calculatedColumnFormula>
    </tableColumn>
    <tableColumn id="7" name="PV" dataDxfId="5" dataCellStyle="Currency">
      <calculatedColumnFormula>$AT2*$AV2</calculatedColumnFormula>
    </tableColumn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Y1:AY5" totalsRowShown="0">
  <autoFilter ref="AY1:AY5"/>
  <tableColumns count="1">
    <tableColumn id="1" name="Items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BA1:BC2" totalsRowShown="0">
  <autoFilter ref="BA1:BC2"/>
  <tableColumns count="3">
    <tableColumn id="1" name="EqPrice" dataCellStyle="Currency"/>
    <tableColumn id="2" name="Div" dataCellStyle="Currency"/>
    <tableColumn id="3" name="DivYield" dataDxfId="4" dataCellStyle="Percent">
      <calculatedColumnFormula>$BB2/$BA2</calculatedColumnFormula>
    </tableColumn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BE1:BH2" totalsRowShown="0">
  <autoFilter ref="BE1:BH2"/>
  <tableColumns count="4">
    <tableColumn id="1" name="BuyPrice" dataCellStyle="Currency"/>
    <tableColumn id="2" name="SellPrice" dataCellStyle="Currency"/>
    <tableColumn id="3" name="Div" dataCellStyle="Currency"/>
    <tableColumn id="4" name="TotRet" dataDxfId="3" dataCellStyle="Percent">
      <calculatedColumnFormula>($BF2-$BE2+$BG2)/$BE2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BJ1:BM2" totalsRowShown="0">
  <autoFilter ref="BJ1:BM2"/>
  <tableColumns count="4">
    <tableColumn id="1" name="ContractPrice" dataDxfId="2" dataCellStyle="Currency"/>
    <tableColumn id="2" name="ActualPrice" dataDxfId="1" dataCellStyle="Currency"/>
    <tableColumn id="3" name="Qty" dataCellStyle="Comma"/>
    <tableColumn id="4" name="Payoff" dataDxfId="0" dataCellStyle="Currency">
      <calculatedColumnFormula>($BK2-$BJ2)*$BL2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:R3" totalsRowShown="0">
  <autoFilter ref="N1:R3"/>
  <tableColumns count="5">
    <tableColumn id="1" name="Annuity"/>
    <tableColumn id="2" name="Rate"/>
    <tableColumn id="3" name="Periods"/>
    <tableColumn id="4" name="ACF">
      <calculatedColumnFormula>(POWER(1+$O2,$P2)-1)/$O2</calculatedColumnFormula>
    </tableColumn>
    <tableColumn id="5" name="FutVal">
      <calculatedColumnFormula>$N2*$Q2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T1:X4" totalsRowShown="0">
  <autoFilter ref="T1:X4"/>
  <tableColumns count="5">
    <tableColumn id="1" name="FutVal"/>
    <tableColumn id="2" name="Rate"/>
    <tableColumn id="3" name="Periods"/>
    <tableColumn id="4" name="ACF">
      <calculatedColumnFormula>(POWER(1+$U2,$V2)-1)/$U2</calculatedColumnFormula>
    </tableColumn>
    <tableColumn id="5" name="Annuity">
      <calculatedColumnFormula>$T2/$W2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2:E29" totalsRowShown="0">
  <autoFilter ref="A12:E29"/>
  <tableColumns count="5">
    <tableColumn id="1" name="APR"/>
    <tableColumn id="2" name="Periods"/>
    <tableColumn id="3" name="PeriodRate">
      <calculatedColumnFormula>$A13/$B13</calculatedColumnFormula>
    </tableColumn>
    <tableColumn id="4" name="PerForRate"/>
    <tableColumn id="5" name="PerRate">
      <calculatedColumnFormula>POWER(1+$C13,$D13)-1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H12:I13" totalsRowShown="0">
  <autoFilter ref="H12:I13"/>
  <tableColumns count="2">
    <tableColumn id="1" name="APR"/>
    <tableColumn id="2" name="ContComp">
      <calculatedColumnFormula>EXP($H13)-1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3:D48" totalsRowShown="0">
  <autoFilter ref="A33:D48"/>
  <tableColumns count="4">
    <tableColumn id="1" name="Perpetuity"/>
    <tableColumn id="2" name="Rate"/>
    <tableColumn id="3" name="GrowthRate"/>
    <tableColumn id="4" name="PresVal">
      <calculatedColumnFormula>$A34/($B34-$C34)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50:F52" totalsRowShown="0">
  <autoFilter ref="A50:F52"/>
  <tableColumns count="6">
    <tableColumn id="1" name="Annuity"/>
    <tableColumn id="2" name="Rate"/>
    <tableColumn id="3" name="AnnGrowthRate"/>
    <tableColumn id="4" name="Periods"/>
    <tableColumn id="5" name="ADF">
      <calculatedColumnFormula>(1-POWER((1+$C51)/(1+$B51),$D51))/($B51-$C51)</calculatedColumnFormula>
    </tableColumn>
    <tableColumn id="6" name="PresVal">
      <calculatedColumnFormula>$A51*$E51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H15:J17" totalsRowShown="0">
  <autoFilter ref="H15:J17"/>
  <tableColumns count="3">
    <tableColumn id="1" name="Rate"/>
    <tableColumn id="2" name="Periods"/>
    <tableColumn id="3" name="PeriodRate">
      <calculatedColumnFormula>POWER(1+$H16,1/$I16)-1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topLeftCell="A32" zoomScaleNormal="100" zoomScalePageLayoutView="125" workbookViewId="0">
      <selection activeCell="F41" sqref="F41"/>
    </sheetView>
  </sheetViews>
  <sheetFormatPr defaultColWidth="11.19921875" defaultRowHeight="15.6" x14ac:dyDescent="0.3"/>
  <cols>
    <col min="1" max="1" width="11.69921875" customWidth="1"/>
    <col min="3" max="3" width="16.19921875" customWidth="1"/>
    <col min="4" max="4" width="12.19921875" customWidth="1"/>
    <col min="5" max="5" width="14.69921875" customWidth="1"/>
    <col min="6" max="6" width="12.796875" customWidth="1"/>
    <col min="7" max="7" width="13.796875" customWidth="1"/>
    <col min="9" max="9" width="11.69921875" customWidth="1"/>
    <col min="10" max="10" width="12" customWidth="1"/>
    <col min="12" max="12" width="12.296875" customWidth="1"/>
    <col min="18" max="18" width="16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5</v>
      </c>
      <c r="I1" t="s">
        <v>1</v>
      </c>
      <c r="J1" t="s">
        <v>2</v>
      </c>
      <c r="K1" t="s">
        <v>4</v>
      </c>
      <c r="L1" t="s">
        <v>6</v>
      </c>
      <c r="N1" t="s">
        <v>0</v>
      </c>
      <c r="O1" t="s">
        <v>1</v>
      </c>
      <c r="P1" t="s">
        <v>2</v>
      </c>
      <c r="Q1" t="s">
        <v>7</v>
      </c>
      <c r="R1" t="s">
        <v>8</v>
      </c>
      <c r="T1" t="s">
        <v>8</v>
      </c>
      <c r="U1" t="s">
        <v>1</v>
      </c>
      <c r="V1" t="s">
        <v>2</v>
      </c>
      <c r="W1" t="s">
        <v>7</v>
      </c>
      <c r="X1" t="s">
        <v>0</v>
      </c>
    </row>
    <row r="2" spans="1:27" x14ac:dyDescent="0.3">
      <c r="A2">
        <v>1000</v>
      </c>
      <c r="B2">
        <v>0.04</v>
      </c>
      <c r="C2">
        <v>13</v>
      </c>
      <c r="D2">
        <f t="shared" ref="D2:D9" si="0">(1-1/POWER(1+$B2,$C2))/$B2</f>
        <v>9.9856478466330501</v>
      </c>
      <c r="E2">
        <f t="shared" ref="E2:E9" si="1">$A2*$D2</f>
        <v>9985.64784663305</v>
      </c>
      <c r="H2">
        <v>37150</v>
      </c>
      <c r="I2">
        <f>0.04/12</f>
        <v>3.3333333333333335E-3</v>
      </c>
      <c r="J2">
        <v>60</v>
      </c>
      <c r="K2">
        <f>(1-1/POWER(1+$I2,$J2))/$I2</f>
        <v>54.299068901235152</v>
      </c>
      <c r="L2">
        <f>$H2/$K2</f>
        <v>684.17379435312819</v>
      </c>
      <c r="N2">
        <v>3000</v>
      </c>
      <c r="O2">
        <v>0.05</v>
      </c>
      <c r="P2">
        <v>4</v>
      </c>
      <c r="Q2">
        <f>(POWER(1+$O2,$P2)-1)/$O2</f>
        <v>4.3101250000000002</v>
      </c>
      <c r="R2">
        <f>$N2*$Q2</f>
        <v>12930.375</v>
      </c>
      <c r="T2">
        <v>1000000</v>
      </c>
      <c r="U2">
        <v>0.06</v>
      </c>
      <c r="V2">
        <v>35</v>
      </c>
      <c r="W2">
        <f>(POWER(1+$U2,$V2)-1)/$U2</f>
        <v>111.43477987187251</v>
      </c>
      <c r="X2">
        <f>$T2/$W2</f>
        <v>8973.8589796632441</v>
      </c>
      <c r="Z2">
        <v>408279.35837032669</v>
      </c>
      <c r="AA2">
        <f>1000000-$Z2</f>
        <v>591720.64162967331</v>
      </c>
    </row>
    <row r="3" spans="1:27" x14ac:dyDescent="0.3">
      <c r="A3" s="1">
        <v>2000</v>
      </c>
      <c r="B3" s="1">
        <v>0.05</v>
      </c>
      <c r="C3" s="1">
        <v>4</v>
      </c>
      <c r="D3" s="1">
        <f t="shared" si="0"/>
        <v>3.5459505041623607</v>
      </c>
      <c r="E3" s="1">
        <f t="shared" si="1"/>
        <v>7091.9010083247213</v>
      </c>
      <c r="F3" s="1"/>
      <c r="H3" s="1">
        <v>450000</v>
      </c>
      <c r="I3" s="1">
        <f t="shared" ref="I3" si="2">0.035/12</f>
        <v>2.9166666666666668E-3</v>
      </c>
      <c r="J3" s="1">
        <f>30*12</f>
        <v>360</v>
      </c>
      <c r="K3" s="1">
        <f>(1-1/POWER(1+$I3,$J3))/$I3</f>
        <v>222.69498496455597</v>
      </c>
      <c r="L3" s="1">
        <f>$H3/$K3</f>
        <v>2020.7010951397122</v>
      </c>
      <c r="N3" s="1">
        <v>5000</v>
      </c>
      <c r="O3" s="1">
        <v>0.06</v>
      </c>
      <c r="P3" s="1">
        <v>20</v>
      </c>
      <c r="Q3" s="1">
        <f>(POWER(1+$O3,$P3)-1)/$O3</f>
        <v>36.785591203547469</v>
      </c>
      <c r="R3" s="1">
        <f>$N3*$Q3</f>
        <v>183927.95601773734</v>
      </c>
      <c r="T3" s="1">
        <v>25000</v>
      </c>
      <c r="U3" s="1">
        <v>0.08</v>
      </c>
      <c r="V3" s="1">
        <v>5</v>
      </c>
      <c r="W3" s="1">
        <f>(POWER(1+$U3,$V3)-1)/$U3</f>
        <v>5.866600960000004</v>
      </c>
      <c r="X3" s="1">
        <f>$T3/$W3</f>
        <v>4261.4113641709118</v>
      </c>
    </row>
    <row r="4" spans="1:27" x14ac:dyDescent="0.3">
      <c r="A4" s="1">
        <v>500</v>
      </c>
      <c r="B4" s="1">
        <v>5.0000000000000001E-3</v>
      </c>
      <c r="C4" s="1">
        <v>36</v>
      </c>
      <c r="D4" s="1">
        <f t="shared" si="0"/>
        <v>32.871016239264982</v>
      </c>
      <c r="E4" s="1">
        <f t="shared" si="1"/>
        <v>16435.50811963249</v>
      </c>
      <c r="F4" s="1"/>
      <c r="H4" s="1">
        <v>450000</v>
      </c>
      <c r="I4" s="2">
        <f>0.03/12</f>
        <v>2.5000000000000001E-3</v>
      </c>
      <c r="J4" s="1">
        <f>20*12</f>
        <v>240</v>
      </c>
      <c r="K4" s="1">
        <f>(1-1/POWER(1+$I4,$J4))/$I4</f>
        <v>180.31091441247096</v>
      </c>
      <c r="L4" s="1">
        <f>$H4/$K4</f>
        <v>2495.6891903426358</v>
      </c>
      <c r="T4" s="1">
        <v>591720.64162967331</v>
      </c>
      <c r="U4" s="1">
        <v>0.09</v>
      </c>
      <c r="V4" s="1">
        <v>35</v>
      </c>
      <c r="W4" s="1">
        <f>(POWER(1+$U4,$V4)-1)/$U4</f>
        <v>215.71075465018151</v>
      </c>
      <c r="X4" s="1">
        <f>$T4/$W4</f>
        <v>2743.1207247374737</v>
      </c>
    </row>
    <row r="5" spans="1:27" x14ac:dyDescent="0.3">
      <c r="A5" s="1">
        <v>600</v>
      </c>
      <c r="B5" s="1">
        <v>5.0000000000000001E-3</v>
      </c>
      <c r="C5" s="1">
        <v>24</v>
      </c>
      <c r="D5" s="1">
        <f t="shared" si="0"/>
        <v>22.562866221765731</v>
      </c>
      <c r="E5" s="1">
        <f t="shared" si="1"/>
        <v>13537.719733059439</v>
      </c>
      <c r="F5" s="1"/>
      <c r="H5" s="1">
        <v>450000</v>
      </c>
      <c r="I5" s="2">
        <f>0.028/12</f>
        <v>2.3333333333333335E-3</v>
      </c>
      <c r="J5" s="1">
        <f>15*12</f>
        <v>180</v>
      </c>
      <c r="K5" s="1">
        <f>(1-1/POWER(1+$I5,$J5))/$I5</f>
        <v>146.84213508754502</v>
      </c>
      <c r="L5" s="1">
        <f>$H5/$K5</f>
        <v>3064.5155066133907</v>
      </c>
    </row>
    <row r="6" spans="1:27" x14ac:dyDescent="0.3">
      <c r="A6" s="1">
        <v>350</v>
      </c>
      <c r="B6" s="1">
        <v>5.0000000000000001E-3</v>
      </c>
      <c r="C6" s="1">
        <v>48</v>
      </c>
      <c r="D6" s="1">
        <f t="shared" si="0"/>
        <v>42.580317782824913</v>
      </c>
      <c r="E6" s="1">
        <f t="shared" si="1"/>
        <v>14903.111223988719</v>
      </c>
      <c r="F6" s="1"/>
      <c r="H6" s="1">
        <v>90000</v>
      </c>
      <c r="I6" s="2">
        <f>0.035/12</f>
        <v>2.9166666666666668E-3</v>
      </c>
      <c r="J6" s="1"/>
      <c r="K6" s="1">
        <f>(1-1/POWER(1+$I6,$J6))/$I6</f>
        <v>0</v>
      </c>
      <c r="L6" s="1" t="e">
        <f>$H6/$K6</f>
        <v>#DIV/0!</v>
      </c>
    </row>
    <row r="7" spans="1:27" x14ac:dyDescent="0.3">
      <c r="A7" s="1">
        <v>1000</v>
      </c>
      <c r="B7" s="1">
        <f>0.06/12</f>
        <v>5.0000000000000001E-3</v>
      </c>
      <c r="C7" s="1">
        <v>40</v>
      </c>
      <c r="D7" s="1">
        <f t="shared" si="0"/>
        <v>36.172227864082075</v>
      </c>
      <c r="E7" s="1">
        <f t="shared" si="1"/>
        <v>36172.227864082073</v>
      </c>
      <c r="F7" s="1"/>
      <c r="H7" s="1"/>
      <c r="I7" s="2"/>
      <c r="J7" s="1"/>
      <c r="K7" s="1"/>
      <c r="L7" s="1"/>
    </row>
    <row r="8" spans="1:27" x14ac:dyDescent="0.3">
      <c r="A8" s="1">
        <v>5000</v>
      </c>
      <c r="B8" s="1">
        <v>0.09</v>
      </c>
      <c r="C8" s="1">
        <v>10</v>
      </c>
      <c r="D8" s="1">
        <f t="shared" si="0"/>
        <v>6.4176577011590128</v>
      </c>
      <c r="E8" s="1">
        <f t="shared" si="1"/>
        <v>32088.288505795063</v>
      </c>
      <c r="F8" s="1"/>
      <c r="H8" s="1"/>
      <c r="I8" s="2"/>
      <c r="J8" s="1"/>
      <c r="K8" s="1"/>
      <c r="L8" s="1"/>
    </row>
    <row r="9" spans="1:27" x14ac:dyDescent="0.3">
      <c r="A9" s="1">
        <v>5000</v>
      </c>
      <c r="B9" s="1">
        <v>0.09</v>
      </c>
      <c r="C9" s="1">
        <v>30</v>
      </c>
      <c r="D9" s="1">
        <f t="shared" si="0"/>
        <v>10.273654043021743</v>
      </c>
      <c r="E9" s="1">
        <f t="shared" si="1"/>
        <v>51368.270215108714</v>
      </c>
      <c r="F9" s="1"/>
      <c r="H9" s="1"/>
      <c r="I9" s="2"/>
      <c r="J9" s="1"/>
      <c r="K9" s="1"/>
      <c r="L9" s="1"/>
    </row>
    <row r="10" spans="1:27" x14ac:dyDescent="0.3">
      <c r="A10" s="1"/>
      <c r="B10" s="1"/>
      <c r="C10" s="1"/>
      <c r="D10" s="1"/>
      <c r="E10" s="1"/>
      <c r="F10" s="1"/>
    </row>
    <row r="12" spans="1:27" x14ac:dyDescent="0.3">
      <c r="A12" t="s">
        <v>9</v>
      </c>
      <c r="B12" t="s">
        <v>2</v>
      </c>
      <c r="C12" t="s">
        <v>10</v>
      </c>
      <c r="D12" t="s">
        <v>11</v>
      </c>
      <c r="E12" t="s">
        <v>12</v>
      </c>
      <c r="H12" t="s">
        <v>9</v>
      </c>
      <c r="I12" t="s">
        <v>13</v>
      </c>
    </row>
    <row r="13" spans="1:27" x14ac:dyDescent="0.3">
      <c r="A13">
        <v>0.04</v>
      </c>
      <c r="B13">
        <v>12</v>
      </c>
      <c r="C13">
        <f t="shared" ref="C13:C29" si="3">$A13/$B13</f>
        <v>3.3333333333333335E-3</v>
      </c>
      <c r="D13">
        <v>12</v>
      </c>
      <c r="E13">
        <f t="shared" ref="E13:E29" si="4">POWER(1+$C13,$D13)-1</f>
        <v>4.0741542919790819E-2</v>
      </c>
      <c r="H13">
        <v>0.06</v>
      </c>
      <c r="I13">
        <f>EXP($H13)-1</f>
        <v>6.1836546545359639E-2</v>
      </c>
    </row>
    <row r="14" spans="1:27" x14ac:dyDescent="0.3">
      <c r="A14" s="1">
        <v>0.04</v>
      </c>
      <c r="B14" s="1">
        <v>12</v>
      </c>
      <c r="C14" s="1">
        <f t="shared" si="3"/>
        <v>3.3333333333333335E-3</v>
      </c>
      <c r="D14" s="1">
        <v>2</v>
      </c>
      <c r="E14" s="1">
        <f t="shared" si="4"/>
        <v>6.6777777777780045E-3</v>
      </c>
      <c r="F14" s="1"/>
    </row>
    <row r="15" spans="1:27" x14ac:dyDescent="0.3">
      <c r="A15" s="1">
        <v>0.04</v>
      </c>
      <c r="B15" s="1">
        <v>12</v>
      </c>
      <c r="C15" s="1">
        <f t="shared" si="3"/>
        <v>3.3333333333333335E-3</v>
      </c>
      <c r="D15" s="1">
        <v>3</v>
      </c>
      <c r="E15" s="1">
        <f t="shared" si="4"/>
        <v>1.0033370370370776E-2</v>
      </c>
      <c r="F15" s="1"/>
      <c r="H15" t="s">
        <v>1</v>
      </c>
      <c r="I15" t="s">
        <v>2</v>
      </c>
      <c r="J15" t="s">
        <v>10</v>
      </c>
    </row>
    <row r="16" spans="1:27" x14ac:dyDescent="0.3">
      <c r="A16" s="1">
        <v>0.04</v>
      </c>
      <c r="B16" s="1">
        <v>12</v>
      </c>
      <c r="C16" s="1">
        <f t="shared" si="3"/>
        <v>3.3333333333333335E-3</v>
      </c>
      <c r="D16" s="1">
        <v>18</v>
      </c>
      <c r="E16" s="1">
        <f t="shared" si="4"/>
        <v>6.173060355153881E-2</v>
      </c>
      <c r="F16" s="1"/>
      <c r="H16">
        <v>0.06</v>
      </c>
      <c r="I16">
        <v>12</v>
      </c>
      <c r="J16">
        <f>POWER(1+$H16,1/$I16)-1</f>
        <v>4.8675505653430484E-3</v>
      </c>
    </row>
    <row r="17" spans="1:12" x14ac:dyDescent="0.3">
      <c r="A17" s="1">
        <v>0.06</v>
      </c>
      <c r="B17" s="1">
        <v>2</v>
      </c>
      <c r="C17" s="1">
        <f t="shared" si="3"/>
        <v>0.03</v>
      </c>
      <c r="D17" s="1">
        <v>2</v>
      </c>
      <c r="E17" s="1">
        <f t="shared" si="4"/>
        <v>6.0899999999999954E-2</v>
      </c>
      <c r="F17" s="1"/>
      <c r="H17" s="1">
        <v>0.05</v>
      </c>
      <c r="I17" s="1">
        <v>12</v>
      </c>
      <c r="J17" s="1">
        <f>POWER(1+$H17,1/$I17)-1</f>
        <v>4.0741237836483535E-3</v>
      </c>
    </row>
    <row r="18" spans="1:12" x14ac:dyDescent="0.3">
      <c r="A18" s="1">
        <v>0.06</v>
      </c>
      <c r="B18" s="1">
        <v>2</v>
      </c>
      <c r="C18" s="1">
        <f t="shared" si="3"/>
        <v>0.03</v>
      </c>
      <c r="D18" s="1">
        <v>0.5</v>
      </c>
      <c r="E18" s="1">
        <f t="shared" si="4"/>
        <v>1.4889156509221957E-2</v>
      </c>
      <c r="F18" s="1"/>
    </row>
    <row r="19" spans="1:12" x14ac:dyDescent="0.3">
      <c r="A19" s="1">
        <v>0.06</v>
      </c>
      <c r="B19" s="1">
        <v>2</v>
      </c>
      <c r="C19" s="1">
        <f t="shared" si="3"/>
        <v>0.03</v>
      </c>
      <c r="D19" s="1">
        <v>4</v>
      </c>
      <c r="E19" s="1">
        <f t="shared" si="4"/>
        <v>0.12550880999999992</v>
      </c>
      <c r="F19" s="1"/>
      <c r="H19" t="s">
        <v>5</v>
      </c>
      <c r="I19" t="s">
        <v>1</v>
      </c>
      <c r="J19" t="s">
        <v>21</v>
      </c>
      <c r="K19" t="s">
        <v>4</v>
      </c>
      <c r="L19" t="s">
        <v>6</v>
      </c>
    </row>
    <row r="20" spans="1:12" x14ac:dyDescent="0.3">
      <c r="A20" s="1">
        <v>0.06</v>
      </c>
      <c r="B20" s="1">
        <v>2</v>
      </c>
      <c r="C20" s="1">
        <f t="shared" si="3"/>
        <v>0.03</v>
      </c>
      <c r="D20" s="1">
        <f>15/6</f>
        <v>2.5</v>
      </c>
      <c r="E20" s="1">
        <f t="shared" si="4"/>
        <v>7.6695906140633596E-2</v>
      </c>
      <c r="F20" s="1"/>
      <c r="H20">
        <v>4000</v>
      </c>
      <c r="I20">
        <v>0.01</v>
      </c>
      <c r="J20">
        <v>23</v>
      </c>
      <c r="K20">
        <f>(1-1/POWER(1+$I20,$J20))/$I20</f>
        <v>20.455821130204143</v>
      </c>
      <c r="L20">
        <f>$H20/(1+$K20)</f>
        <v>186.42959296342445</v>
      </c>
    </row>
    <row r="21" spans="1:12" x14ac:dyDescent="0.3">
      <c r="A21" s="1">
        <v>0.08</v>
      </c>
      <c r="B21" s="1">
        <v>4</v>
      </c>
      <c r="C21" s="1">
        <f t="shared" si="3"/>
        <v>0.02</v>
      </c>
      <c r="D21" s="1">
        <v>4</v>
      </c>
      <c r="E21" s="1">
        <f t="shared" si="4"/>
        <v>8.2432159999999977E-2</v>
      </c>
      <c r="F21" s="1"/>
    </row>
    <row r="22" spans="1:12" x14ac:dyDescent="0.3">
      <c r="A22" s="1">
        <v>0.08</v>
      </c>
      <c r="B22" s="1">
        <v>4</v>
      </c>
      <c r="C22" s="1">
        <f t="shared" si="3"/>
        <v>0.02</v>
      </c>
      <c r="D22" s="1">
        <v>2</v>
      </c>
      <c r="E22" s="1">
        <f t="shared" si="4"/>
        <v>4.0399999999999991E-2</v>
      </c>
      <c r="F22" s="1"/>
    </row>
    <row r="23" spans="1:12" x14ac:dyDescent="0.3">
      <c r="A23" s="1">
        <v>0.08</v>
      </c>
      <c r="B23" s="1">
        <v>12</v>
      </c>
      <c r="C23" s="1">
        <f t="shared" si="3"/>
        <v>6.6666666666666671E-3</v>
      </c>
      <c r="D23" s="1">
        <v>6</v>
      </c>
      <c r="E23" s="1">
        <f t="shared" si="4"/>
        <v>4.067262230132207E-2</v>
      </c>
      <c r="F23" s="1"/>
    </row>
    <row r="24" spans="1:12" x14ac:dyDescent="0.3">
      <c r="A24" s="1">
        <v>0.06</v>
      </c>
      <c r="B24" s="1">
        <v>2</v>
      </c>
      <c r="C24" s="1">
        <f t="shared" si="3"/>
        <v>0.03</v>
      </c>
      <c r="D24" s="1">
        <v>10</v>
      </c>
      <c r="E24" s="1">
        <f t="shared" si="4"/>
        <v>0.34391637934412178</v>
      </c>
      <c r="F24" s="1"/>
    </row>
    <row r="25" spans="1:12" x14ac:dyDescent="0.3">
      <c r="A25" s="1">
        <v>0.06</v>
      </c>
      <c r="B25" s="1">
        <v>12</v>
      </c>
      <c r="C25" s="1">
        <f t="shared" si="3"/>
        <v>5.0000000000000001E-3</v>
      </c>
      <c r="D25" s="1">
        <v>12</v>
      </c>
      <c r="E25" s="1">
        <f t="shared" si="4"/>
        <v>6.1677811864497611E-2</v>
      </c>
      <c r="F25" s="1"/>
    </row>
    <row r="26" spans="1:12" x14ac:dyDescent="0.3">
      <c r="A26" s="1">
        <v>7.0000000000000007E-2</v>
      </c>
      <c r="B26" s="1">
        <v>4</v>
      </c>
      <c r="C26" s="1">
        <f t="shared" si="3"/>
        <v>1.7500000000000002E-2</v>
      </c>
      <c r="D26" s="1">
        <v>4</v>
      </c>
      <c r="E26" s="1">
        <f t="shared" si="4"/>
        <v>7.1859031289062791E-2</v>
      </c>
      <c r="F26" s="1"/>
    </row>
    <row r="27" spans="1:12" x14ac:dyDescent="0.3">
      <c r="A27" s="1">
        <v>6.5000000000000002E-2</v>
      </c>
      <c r="B27" s="1">
        <v>2</v>
      </c>
      <c r="C27" s="1">
        <f t="shared" si="3"/>
        <v>3.2500000000000001E-2</v>
      </c>
      <c r="D27" s="1">
        <v>2</v>
      </c>
      <c r="E27" s="1">
        <f t="shared" si="4"/>
        <v>6.6056249999999928E-2</v>
      </c>
      <c r="F27" s="1"/>
    </row>
    <row r="28" spans="1:12" x14ac:dyDescent="0.3">
      <c r="A28" s="1">
        <v>0.02</v>
      </c>
      <c r="B28" s="1">
        <v>1</v>
      </c>
      <c r="C28" s="1">
        <f t="shared" si="3"/>
        <v>0.02</v>
      </c>
      <c r="D28" s="1">
        <v>4</v>
      </c>
      <c r="E28" s="1">
        <f t="shared" si="4"/>
        <v>8.2432159999999977E-2</v>
      </c>
      <c r="F28" s="1"/>
    </row>
    <row r="29" spans="1:12" x14ac:dyDescent="0.3">
      <c r="A29" s="1">
        <v>0.05</v>
      </c>
      <c r="B29" s="1">
        <v>12</v>
      </c>
      <c r="C29" s="1">
        <f t="shared" si="3"/>
        <v>4.1666666666666666E-3</v>
      </c>
      <c r="D29" s="1"/>
      <c r="E29" s="1">
        <f t="shared" si="4"/>
        <v>0</v>
      </c>
      <c r="F29" s="1"/>
    </row>
    <row r="30" spans="1:12" x14ac:dyDescent="0.3">
      <c r="A30" s="1"/>
      <c r="B30" s="1"/>
      <c r="C30" s="1"/>
      <c r="D30" s="1"/>
      <c r="E30" s="1"/>
      <c r="F30" s="1"/>
    </row>
    <row r="33" spans="1:4" x14ac:dyDescent="0.3">
      <c r="A33" t="s">
        <v>14</v>
      </c>
      <c r="B33" t="s">
        <v>1</v>
      </c>
      <c r="C33" t="s">
        <v>15</v>
      </c>
      <c r="D33" t="s">
        <v>3</v>
      </c>
    </row>
    <row r="34" spans="1:4" x14ac:dyDescent="0.3">
      <c r="A34">
        <v>1000</v>
      </c>
      <c r="B34">
        <v>0.1</v>
      </c>
      <c r="C34">
        <v>0</v>
      </c>
      <c r="D34">
        <f t="shared" ref="D34:D43" si="5">$A34/($B34-$C34)</f>
        <v>10000</v>
      </c>
    </row>
    <row r="35" spans="1:4" x14ac:dyDescent="0.3">
      <c r="A35">
        <v>1000</v>
      </c>
      <c r="B35">
        <v>0.1</v>
      </c>
      <c r="C35">
        <v>0.05</v>
      </c>
      <c r="D35">
        <f t="shared" si="5"/>
        <v>20000</v>
      </c>
    </row>
    <row r="36" spans="1:4" x14ac:dyDescent="0.3">
      <c r="A36" s="1">
        <v>10000</v>
      </c>
      <c r="B36" s="1">
        <v>0.05</v>
      </c>
      <c r="C36" s="1">
        <v>0</v>
      </c>
      <c r="D36" s="1">
        <f t="shared" si="5"/>
        <v>200000</v>
      </c>
    </row>
    <row r="37" spans="1:4" x14ac:dyDescent="0.3">
      <c r="A37" s="1">
        <v>1000</v>
      </c>
      <c r="B37" s="1">
        <v>4.0741237836483535E-3</v>
      </c>
      <c r="C37" s="1">
        <v>0</v>
      </c>
      <c r="D37" s="1">
        <f t="shared" si="5"/>
        <v>245451.5505919425</v>
      </c>
    </row>
    <row r="38" spans="1:4" x14ac:dyDescent="0.3">
      <c r="A38" s="1">
        <v>2000</v>
      </c>
      <c r="B38" s="1">
        <v>0.04</v>
      </c>
      <c r="C38" s="1">
        <v>0.02</v>
      </c>
      <c r="D38" s="1">
        <f t="shared" si="5"/>
        <v>100000</v>
      </c>
    </row>
    <row r="39" spans="1:4" x14ac:dyDescent="0.3">
      <c r="A39" s="1">
        <v>750</v>
      </c>
      <c r="B39" s="1">
        <v>4.8675505653430484E-3</v>
      </c>
      <c r="C39" s="1">
        <v>0</v>
      </c>
      <c r="D39" s="1">
        <f t="shared" si="5"/>
        <v>154081.60427546428</v>
      </c>
    </row>
    <row r="40" spans="1:4" x14ac:dyDescent="0.3">
      <c r="A40" s="1">
        <v>500</v>
      </c>
      <c r="B40" s="1">
        <v>4.8675505653430484E-3</v>
      </c>
      <c r="C40" s="1">
        <v>1.25E-3</v>
      </c>
      <c r="D40" s="1">
        <f t="shared" si="5"/>
        <v>138215.06872360347</v>
      </c>
    </row>
    <row r="41" spans="1:4" x14ac:dyDescent="0.3">
      <c r="A41" s="1">
        <v>1000</v>
      </c>
      <c r="B41" s="1">
        <f>0.05/12</f>
        <v>4.1666666666666666E-3</v>
      </c>
      <c r="C41" s="1">
        <v>0</v>
      </c>
      <c r="D41" s="1">
        <f t="shared" si="5"/>
        <v>240000</v>
      </c>
    </row>
    <row r="42" spans="1:4" x14ac:dyDescent="0.3">
      <c r="A42" s="1">
        <v>20000</v>
      </c>
      <c r="B42" s="1">
        <v>0.08</v>
      </c>
      <c r="C42" s="1">
        <v>0</v>
      </c>
      <c r="D42" s="1">
        <f t="shared" si="5"/>
        <v>250000</v>
      </c>
    </row>
    <row r="43" spans="1:4" x14ac:dyDescent="0.3">
      <c r="A43" s="1">
        <v>100</v>
      </c>
      <c r="B43" s="1">
        <v>7.0000000000000007E-2</v>
      </c>
      <c r="C43" s="1">
        <v>0.05</v>
      </c>
      <c r="D43" s="1">
        <f t="shared" si="5"/>
        <v>4999.9999999999991</v>
      </c>
    </row>
    <row r="44" spans="1:4" x14ac:dyDescent="0.3">
      <c r="A44" s="1">
        <v>2</v>
      </c>
      <c r="B44" s="1">
        <v>0.08</v>
      </c>
      <c r="C44" s="1">
        <v>0</v>
      </c>
      <c r="D44" s="1">
        <f>$A44/($B44-$C44)</f>
        <v>25</v>
      </c>
    </row>
    <row r="45" spans="1:4" x14ac:dyDescent="0.3">
      <c r="A45" s="1">
        <v>3</v>
      </c>
      <c r="B45" s="1">
        <v>0.10249999999999999</v>
      </c>
      <c r="C45" s="1">
        <v>0.05</v>
      </c>
      <c r="D45" s="1">
        <f>$A45/($B45-$C45)</f>
        <v>57.142857142857153</v>
      </c>
    </row>
    <row r="46" spans="1:4" x14ac:dyDescent="0.3">
      <c r="A46" s="1">
        <v>3</v>
      </c>
      <c r="B46" s="1">
        <v>0.10249999999999999</v>
      </c>
      <c r="C46" s="1">
        <v>0.06</v>
      </c>
      <c r="D46" s="1">
        <f>$A46/($B46-$C46)</f>
        <v>70.588235294117652</v>
      </c>
    </row>
    <row r="47" spans="1:4" x14ac:dyDescent="0.3">
      <c r="A47" s="1">
        <v>1.5</v>
      </c>
      <c r="B47" s="1">
        <v>0.13</v>
      </c>
      <c r="C47" s="1">
        <v>0.1</v>
      </c>
      <c r="D47" s="1">
        <f>$A47/($B47-$C47)</f>
        <v>50</v>
      </c>
    </row>
    <row r="48" spans="1:4" x14ac:dyDescent="0.3">
      <c r="A48" s="1">
        <v>2</v>
      </c>
      <c r="B48" s="1">
        <v>0.12</v>
      </c>
      <c r="C48" s="1">
        <v>7.8299999999999995E-2</v>
      </c>
      <c r="D48" s="1">
        <f>$A48/($B48-$C48)</f>
        <v>47.961630695443645</v>
      </c>
    </row>
    <row r="50" spans="1:7" x14ac:dyDescent="0.3">
      <c r="A50" t="s">
        <v>0</v>
      </c>
      <c r="B50" t="s">
        <v>1</v>
      </c>
      <c r="C50" t="s">
        <v>16</v>
      </c>
      <c r="D50" t="s">
        <v>2</v>
      </c>
      <c r="E50" t="s">
        <v>4</v>
      </c>
      <c r="F50" t="s">
        <v>3</v>
      </c>
    </row>
    <row r="51" spans="1:7" x14ac:dyDescent="0.3">
      <c r="A51">
        <v>90000</v>
      </c>
      <c r="B51">
        <v>0.08</v>
      </c>
      <c r="C51">
        <v>0.05</v>
      </c>
      <c r="D51">
        <v>5</v>
      </c>
      <c r="E51">
        <f>(1-POWER((1+$C51)/(1+$B51),$D51))/($B51-$C51)</f>
        <v>4.3794737959505428</v>
      </c>
      <c r="F51">
        <f>$A51*$E51</f>
        <v>394152.64163554885</v>
      </c>
    </row>
    <row r="52" spans="1:7" x14ac:dyDescent="0.3">
      <c r="A52" s="1">
        <v>1250</v>
      </c>
      <c r="B52" s="1">
        <v>4.8675505653430484E-3</v>
      </c>
      <c r="C52" s="1">
        <v>1.25E-3</v>
      </c>
      <c r="D52" s="1">
        <v>36</v>
      </c>
      <c r="E52" s="1">
        <f>(1-POWER((1+$C52)/(1+$B52),$D52))/($B52-$C52)</f>
        <v>33.658000442053236</v>
      </c>
      <c r="F52" s="1">
        <f>$A52*$E52</f>
        <v>42072.500552566547</v>
      </c>
    </row>
    <row r="54" spans="1:7" x14ac:dyDescent="0.3">
      <c r="A54" t="s">
        <v>17</v>
      </c>
      <c r="B54" t="s">
        <v>9</v>
      </c>
      <c r="C54" t="s">
        <v>18</v>
      </c>
      <c r="D54" t="s">
        <v>2</v>
      </c>
      <c r="E54" t="s">
        <v>19</v>
      </c>
      <c r="F54" t="s">
        <v>20</v>
      </c>
      <c r="G54" t="s">
        <v>8</v>
      </c>
    </row>
    <row r="55" spans="1:7" x14ac:dyDescent="0.3">
      <c r="A55">
        <v>1000</v>
      </c>
      <c r="B55">
        <v>0.08</v>
      </c>
      <c r="C55">
        <v>2</v>
      </c>
      <c r="D55">
        <v>6</v>
      </c>
      <c r="E55">
        <f>$B55/$C55</f>
        <v>0.04</v>
      </c>
      <c r="F55">
        <f>POWER(1+$E55,$D55)</f>
        <v>1.2653190184960004</v>
      </c>
      <c r="G55">
        <f>$A55*$F55</f>
        <v>1265.3190184960004</v>
      </c>
    </row>
    <row r="56" spans="1:7" x14ac:dyDescent="0.3">
      <c r="A56" s="1">
        <v>1000</v>
      </c>
      <c r="B56" s="1">
        <v>0.08</v>
      </c>
      <c r="C56" s="1">
        <v>12</v>
      </c>
      <c r="D56" s="1">
        <v>36</v>
      </c>
      <c r="E56" s="1">
        <f>$B56/$C56</f>
        <v>6.6666666666666671E-3</v>
      </c>
      <c r="F56" s="1">
        <f>POWER(1+$E56,$D56)</f>
        <v>1.2702370516206511</v>
      </c>
      <c r="G56" s="1">
        <f>$A56*$F56</f>
        <v>1270.2370516206511</v>
      </c>
    </row>
    <row r="57" spans="1:7" x14ac:dyDescent="0.3">
      <c r="A57" s="1">
        <v>20000</v>
      </c>
      <c r="B57" s="1">
        <v>0.09</v>
      </c>
      <c r="C57" s="1">
        <v>1</v>
      </c>
      <c r="D57" s="1">
        <v>35</v>
      </c>
      <c r="E57" s="1">
        <f>$B57/$C57</f>
        <v>0.09</v>
      </c>
      <c r="F57" s="1">
        <f>POWER(1+$E57,$D57)</f>
        <v>20.413967918516335</v>
      </c>
      <c r="G57" s="1">
        <f>$A57*$F57</f>
        <v>408279.35837032669</v>
      </c>
    </row>
  </sheetData>
  <pageMargins left="0.75" right="0.75" top="1" bottom="1" header="0.5" footer="0.5"/>
  <pageSetup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M19" sqref="M19"/>
    </sheetView>
  </sheetViews>
  <sheetFormatPr defaultRowHeight="15.6" x14ac:dyDescent="0.3"/>
  <cols>
    <col min="1" max="1" width="12.09765625" style="3" bestFit="1" customWidth="1"/>
    <col min="2" max="2" width="13.69921875" style="3" bestFit="1" customWidth="1"/>
    <col min="3" max="3" width="10.5" style="4" bestFit="1" customWidth="1"/>
    <col min="4" max="4" width="14" style="5" bestFit="1" customWidth="1"/>
    <col min="5" max="5" width="12" style="4" bestFit="1" customWidth="1"/>
    <col min="6" max="6" width="8.796875" style="5" bestFit="1" customWidth="1"/>
    <col min="8" max="8" width="10.5" style="3" bestFit="1" customWidth="1"/>
    <col min="9" max="9" width="11.19921875" style="3" bestFit="1" customWidth="1"/>
    <col min="10" max="10" width="11.796875" style="4" bestFit="1" customWidth="1"/>
    <col min="11" max="11" width="5.3984375" style="4" bestFit="1" customWidth="1"/>
    <col min="12" max="12" width="8.796875" style="5" bestFit="1" customWidth="1"/>
    <col min="13" max="13" width="12.19921875" style="5" bestFit="1" customWidth="1"/>
    <col min="14" max="14" width="10.5" style="4" bestFit="1" customWidth="1"/>
    <col min="15" max="15" width="10.8984375" bestFit="1" customWidth="1"/>
    <col min="16" max="16" width="13.59765625" bestFit="1" customWidth="1"/>
    <col min="17" max="17" width="12.8984375" bestFit="1" customWidth="1"/>
    <col min="18" max="18" width="13.19921875" style="6" bestFit="1" customWidth="1"/>
    <col min="20" max="20" width="12.59765625" style="3" customWidth="1"/>
    <col min="21" max="21" width="9.5" bestFit="1" customWidth="1"/>
    <col min="22" max="22" width="9.8984375" customWidth="1"/>
    <col min="23" max="23" width="12.09765625" customWidth="1"/>
    <col min="24" max="24" width="10" customWidth="1"/>
    <col min="25" max="25" width="15.19921875" style="3" customWidth="1"/>
    <col min="26" max="26" width="11.796875" style="5" customWidth="1"/>
    <col min="27" max="27" width="10" style="5" customWidth="1"/>
    <col min="29" max="30" width="13.3984375" style="3" customWidth="1"/>
    <col min="31" max="31" width="12.09765625" customWidth="1"/>
    <col min="32" max="33" width="8.796875" style="5"/>
    <col min="34" max="34" width="12.8984375" style="5" customWidth="1"/>
  </cols>
  <sheetData>
    <row r="1" spans="1:34" x14ac:dyDescent="0.3">
      <c r="A1" s="3" t="s">
        <v>3</v>
      </c>
      <c r="B1" s="3" t="s">
        <v>22</v>
      </c>
      <c r="C1" s="4" t="s">
        <v>25</v>
      </c>
      <c r="D1" s="5" t="s">
        <v>27</v>
      </c>
      <c r="E1" s="4" t="s">
        <v>26</v>
      </c>
      <c r="F1" s="5" t="s">
        <v>24</v>
      </c>
      <c r="H1" s="3" t="s">
        <v>22</v>
      </c>
      <c r="I1" s="3" t="s">
        <v>32</v>
      </c>
      <c r="J1" s="4" t="s">
        <v>28</v>
      </c>
      <c r="K1" s="4" t="s">
        <v>23</v>
      </c>
      <c r="L1" s="5" t="s">
        <v>1</v>
      </c>
      <c r="M1" s="5" t="s">
        <v>10</v>
      </c>
      <c r="N1" s="4" t="s">
        <v>25</v>
      </c>
      <c r="O1" t="s">
        <v>4</v>
      </c>
      <c r="P1" t="s">
        <v>29</v>
      </c>
      <c r="Q1" t="s">
        <v>30</v>
      </c>
      <c r="R1" s="6" t="s">
        <v>31</v>
      </c>
      <c r="T1" s="3" t="s">
        <v>33</v>
      </c>
      <c r="U1" t="s">
        <v>34</v>
      </c>
      <c r="V1" t="s">
        <v>35</v>
      </c>
      <c r="W1" t="s">
        <v>36</v>
      </c>
      <c r="X1" t="s">
        <v>37</v>
      </c>
      <c r="Y1" s="3" t="s">
        <v>38</v>
      </c>
      <c r="Z1" s="5" t="s">
        <v>39</v>
      </c>
      <c r="AA1" s="5" t="s">
        <v>9</v>
      </c>
      <c r="AC1" s="3" t="s">
        <v>22</v>
      </c>
      <c r="AD1" s="3" t="s">
        <v>3</v>
      </c>
      <c r="AE1" t="s">
        <v>36</v>
      </c>
      <c r="AF1" s="5" t="s">
        <v>39</v>
      </c>
      <c r="AG1" s="5" t="s">
        <v>40</v>
      </c>
      <c r="AH1" s="5" t="s">
        <v>41</v>
      </c>
    </row>
    <row r="2" spans="1:34" x14ac:dyDescent="0.3">
      <c r="A2" s="3">
        <v>9492.17</v>
      </c>
      <c r="B2" s="3">
        <v>10000</v>
      </c>
      <c r="C2" s="4">
        <v>1</v>
      </c>
      <c r="D2" s="5">
        <f>POWER($B2/$A2,1/$C2)-1</f>
        <v>5.3499884641762696E-2</v>
      </c>
      <c r="E2" s="4">
        <v>1</v>
      </c>
      <c r="F2" s="5">
        <f t="shared" ref="F2:F3" si="0">$D2*$E2</f>
        <v>5.3499884641762696E-2</v>
      </c>
      <c r="H2" s="3">
        <v>1000</v>
      </c>
      <c r="I2" s="3">
        <v>60</v>
      </c>
      <c r="J2" s="4">
        <v>2</v>
      </c>
      <c r="K2" s="4">
        <v>2</v>
      </c>
      <c r="L2" s="5">
        <v>5.3499999999999999E-2</v>
      </c>
      <c r="M2" s="5">
        <f t="shared" ref="M2:M11" si="1">$L2/$J2</f>
        <v>2.6749999999999999E-2</v>
      </c>
      <c r="N2" s="4">
        <f t="shared" ref="N2:N11" si="2">$J2*$K2</f>
        <v>4</v>
      </c>
      <c r="O2">
        <f t="shared" ref="O2:O11" si="3">(1-1/POWER(1+$M2,$N2))/$M2</f>
        <v>3.7461688701466742</v>
      </c>
      <c r="P2">
        <f t="shared" ref="P2:P11" si="4">$I2*$O2</f>
        <v>224.77013220880045</v>
      </c>
      <c r="Q2">
        <f t="shared" ref="Q2:Q11" si="5">$H2/POWER(1+$M2,$N2)</f>
        <v>899.78998272357637</v>
      </c>
      <c r="R2" s="6">
        <f t="shared" ref="R2:R11" si="6">$P2+$Q2</f>
        <v>1124.5601149323768</v>
      </c>
      <c r="T2" s="3">
        <v>100000</v>
      </c>
      <c r="U2" s="8">
        <v>42528</v>
      </c>
      <c r="V2" s="8">
        <v>42614</v>
      </c>
      <c r="W2">
        <f t="shared" ref="W2:W7" si="7">$V2-$U2</f>
        <v>86</v>
      </c>
      <c r="X2">
        <v>0.35799999999999998</v>
      </c>
      <c r="Y2" s="9">
        <f t="shared" ref="Y2:Y7" si="8">$T2*(1-$X2*$W2/36000)</f>
        <v>99914.477777777778</v>
      </c>
      <c r="Z2" s="5">
        <f t="shared" ref="Z2:Z4" si="9">$T2/$Y2-1</f>
        <v>8.559542533208564E-4</v>
      </c>
      <c r="AA2" s="5">
        <f t="shared" ref="AA2:AA4" si="10">$Z2*365/$W2</f>
        <v>3.6328290983966578E-3</v>
      </c>
      <c r="AC2" s="3">
        <v>100000</v>
      </c>
      <c r="AD2" s="3">
        <v>98999</v>
      </c>
      <c r="AE2">
        <v>54</v>
      </c>
      <c r="AF2" s="5">
        <f>$AC2/$AD2-1</f>
        <v>1.0111213244578199E-2</v>
      </c>
      <c r="AG2" s="5">
        <f>$AF2*360/$AE2</f>
        <v>6.7408088297187987E-2</v>
      </c>
      <c r="AH2" s="5">
        <f>POWER(1+$AG2*$AE2/365,365/$AE2)-1</f>
        <v>6.9374807832107255E-2</v>
      </c>
    </row>
    <row r="3" spans="1:34" x14ac:dyDescent="0.3">
      <c r="A3" s="3">
        <v>455000</v>
      </c>
      <c r="B3" s="3">
        <v>1000000</v>
      </c>
      <c r="C3" s="4">
        <v>40</v>
      </c>
      <c r="D3" s="5">
        <f>POWER($B3/$A3,1/$C3)-1</f>
        <v>1.9881502472393731E-2</v>
      </c>
      <c r="E3" s="4">
        <v>2</v>
      </c>
      <c r="F3" s="5">
        <f t="shared" si="0"/>
        <v>3.9763004944787461E-2</v>
      </c>
      <c r="H3" s="3">
        <v>1000</v>
      </c>
      <c r="I3" s="3">
        <v>0</v>
      </c>
      <c r="J3" s="4">
        <v>1</v>
      </c>
      <c r="K3" s="4">
        <v>5</v>
      </c>
      <c r="L3" s="5">
        <v>0.1</v>
      </c>
      <c r="M3" s="5">
        <f t="shared" si="1"/>
        <v>0.1</v>
      </c>
      <c r="N3" s="4">
        <f t="shared" si="2"/>
        <v>5</v>
      </c>
      <c r="O3">
        <f t="shared" si="3"/>
        <v>3.7907867694084505</v>
      </c>
      <c r="P3" s="7">
        <f t="shared" si="4"/>
        <v>0</v>
      </c>
      <c r="Q3" s="7">
        <f t="shared" si="5"/>
        <v>620.92132305915493</v>
      </c>
      <c r="R3" s="6">
        <f t="shared" si="6"/>
        <v>620.92132305915493</v>
      </c>
      <c r="T3" s="3">
        <v>100000</v>
      </c>
      <c r="U3" s="8">
        <v>42528</v>
      </c>
      <c r="V3" s="8">
        <v>42614</v>
      </c>
      <c r="W3">
        <f t="shared" si="7"/>
        <v>86</v>
      </c>
      <c r="X3">
        <v>0.34799999999999998</v>
      </c>
      <c r="Y3" s="9">
        <f t="shared" si="8"/>
        <v>99916.866666666669</v>
      </c>
      <c r="Z3" s="5">
        <f t="shared" si="9"/>
        <v>8.3202502346946261E-4</v>
      </c>
      <c r="AA3" s="5">
        <f t="shared" si="10"/>
        <v>3.531268994957603E-3</v>
      </c>
      <c r="AC3" s="3">
        <v>10000</v>
      </c>
      <c r="AD3" s="3">
        <v>9942.85</v>
      </c>
      <c r="AE3">
        <v>81</v>
      </c>
      <c r="AF3" s="5">
        <f>$AC3/$AD3-1</f>
        <v>5.7478489567879265E-3</v>
      </c>
      <c r="AG3" s="5">
        <f>$AF3*360/$AE3</f>
        <v>2.5545995363501897E-2</v>
      </c>
      <c r="AH3" s="5">
        <f>POWER(1+$AG3*$AE3/365,365/$AE3)-1</f>
        <v>2.5801087717211013E-2</v>
      </c>
    </row>
    <row r="4" spans="1:34" x14ac:dyDescent="0.3">
      <c r="A4" s="3">
        <v>744.09</v>
      </c>
      <c r="B4" s="3">
        <v>1000</v>
      </c>
      <c r="C4" s="4">
        <v>5</v>
      </c>
      <c r="D4" s="5">
        <f>POWER($B4/$A4,1/$C4)-1</f>
        <v>6.0901116344849404E-2</v>
      </c>
      <c r="E4" s="4">
        <v>1</v>
      </c>
      <c r="F4" s="5">
        <f>$D4*$E4</f>
        <v>6.0901116344849404E-2</v>
      </c>
      <c r="H4" s="3">
        <v>1000</v>
      </c>
      <c r="I4" s="3">
        <v>60</v>
      </c>
      <c r="J4" s="4">
        <v>1</v>
      </c>
      <c r="K4" s="4">
        <v>5</v>
      </c>
      <c r="L4" s="5">
        <v>0.1</v>
      </c>
      <c r="M4" s="5">
        <f t="shared" si="1"/>
        <v>0.1</v>
      </c>
      <c r="N4" s="4">
        <f t="shared" si="2"/>
        <v>5</v>
      </c>
      <c r="O4">
        <f t="shared" si="3"/>
        <v>3.7907867694084505</v>
      </c>
      <c r="P4" s="7">
        <f t="shared" si="4"/>
        <v>227.44720616450704</v>
      </c>
      <c r="Q4" s="7">
        <f t="shared" si="5"/>
        <v>620.92132305915493</v>
      </c>
      <c r="R4" s="6">
        <f t="shared" si="6"/>
        <v>848.36852922366199</v>
      </c>
      <c r="T4" s="3">
        <v>100000</v>
      </c>
      <c r="U4" s="8">
        <v>42580</v>
      </c>
      <c r="V4" s="8">
        <v>42824</v>
      </c>
      <c r="W4">
        <f t="shared" si="7"/>
        <v>244</v>
      </c>
      <c r="X4">
        <v>0.438</v>
      </c>
      <c r="Y4" s="9">
        <f t="shared" si="8"/>
        <v>99703.133333333331</v>
      </c>
      <c r="Z4" s="5">
        <f t="shared" si="9"/>
        <v>2.9775058891496897E-3</v>
      </c>
      <c r="AA4" s="5">
        <f t="shared" si="10"/>
        <v>4.4540559407362165E-3</v>
      </c>
      <c r="AC4" s="3">
        <v>100000</v>
      </c>
      <c r="AD4" s="3">
        <v>97660</v>
      </c>
      <c r="AE4">
        <v>89</v>
      </c>
      <c r="AF4" s="5">
        <f>$AC4/$AD4-1</f>
        <v>2.396067990989148E-2</v>
      </c>
      <c r="AG4" s="5">
        <f>$AF4*360/$AE4</f>
        <v>9.6919604129898126E-2</v>
      </c>
      <c r="AH4" s="5">
        <f>POWER(1+$AG4*$AE4/365,365/$AE4)-1</f>
        <v>0.10053025021471873</v>
      </c>
    </row>
    <row r="5" spans="1:34" x14ac:dyDescent="0.3">
      <c r="H5" s="3">
        <v>1000</v>
      </c>
      <c r="I5" s="3">
        <v>30</v>
      </c>
      <c r="J5" s="4">
        <v>2</v>
      </c>
      <c r="K5" s="4">
        <v>5</v>
      </c>
      <c r="L5" s="5">
        <v>0.1</v>
      </c>
      <c r="M5" s="5">
        <f t="shared" si="1"/>
        <v>0.05</v>
      </c>
      <c r="N5" s="4">
        <f t="shared" si="2"/>
        <v>10</v>
      </c>
      <c r="O5">
        <f t="shared" si="3"/>
        <v>7.7217349291848132</v>
      </c>
      <c r="P5" s="7">
        <f t="shared" si="4"/>
        <v>231.65204787554438</v>
      </c>
      <c r="Q5" s="7">
        <f t="shared" si="5"/>
        <v>613.91325354075934</v>
      </c>
      <c r="R5" s="6">
        <f t="shared" si="6"/>
        <v>845.56530141630378</v>
      </c>
      <c r="T5" s="3">
        <v>100000</v>
      </c>
      <c r="U5" s="8">
        <v>42580</v>
      </c>
      <c r="V5" s="8">
        <v>42824</v>
      </c>
      <c r="W5">
        <f t="shared" si="7"/>
        <v>244</v>
      </c>
      <c r="X5">
        <v>0.42799999999999999</v>
      </c>
      <c r="Y5" s="9">
        <f t="shared" si="8"/>
        <v>99709.911111111112</v>
      </c>
      <c r="Z5" s="5">
        <f>$T5/$Y5-1</f>
        <v>2.9093285276888814E-3</v>
      </c>
      <c r="AA5" s="5">
        <f>$Z5*365/$W5</f>
        <v>4.352069313960827E-3</v>
      </c>
    </row>
    <row r="6" spans="1:34" x14ac:dyDescent="0.3">
      <c r="F6" s="5">
        <f>POWER(1.06, 2)-1</f>
        <v>0.12360000000000015</v>
      </c>
      <c r="H6" s="3">
        <v>1000</v>
      </c>
      <c r="I6" s="3">
        <v>100</v>
      </c>
      <c r="J6" s="4">
        <v>1</v>
      </c>
      <c r="K6" s="4">
        <v>4</v>
      </c>
      <c r="L6" s="5">
        <v>4.4337500000000002E-2</v>
      </c>
      <c r="M6" s="5">
        <f t="shared" si="1"/>
        <v>4.4337500000000002E-2</v>
      </c>
      <c r="N6" s="4">
        <f t="shared" si="2"/>
        <v>4</v>
      </c>
      <c r="O6">
        <f t="shared" si="3"/>
        <v>3.5930935779649942</v>
      </c>
      <c r="P6" s="7">
        <f t="shared" si="4"/>
        <v>359.3093577964994</v>
      </c>
      <c r="Q6" s="7">
        <f t="shared" si="5"/>
        <v>840.69121348697706</v>
      </c>
      <c r="R6" s="6">
        <f t="shared" si="6"/>
        <v>1200.0005712834763</v>
      </c>
      <c r="T6" s="3">
        <v>100000</v>
      </c>
      <c r="U6" s="8">
        <v>42434</v>
      </c>
      <c r="V6" s="8">
        <v>42614</v>
      </c>
      <c r="W6">
        <f t="shared" si="7"/>
        <v>180</v>
      </c>
      <c r="X6">
        <v>0.35799999999999998</v>
      </c>
      <c r="Y6" s="9">
        <f t="shared" si="8"/>
        <v>99821</v>
      </c>
      <c r="Z6" s="5">
        <f>$T6/$Y6-1</f>
        <v>1.7932098456237E-3</v>
      </c>
      <c r="AA6" s="5">
        <f>$Z6*365/$W6</f>
        <v>3.6362310758480585E-3</v>
      </c>
    </row>
    <row r="7" spans="1:34" x14ac:dyDescent="0.3">
      <c r="H7" s="3">
        <v>1000</v>
      </c>
      <c r="I7" s="3">
        <v>25</v>
      </c>
      <c r="J7" s="4">
        <v>4</v>
      </c>
      <c r="K7" s="4">
        <v>20</v>
      </c>
      <c r="L7" s="5">
        <v>0.08</v>
      </c>
      <c r="M7" s="5">
        <f t="shared" si="1"/>
        <v>0.02</v>
      </c>
      <c r="N7" s="4">
        <f t="shared" si="2"/>
        <v>80</v>
      </c>
      <c r="O7">
        <f t="shared" si="3"/>
        <v>39.744513591667207</v>
      </c>
      <c r="P7" s="7">
        <f t="shared" si="4"/>
        <v>993.61283979168013</v>
      </c>
      <c r="Q7" s="7">
        <f t="shared" si="5"/>
        <v>205.10972816665586</v>
      </c>
      <c r="R7" s="6">
        <f t="shared" si="6"/>
        <v>1198.722567958336</v>
      </c>
      <c r="T7" s="3">
        <v>10000</v>
      </c>
      <c r="U7" s="8">
        <v>42533</v>
      </c>
      <c r="V7" s="8">
        <v>42614</v>
      </c>
      <c r="W7">
        <f t="shared" si="7"/>
        <v>81</v>
      </c>
      <c r="X7">
        <v>2.54</v>
      </c>
      <c r="Y7" s="9">
        <f t="shared" si="8"/>
        <v>9942.85</v>
      </c>
      <c r="Z7" s="5">
        <f>$T7/$Y7-1</f>
        <v>5.7478489567879265E-3</v>
      </c>
      <c r="AA7" s="5">
        <f>$Z7*365/$W7</f>
        <v>2.5900800854661645E-2</v>
      </c>
    </row>
    <row r="8" spans="1:34" x14ac:dyDescent="0.3">
      <c r="H8" s="3">
        <v>1000</v>
      </c>
      <c r="I8" s="3">
        <v>80</v>
      </c>
      <c r="J8" s="4">
        <v>1</v>
      </c>
      <c r="K8" s="4">
        <v>20</v>
      </c>
      <c r="L8" s="5">
        <v>6.2199999999999998E-2</v>
      </c>
      <c r="M8" s="5">
        <f t="shared" si="1"/>
        <v>6.2199999999999998E-2</v>
      </c>
      <c r="N8" s="4">
        <f t="shared" si="2"/>
        <v>20</v>
      </c>
      <c r="O8">
        <f t="shared" si="3"/>
        <v>11.26785043180219</v>
      </c>
      <c r="P8" s="7">
        <f t="shared" si="4"/>
        <v>901.42803454417515</v>
      </c>
      <c r="Q8" s="7">
        <f t="shared" si="5"/>
        <v>299.13970314190385</v>
      </c>
      <c r="R8" s="6">
        <f t="shared" si="6"/>
        <v>1200.567737686079</v>
      </c>
    </row>
    <row r="9" spans="1:34" x14ac:dyDescent="0.3">
      <c r="H9" s="3">
        <v>1000</v>
      </c>
      <c r="I9" s="3">
        <v>30</v>
      </c>
      <c r="J9" s="4">
        <v>2</v>
      </c>
      <c r="K9" s="4">
        <v>6</v>
      </c>
      <c r="L9" s="5">
        <v>0.12</v>
      </c>
      <c r="M9" s="5">
        <f t="shared" si="1"/>
        <v>0.06</v>
      </c>
      <c r="N9" s="4">
        <f t="shared" si="2"/>
        <v>12</v>
      </c>
      <c r="O9">
        <f t="shared" si="3"/>
        <v>8.3838439403833256</v>
      </c>
      <c r="P9" s="7">
        <f t="shared" si="4"/>
        <v>251.51531821149976</v>
      </c>
      <c r="Q9" s="7">
        <f t="shared" si="5"/>
        <v>496.96936357700048</v>
      </c>
      <c r="R9" s="6">
        <f t="shared" si="6"/>
        <v>748.48468178850021</v>
      </c>
    </row>
    <row r="10" spans="1:34" x14ac:dyDescent="0.3">
      <c r="H10" s="3">
        <v>1000</v>
      </c>
      <c r="I10" s="3">
        <v>20</v>
      </c>
      <c r="J10" s="4">
        <v>2</v>
      </c>
      <c r="K10" s="4">
        <v>10</v>
      </c>
      <c r="L10" s="5">
        <v>5.5E-2</v>
      </c>
      <c r="M10" s="5">
        <f t="shared" si="1"/>
        <v>2.75E-2</v>
      </c>
      <c r="N10" s="4">
        <f t="shared" si="2"/>
        <v>20</v>
      </c>
      <c r="O10">
        <f t="shared" si="3"/>
        <v>15.227252133775616</v>
      </c>
      <c r="P10" s="7">
        <f t="shared" si="4"/>
        <v>304.54504267551232</v>
      </c>
      <c r="Q10" s="7">
        <f t="shared" si="5"/>
        <v>581.2505663211706</v>
      </c>
      <c r="R10" s="6">
        <f t="shared" si="6"/>
        <v>885.79560899668286</v>
      </c>
    </row>
    <row r="11" spans="1:34" x14ac:dyDescent="0.3">
      <c r="H11" s="3">
        <v>885.79560899668286</v>
      </c>
      <c r="I11" s="3">
        <v>20</v>
      </c>
      <c r="J11" s="4">
        <v>2</v>
      </c>
      <c r="K11" s="4">
        <v>5</v>
      </c>
      <c r="L11" s="5">
        <v>1.8074E-2</v>
      </c>
      <c r="M11" s="5">
        <f t="shared" si="1"/>
        <v>9.0369999999999999E-3</v>
      </c>
      <c r="N11" s="4">
        <f t="shared" si="2"/>
        <v>10</v>
      </c>
      <c r="O11">
        <f t="shared" si="3"/>
        <v>9.5204171880559265</v>
      </c>
      <c r="P11" s="7">
        <f t="shared" si="4"/>
        <v>190.40834376111854</v>
      </c>
      <c r="Q11" s="7">
        <f t="shared" si="5"/>
        <v>809.58528900929753</v>
      </c>
      <c r="R11" s="6">
        <f t="shared" si="6"/>
        <v>999.99363277041607</v>
      </c>
    </row>
    <row r="12" spans="1:34" x14ac:dyDescent="0.3">
      <c r="H12" s="3">
        <v>1000</v>
      </c>
      <c r="I12" s="3">
        <v>50</v>
      </c>
      <c r="J12" s="4">
        <v>2</v>
      </c>
      <c r="K12" s="4">
        <v>5</v>
      </c>
      <c r="L12" s="5">
        <v>0.04</v>
      </c>
      <c r="M12" s="5">
        <f t="shared" ref="M12:M19" si="11">$L12/$J12</f>
        <v>0.02</v>
      </c>
      <c r="N12" s="4">
        <f t="shared" ref="N12:N19" si="12">$J12*$K12</f>
        <v>10</v>
      </c>
      <c r="O12">
        <f t="shared" ref="O12:O19" si="13">(1-1/POWER(1+$M12,$N12))/$M12</f>
        <v>8.9825850062422337</v>
      </c>
      <c r="P12" s="7">
        <f t="shared" ref="P12:P19" si="14">$I12*$O12</f>
        <v>449.12925031211171</v>
      </c>
      <c r="Q12" s="7">
        <f t="shared" ref="Q12:Q19" si="15">$H12/POWER(1+$M12,$N12)</f>
        <v>820.34829987515525</v>
      </c>
      <c r="R12" s="6">
        <f t="shared" ref="R12:R19" si="16">$P12+$Q12</f>
        <v>1269.4775501872668</v>
      </c>
    </row>
    <row r="13" spans="1:34" x14ac:dyDescent="0.3">
      <c r="H13" s="3">
        <v>1000</v>
      </c>
      <c r="I13" s="3">
        <v>90</v>
      </c>
      <c r="J13" s="4">
        <v>1</v>
      </c>
      <c r="K13" s="4">
        <v>10</v>
      </c>
      <c r="L13" s="5">
        <v>0.08</v>
      </c>
      <c r="M13" s="5">
        <f t="shared" si="11"/>
        <v>0.08</v>
      </c>
      <c r="N13" s="4">
        <f t="shared" si="12"/>
        <v>10</v>
      </c>
      <c r="O13">
        <f t="shared" si="13"/>
        <v>6.7100813989414476</v>
      </c>
      <c r="P13" s="7">
        <f t="shared" si="14"/>
        <v>603.90732590473033</v>
      </c>
      <c r="Q13" s="7">
        <f t="shared" si="15"/>
        <v>463.19348808468425</v>
      </c>
      <c r="R13" s="6">
        <f t="shared" si="16"/>
        <v>1067.1008139894145</v>
      </c>
    </row>
    <row r="14" spans="1:34" x14ac:dyDescent="0.3">
      <c r="H14" s="3">
        <v>1000</v>
      </c>
      <c r="I14" s="3">
        <v>90</v>
      </c>
      <c r="J14" s="4">
        <v>1</v>
      </c>
      <c r="K14" s="4">
        <v>9</v>
      </c>
      <c r="L14" s="5">
        <v>7.0000000000000007E-2</v>
      </c>
      <c r="M14" s="5">
        <f t="shared" si="11"/>
        <v>7.0000000000000007E-2</v>
      </c>
      <c r="N14" s="4">
        <f t="shared" si="12"/>
        <v>9</v>
      </c>
      <c r="O14">
        <f t="shared" si="13"/>
        <v>6.5152322487978847</v>
      </c>
      <c r="P14" s="7">
        <f t="shared" si="14"/>
        <v>586.37090239180964</v>
      </c>
      <c r="Q14" s="7">
        <f t="shared" si="15"/>
        <v>543.93374258414804</v>
      </c>
      <c r="R14" s="6">
        <f t="shared" si="16"/>
        <v>1130.3046449759577</v>
      </c>
    </row>
    <row r="15" spans="1:34" x14ac:dyDescent="0.3">
      <c r="H15" s="3">
        <v>1000</v>
      </c>
      <c r="I15" s="3">
        <v>0</v>
      </c>
      <c r="J15" s="4">
        <v>1</v>
      </c>
      <c r="K15" s="4">
        <v>10</v>
      </c>
      <c r="L15" s="5">
        <v>0.08</v>
      </c>
      <c r="M15" s="5">
        <f t="shared" si="11"/>
        <v>0.08</v>
      </c>
      <c r="N15" s="4">
        <f t="shared" si="12"/>
        <v>10</v>
      </c>
      <c r="O15">
        <f t="shared" si="13"/>
        <v>6.7100813989414476</v>
      </c>
      <c r="P15" s="7">
        <f t="shared" si="14"/>
        <v>0</v>
      </c>
      <c r="Q15" s="7">
        <f t="shared" si="15"/>
        <v>463.19348808468425</v>
      </c>
      <c r="R15" s="6">
        <f t="shared" si="16"/>
        <v>463.19348808468425</v>
      </c>
    </row>
    <row r="16" spans="1:34" x14ac:dyDescent="0.3">
      <c r="H16" s="3">
        <v>1000</v>
      </c>
      <c r="I16" s="3">
        <v>0</v>
      </c>
      <c r="J16" s="4">
        <v>1</v>
      </c>
      <c r="K16" s="4">
        <v>9</v>
      </c>
      <c r="L16" s="5">
        <v>7.0000000000000007E-2</v>
      </c>
      <c r="M16" s="5">
        <f t="shared" si="11"/>
        <v>7.0000000000000007E-2</v>
      </c>
      <c r="N16" s="4">
        <f t="shared" si="12"/>
        <v>9</v>
      </c>
      <c r="O16">
        <f t="shared" si="13"/>
        <v>6.5152322487978847</v>
      </c>
      <c r="P16" s="7">
        <f t="shared" si="14"/>
        <v>0</v>
      </c>
      <c r="Q16" s="7">
        <f t="shared" si="15"/>
        <v>543.93374258414804</v>
      </c>
      <c r="R16" s="6">
        <f t="shared" si="16"/>
        <v>543.93374258414804</v>
      </c>
    </row>
    <row r="17" spans="8:18" x14ac:dyDescent="0.3">
      <c r="H17" s="3">
        <v>1000</v>
      </c>
      <c r="I17" s="3">
        <v>30</v>
      </c>
      <c r="J17" s="4">
        <v>2</v>
      </c>
      <c r="K17" s="4">
        <v>10</v>
      </c>
      <c r="L17" s="5">
        <v>0.08</v>
      </c>
      <c r="M17" s="5">
        <f t="shared" si="11"/>
        <v>0.04</v>
      </c>
      <c r="N17" s="4">
        <f t="shared" si="12"/>
        <v>20</v>
      </c>
      <c r="O17">
        <f t="shared" si="13"/>
        <v>13.590326344967698</v>
      </c>
      <c r="P17" s="7">
        <f t="shared" si="14"/>
        <v>407.70979034903092</v>
      </c>
      <c r="Q17" s="7">
        <f t="shared" si="15"/>
        <v>456.38694620129206</v>
      </c>
      <c r="R17" s="6">
        <f t="shared" si="16"/>
        <v>864.09673655032293</v>
      </c>
    </row>
    <row r="18" spans="8:18" x14ac:dyDescent="0.3">
      <c r="H18" s="3">
        <v>1000</v>
      </c>
      <c r="I18" s="3">
        <v>30</v>
      </c>
      <c r="J18" s="4">
        <v>2</v>
      </c>
      <c r="K18" s="4">
        <v>9</v>
      </c>
      <c r="L18" s="5">
        <v>7.0000000000000007E-2</v>
      </c>
      <c r="M18" s="5">
        <f t="shared" si="11"/>
        <v>3.5000000000000003E-2</v>
      </c>
      <c r="N18" s="4">
        <f t="shared" si="12"/>
        <v>18</v>
      </c>
      <c r="O18">
        <f t="shared" si="13"/>
        <v>13.18968172713382</v>
      </c>
      <c r="P18" s="7">
        <f t="shared" si="14"/>
        <v>395.69045181401458</v>
      </c>
      <c r="Q18" s="7">
        <f t="shared" si="15"/>
        <v>538.36113955031624</v>
      </c>
      <c r="R18" s="6">
        <f t="shared" si="16"/>
        <v>934.05159136433076</v>
      </c>
    </row>
    <row r="19" spans="8:18" x14ac:dyDescent="0.3">
      <c r="H19" s="3">
        <v>1000</v>
      </c>
      <c r="I19" s="3">
        <v>25</v>
      </c>
      <c r="J19" s="4">
        <v>4</v>
      </c>
      <c r="K19" s="4">
        <v>5</v>
      </c>
      <c r="L19" s="5">
        <v>9.9000000000000005E-2</v>
      </c>
      <c r="M19" s="5">
        <f t="shared" si="11"/>
        <v>2.4750000000000001E-2</v>
      </c>
      <c r="N19" s="4">
        <f t="shared" si="12"/>
        <v>20</v>
      </c>
      <c r="O19">
        <f t="shared" si="13"/>
        <v>15.626039927616638</v>
      </c>
      <c r="P19" s="7">
        <f t="shared" si="14"/>
        <v>390.65099819041598</v>
      </c>
      <c r="Q19" s="7">
        <f t="shared" si="15"/>
        <v>613.25551179148817</v>
      </c>
      <c r="R19" s="6">
        <f t="shared" si="16"/>
        <v>1003.9065099819042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topLeftCell="AO1" workbookViewId="0">
      <selection activeCell="AE2" sqref="AE2"/>
    </sheetView>
  </sheetViews>
  <sheetFormatPr defaultRowHeight="15.6" x14ac:dyDescent="0.3"/>
  <cols>
    <col min="1" max="1" width="11.296875" style="3" bestFit="1" customWidth="1"/>
    <col min="2" max="2" width="11.09765625" style="3" bestFit="1" customWidth="1"/>
    <col min="3" max="3" width="11.59765625" style="3" bestFit="1" customWidth="1"/>
    <col min="4" max="4" width="7.5" style="4" bestFit="1" customWidth="1"/>
    <col min="5" max="5" width="9.59765625" style="3" bestFit="1" customWidth="1"/>
    <col min="6" max="6" width="10" style="5" bestFit="1" customWidth="1"/>
    <col min="7" max="7" width="9.69921875" style="5" bestFit="1" customWidth="1"/>
    <col min="8" max="8" width="8.796875" style="5"/>
    <col min="10" max="12" width="8.796875" style="3"/>
    <col min="13" max="13" width="8.796875" style="10"/>
    <col min="14" max="16" width="8.796875" style="9"/>
    <col min="17" max="17" width="10.3984375" style="9" customWidth="1"/>
    <col min="19" max="19" width="9.59765625" bestFit="1" customWidth="1"/>
    <col min="21" max="21" width="11.69921875" style="3" customWidth="1"/>
    <col min="22" max="23" width="9" style="10" customWidth="1"/>
    <col min="24" max="24" width="8.796875" style="9"/>
    <col min="26" max="27" width="8.796875" style="3"/>
    <col min="28" max="28" width="11.69921875" style="10" customWidth="1"/>
    <col min="29" max="29" width="15.296875" style="10" customWidth="1"/>
    <col min="31" max="31" width="11.3984375" style="6" customWidth="1"/>
    <col min="32" max="33" width="8.796875" style="10"/>
    <col min="34" max="34" width="8.796875" style="11"/>
    <col min="36" max="36" width="9.8984375" style="11" customWidth="1"/>
    <col min="37" max="37" width="10" style="11" customWidth="1"/>
    <col min="38" max="38" width="9.5" style="6" customWidth="1"/>
    <col min="39" max="39" width="12.69921875" style="6" customWidth="1"/>
    <col min="40" max="40" width="8.796875" style="10"/>
    <col min="41" max="41" width="15.8984375" style="6" customWidth="1"/>
    <col min="43" max="43" width="10.5" style="3" customWidth="1"/>
    <col min="44" max="45" width="8.796875" style="10"/>
    <col min="46" max="46" width="9.296875" style="3" customWidth="1"/>
    <col min="47" max="47" width="9.8984375" style="11" customWidth="1"/>
    <col min="48" max="48" width="10" style="11" customWidth="1"/>
    <col min="49" max="49" width="9.59765625" style="6" bestFit="1" customWidth="1"/>
    <col min="53" max="54" width="8.796875" style="3"/>
    <col min="55" max="55" width="9.3984375" style="10" customWidth="1"/>
    <col min="57" max="57" width="9.796875" style="3" customWidth="1"/>
    <col min="58" max="58" width="9.59765625" style="3" customWidth="1"/>
    <col min="59" max="59" width="8.796875" style="3"/>
    <col min="60" max="60" width="8.796875" style="10"/>
    <col min="62" max="62" width="13.8984375" style="6" customWidth="1"/>
    <col min="63" max="63" width="12" style="6" customWidth="1"/>
    <col min="64" max="64" width="9.09765625" style="11" bestFit="1" customWidth="1"/>
    <col min="65" max="65" width="10.59765625" style="6" bestFit="1" customWidth="1"/>
  </cols>
  <sheetData>
    <row r="1" spans="1:65" x14ac:dyDescent="0.3">
      <c r="A1" s="3" t="s">
        <v>42</v>
      </c>
      <c r="B1" s="3" t="s">
        <v>43</v>
      </c>
      <c r="C1" s="3" t="s">
        <v>44</v>
      </c>
      <c r="D1" s="4" t="s">
        <v>45</v>
      </c>
      <c r="E1" s="3" t="s">
        <v>49</v>
      </c>
      <c r="F1" s="5" t="s">
        <v>47</v>
      </c>
      <c r="G1" s="5" t="s">
        <v>48</v>
      </c>
      <c r="H1" s="5" t="s">
        <v>46</v>
      </c>
      <c r="J1" s="3" t="s">
        <v>50</v>
      </c>
      <c r="K1" s="3" t="s">
        <v>51</v>
      </c>
      <c r="L1" s="3" t="s">
        <v>52</v>
      </c>
      <c r="M1" s="10" t="s">
        <v>53</v>
      </c>
      <c r="N1" s="9" t="s">
        <v>54</v>
      </c>
      <c r="O1" s="9" t="s">
        <v>55</v>
      </c>
      <c r="P1" s="9" t="s">
        <v>56</v>
      </c>
      <c r="Q1" s="9" t="s">
        <v>59</v>
      </c>
      <c r="R1" t="s">
        <v>58</v>
      </c>
      <c r="S1" t="s">
        <v>57</v>
      </c>
      <c r="U1" s="3" t="s">
        <v>60</v>
      </c>
      <c r="V1" s="10" t="s">
        <v>61</v>
      </c>
      <c r="W1" s="10" t="s">
        <v>62</v>
      </c>
      <c r="X1" s="9" t="s">
        <v>63</v>
      </c>
      <c r="Z1" s="3" t="s">
        <v>63</v>
      </c>
      <c r="AA1" s="3" t="s">
        <v>64</v>
      </c>
      <c r="AB1" s="10" t="s">
        <v>65</v>
      </c>
      <c r="AC1" s="10" t="s">
        <v>66</v>
      </c>
      <c r="AE1" s="6" t="s">
        <v>0</v>
      </c>
      <c r="AF1" s="10" t="s">
        <v>67</v>
      </c>
      <c r="AG1" s="10" t="s">
        <v>68</v>
      </c>
      <c r="AH1" s="11" t="s">
        <v>69</v>
      </c>
      <c r="AI1" t="s">
        <v>4</v>
      </c>
      <c r="AJ1" s="11" t="s">
        <v>70</v>
      </c>
      <c r="AK1" s="11" t="s">
        <v>37</v>
      </c>
      <c r="AL1" s="6" t="s">
        <v>63</v>
      </c>
      <c r="AM1" s="6" t="s">
        <v>71</v>
      </c>
      <c r="AN1" s="10" t="s">
        <v>72</v>
      </c>
      <c r="AO1" s="6" t="s">
        <v>73</v>
      </c>
      <c r="AQ1" s="3" t="s">
        <v>74</v>
      </c>
      <c r="AR1" s="10" t="s">
        <v>67</v>
      </c>
      <c r="AS1" s="10" t="s">
        <v>68</v>
      </c>
      <c r="AT1" s="3" t="s">
        <v>75</v>
      </c>
      <c r="AU1" s="11" t="s">
        <v>70</v>
      </c>
      <c r="AV1" s="11" t="s">
        <v>37</v>
      </c>
      <c r="AW1" s="6" t="s">
        <v>63</v>
      </c>
      <c r="AY1" t="s">
        <v>76</v>
      </c>
      <c r="BA1" s="3" t="s">
        <v>77</v>
      </c>
      <c r="BB1" s="3" t="s">
        <v>64</v>
      </c>
      <c r="BC1" s="10" t="s">
        <v>48</v>
      </c>
      <c r="BE1" s="3" t="s">
        <v>42</v>
      </c>
      <c r="BF1" s="3" t="s">
        <v>43</v>
      </c>
      <c r="BG1" s="3" t="s">
        <v>64</v>
      </c>
      <c r="BH1" s="10" t="s">
        <v>46</v>
      </c>
      <c r="BJ1" s="6" t="s">
        <v>78</v>
      </c>
      <c r="BK1" s="6" t="s">
        <v>79</v>
      </c>
      <c r="BL1" s="11" t="s">
        <v>80</v>
      </c>
      <c r="BM1" s="6" t="s">
        <v>81</v>
      </c>
    </row>
    <row r="2" spans="1:65" x14ac:dyDescent="0.3">
      <c r="A2" s="3">
        <v>84.4</v>
      </c>
      <c r="B2" s="3">
        <v>102.75</v>
      </c>
      <c r="C2" s="3">
        <v>2.2000000000000002</v>
      </c>
      <c r="D2" s="4">
        <v>1</v>
      </c>
      <c r="E2" s="3">
        <f>$C2*$D2</f>
        <v>2.2000000000000002</v>
      </c>
      <c r="F2" s="5">
        <f>($B2-$A2)/$A2</f>
        <v>0.21741706161137433</v>
      </c>
      <c r="G2" s="5">
        <f>$E2/$A2</f>
        <v>2.6066350710900476E-2</v>
      </c>
      <c r="H2" s="5">
        <f>$F2+$G2</f>
        <v>0.2434834123222748</v>
      </c>
      <c r="J2" s="3">
        <v>20</v>
      </c>
      <c r="K2" s="3">
        <v>40</v>
      </c>
      <c r="L2" s="3">
        <v>35</v>
      </c>
      <c r="M2" s="10">
        <v>0.09</v>
      </c>
      <c r="N2" s="9">
        <f>$J2/(1+$M2)</f>
        <v>18.348623853211009</v>
      </c>
      <c r="O2" s="9">
        <f>$K2/POWER(1+$M2,2)</f>
        <v>33.667199730662396</v>
      </c>
      <c r="P2" s="9">
        <f>$L2/POWER(1+$M2,3)</f>
        <v>27.026421802137246</v>
      </c>
      <c r="Q2" s="9">
        <f>SUM(N2:P2)</f>
        <v>79.042245386010649</v>
      </c>
      <c r="R2" s="9">
        <v>5</v>
      </c>
      <c r="S2" s="9">
        <f>$Q2*$R2</f>
        <v>395.21122693005327</v>
      </c>
      <c r="U2" s="3">
        <v>0.71</v>
      </c>
      <c r="V2" s="10">
        <v>0.12</v>
      </c>
      <c r="W2" s="10">
        <v>0.14699999999999999</v>
      </c>
      <c r="X2" s="9">
        <f>$U2/($W2-$V2)</f>
        <v>26.296296296296298</v>
      </c>
      <c r="Z2" s="3">
        <v>80</v>
      </c>
      <c r="AA2" s="3">
        <v>5</v>
      </c>
      <c r="AB2" s="10">
        <v>0.02</v>
      </c>
      <c r="AC2" s="10">
        <f>$AB2+$AA2/$Z2</f>
        <v>8.2500000000000004E-2</v>
      </c>
      <c r="AE2" s="6">
        <f>1.15*1.18</f>
        <v>1.3569999999999998</v>
      </c>
      <c r="AF2" s="10">
        <v>0.12</v>
      </c>
      <c r="AG2" s="10">
        <v>0.18</v>
      </c>
      <c r="AH2" s="11">
        <v>2</v>
      </c>
      <c r="AI2">
        <f>(POWER((1+$AG2)/(1+$AF2),$AH2)-1)/($AG2-$AF2)</f>
        <v>1.8335459183673408</v>
      </c>
      <c r="AJ2" s="11">
        <v>0</v>
      </c>
      <c r="AK2" s="11">
        <f>1/POWER(1+$AF2,$AJ2)</f>
        <v>1</v>
      </c>
      <c r="AL2" s="6">
        <f>$AI2*$AE2*AK2</f>
        <v>2.488121811224481</v>
      </c>
      <c r="AM2" s="6">
        <f>$AE2*POWER(1+$AG2, $AH2-1)</f>
        <v>1.6012599999999997</v>
      </c>
      <c r="AN2" s="10">
        <v>0.15</v>
      </c>
      <c r="AO2" s="6">
        <f>$AM2+$AM2*AN2</f>
        <v>1.8414489999999997</v>
      </c>
      <c r="AQ2" s="3">
        <v>1.9519359399999996</v>
      </c>
      <c r="AR2" s="10">
        <v>0.12</v>
      </c>
      <c r="AS2" s="10">
        <v>0.06</v>
      </c>
      <c r="AT2" s="3">
        <f>$AQ2/($AR2-$AS2)</f>
        <v>32.53226566666666</v>
      </c>
      <c r="AU2" s="11">
        <v>3</v>
      </c>
      <c r="AV2" s="11">
        <f>1/POWER(1+$AR2,$AU2)</f>
        <v>0.71178024781341087</v>
      </c>
      <c r="AW2" s="6">
        <f>$AT2*$AV2</f>
        <v>23.155824118151713</v>
      </c>
      <c r="AY2">
        <v>2.488121811224481</v>
      </c>
      <c r="BA2" s="3">
        <v>60</v>
      </c>
      <c r="BB2" s="3">
        <v>1.75</v>
      </c>
      <c r="BC2" s="10">
        <f>$BB2/$BA2</f>
        <v>2.9166666666666667E-2</v>
      </c>
      <c r="BE2" s="3">
        <v>60</v>
      </c>
      <c r="BF2" s="3">
        <v>69.77</v>
      </c>
      <c r="BG2" s="3">
        <v>1.75</v>
      </c>
      <c r="BH2" s="10">
        <f>($BF2-$BE2+$BG2)/$BE2</f>
        <v>0.19199999999999992</v>
      </c>
      <c r="BJ2" s="6">
        <v>3.9020000000000001</v>
      </c>
      <c r="BK2" s="6">
        <v>4.0994999999999999</v>
      </c>
      <c r="BL2" s="11">
        <v>5000</v>
      </c>
      <c r="BM2" s="6">
        <f>($BK2-$BJ2)*$BL2</f>
        <v>987.49999999999898</v>
      </c>
    </row>
    <row r="3" spans="1:65" x14ac:dyDescent="0.3">
      <c r="Z3" s="3">
        <v>54</v>
      </c>
      <c r="AA3" s="3">
        <f>3*1.04</f>
        <v>3.12</v>
      </c>
      <c r="AB3" s="10">
        <v>0.04</v>
      </c>
      <c r="AC3" s="10">
        <f>$AB3+$AA3/$Z3</f>
        <v>9.7777777777777783E-2</v>
      </c>
      <c r="AE3" s="6">
        <v>1.8414489999999997</v>
      </c>
      <c r="AF3" s="10">
        <v>0.12</v>
      </c>
      <c r="AG3" s="10">
        <v>0.15</v>
      </c>
      <c r="AH3" s="11">
        <v>1</v>
      </c>
      <c r="AI3">
        <f>(POWER((1+$AG3)/(1+$AF3),$AH3)-1)/($AG3-$AF3)</f>
        <v>0.89285714285713969</v>
      </c>
      <c r="AJ3" s="11">
        <v>2</v>
      </c>
      <c r="AK3" s="11">
        <f>1/POWER(1+$AF3,$AJ3)</f>
        <v>0.79719387755102034</v>
      </c>
      <c r="AL3" s="6">
        <f>$AI3*$AE3*AK3</f>
        <v>1.3107070255557529</v>
      </c>
      <c r="AM3" s="6">
        <f>$AE3*POWER(1+$AG3, $AH3-1)</f>
        <v>1.8414489999999997</v>
      </c>
      <c r="AN3" s="10">
        <v>0.06</v>
      </c>
      <c r="AO3" s="6">
        <f>$AM3+$AM3*AN3</f>
        <v>1.9519359399999996</v>
      </c>
      <c r="AY3">
        <v>1.3107070255557529</v>
      </c>
    </row>
    <row r="4" spans="1:65" x14ac:dyDescent="0.3">
      <c r="AY4">
        <v>23.155824118151713</v>
      </c>
    </row>
    <row r="5" spans="1:65" x14ac:dyDescent="0.3">
      <c r="AY5">
        <f>SUM(AY2:AY4)</f>
        <v>26.954652954931948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wk01</vt:lpstr>
      <vt:lpstr>wk02</vt:lpstr>
      <vt:lpstr>wk03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2016-09-29T07:00:41Z</dcterms:created>
  <dcterms:modified xsi:type="dcterms:W3CDTF">2016-10-15T03:21:27Z</dcterms:modified>
</cp:coreProperties>
</file>