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sers\marshallfarrier\Workspace\solutions\ClassesTaken\Coursera\2016\InvManagementRice\02PortfolioRisk\"/>
    </mc:Choice>
  </mc:AlternateContent>
  <bookViews>
    <workbookView xWindow="0" yWindow="0" windowWidth="14928" windowHeight="8076" tabRatio="702" firstSheet="1" activeTab="9"/>
  </bookViews>
  <sheets>
    <sheet name="wk01" sheetId="1" r:id="rId1"/>
    <sheet name="wk02" sheetId="2" r:id="rId2"/>
    <sheet name="cov" sheetId="3" r:id="rId3"/>
    <sheet name="covHw3_1" sheetId="4" r:id="rId4"/>
    <sheet name="covHw3_2" sheetId="5" r:id="rId5"/>
    <sheet name="covHw3data" sheetId="6" r:id="rId6"/>
    <sheet name="Hw3chart" sheetId="7" r:id="rId7"/>
    <sheet name="wk03" sheetId="8" r:id="rId8"/>
    <sheet name="wk04" sheetId="9" r:id="rId9"/>
    <sheet name="Felix" sheetId="10" r:id="rId10"/>
  </sheets>
  <definedNames>
    <definedName name="solver_eng" localSheetId="3" hidden="1">1</definedName>
    <definedName name="solver_eng" localSheetId="1" hidden="1">1</definedName>
    <definedName name="solver_neg" localSheetId="3" hidden="1">1</definedName>
    <definedName name="solver_neg" localSheetId="1" hidden="1">1</definedName>
    <definedName name="solver_num" localSheetId="3" hidden="1">0</definedName>
    <definedName name="solver_num" localSheetId="1" hidden="1">0</definedName>
    <definedName name="solver_opt" localSheetId="3" hidden="1">covHw3_1!$T$2</definedName>
    <definedName name="solver_opt" localSheetId="1" hidden="1">'wk02'!$AI$13</definedName>
    <definedName name="solver_typ" localSheetId="3" hidden="1">2</definedName>
    <definedName name="solver_typ" localSheetId="1" hidden="1">1</definedName>
    <definedName name="solver_val" localSheetId="3" hidden="1">0</definedName>
    <definedName name="solver_val" localSheetId="1" hidden="1">0</definedName>
    <definedName name="solver_ver" localSheetId="3" hidden="1">3</definedName>
    <definedName name="solver_ver" localSheetId="1" hidden="1">3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3" i="10" l="1"/>
  <c r="AL3" i="10"/>
  <c r="AE3" i="10"/>
  <c r="AD3" i="10"/>
  <c r="AB3" i="10" a="1"/>
  <c r="AB3" i="10"/>
  <c r="AB4" i="10"/>
  <c r="Y3" i="10" a="1"/>
  <c r="Y3" i="10"/>
  <c r="Z3" i="10"/>
  <c r="V4" i="10"/>
  <c r="W3" i="10"/>
  <c r="S3" i="10"/>
  <c r="R3" i="10"/>
  <c r="P2" i="10"/>
  <c r="W4" i="10"/>
  <c r="V3" i="10"/>
  <c r="K2" i="10"/>
  <c r="K3" i="10"/>
  <c r="C2" i="10"/>
  <c r="D2" i="10"/>
  <c r="E2" i="10"/>
  <c r="M2" i="10"/>
  <c r="F2" i="10"/>
  <c r="AA2" i="9"/>
  <c r="Z2" i="9"/>
  <c r="J4" i="9"/>
  <c r="K4" i="9"/>
  <c r="J3" i="9"/>
  <c r="K3" i="9"/>
  <c r="T3" i="9"/>
  <c r="D3" i="9"/>
  <c r="T2" i="9"/>
  <c r="P2" i="9"/>
  <c r="K2" i="9"/>
  <c r="J2" i="9"/>
  <c r="D2" i="9"/>
  <c r="D16" i="8"/>
  <c r="E16" i="8"/>
  <c r="D15" i="8"/>
  <c r="E15" i="8"/>
  <c r="D14" i="8"/>
  <c r="E14" i="8"/>
  <c r="N5" i="8"/>
  <c r="N6" i="8"/>
  <c r="M6" i="8"/>
  <c r="K6" i="8"/>
  <c r="J6" i="8"/>
  <c r="M5" i="8"/>
  <c r="L5" i="8"/>
  <c r="L6" i="8"/>
  <c r="K5" i="8"/>
  <c r="D11" i="8"/>
  <c r="E11" i="8"/>
  <c r="D10" i="8"/>
  <c r="E10" i="8"/>
  <c r="D5" i="8"/>
  <c r="E5" i="8"/>
  <c r="D6" i="8"/>
  <c r="E6" i="8"/>
  <c r="D7" i="8"/>
  <c r="E7" i="8"/>
  <c r="AK18" i="2"/>
  <c r="AK19" i="2"/>
  <c r="AK20" i="2"/>
  <c r="AI18" i="2"/>
  <c r="AI19" i="2"/>
  <c r="AI20" i="2"/>
  <c r="AG18" i="2"/>
  <c r="AG19" i="2"/>
  <c r="AG20" i="2"/>
  <c r="AF18" i="2"/>
  <c r="AF19" i="2"/>
  <c r="AF20" i="2"/>
  <c r="AN18" i="2"/>
  <c r="AN19" i="2"/>
  <c r="AN20" i="2"/>
  <c r="AM18" i="2"/>
  <c r="AM19" i="2"/>
  <c r="AM20" i="2"/>
  <c r="AL18" i="2"/>
  <c r="AL19" i="2"/>
  <c r="AL20" i="2"/>
  <c r="AD18" i="2"/>
  <c r="AD19" i="2"/>
  <c r="AD20" i="2"/>
  <c r="AE18" i="2"/>
  <c r="AE19" i="2"/>
  <c r="AE20" i="2"/>
  <c r="AC18" i="2"/>
  <c r="AC19" i="2"/>
  <c r="AC20" i="2"/>
  <c r="AN21" i="2"/>
  <c r="AE21" i="2"/>
  <c r="AE22" i="2"/>
  <c r="AD21" i="2"/>
  <c r="AD22" i="2"/>
  <c r="AN22" i="2"/>
  <c r="AM21" i="2"/>
  <c r="AC21" i="2"/>
  <c r="AC22" i="2"/>
  <c r="AM22" i="2"/>
  <c r="AL21" i="2"/>
  <c r="AL22" i="2"/>
  <c r="AK21" i="2"/>
  <c r="AK22" i="2"/>
  <c r="AJ18" i="2"/>
  <c r="AJ19" i="2"/>
  <c r="AJ20" i="2"/>
  <c r="AJ21" i="2"/>
  <c r="AB18" i="2"/>
  <c r="AB19" i="2"/>
  <c r="AB20" i="2"/>
  <c r="AB21" i="2"/>
  <c r="AA18" i="2"/>
  <c r="AA19" i="2"/>
  <c r="AA20" i="2"/>
  <c r="AA21" i="2"/>
  <c r="Z18" i="2"/>
  <c r="Z19" i="2"/>
  <c r="Z20" i="2"/>
  <c r="Z21" i="2"/>
  <c r="V21" i="2"/>
  <c r="AH20" i="2"/>
  <c r="AH19" i="2"/>
  <c r="AH18" i="2"/>
  <c r="BW5" i="2"/>
  <c r="BW2" i="2"/>
  <c r="BW3" i="2"/>
  <c r="BW4" i="2"/>
  <c r="BV2" i="2"/>
  <c r="BV3" i="2"/>
  <c r="BV4" i="2"/>
  <c r="BU5" i="2"/>
  <c r="H21" i="3"/>
  <c r="F21" i="3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H2" i="5" a="1"/>
  <c r="H102" i="5"/>
  <c r="K102" i="5"/>
  <c r="I102" i="5"/>
  <c r="L102" i="5"/>
  <c r="N102" i="5"/>
  <c r="R102" i="5"/>
  <c r="Q102" i="5"/>
  <c r="H101" i="5"/>
  <c r="K101" i="5"/>
  <c r="I101" i="5"/>
  <c r="L101" i="5"/>
  <c r="N101" i="5"/>
  <c r="R101" i="5"/>
  <c r="Q101" i="5"/>
  <c r="H100" i="5"/>
  <c r="K100" i="5"/>
  <c r="I100" i="5"/>
  <c r="L100" i="5"/>
  <c r="N100" i="5"/>
  <c r="R100" i="5"/>
  <c r="Q100" i="5"/>
  <c r="H99" i="5"/>
  <c r="K99" i="5"/>
  <c r="I99" i="5"/>
  <c r="L99" i="5"/>
  <c r="N99" i="5"/>
  <c r="R99" i="5"/>
  <c r="Q99" i="5"/>
  <c r="H98" i="5"/>
  <c r="K98" i="5"/>
  <c r="I98" i="5"/>
  <c r="L98" i="5"/>
  <c r="N98" i="5"/>
  <c r="R98" i="5"/>
  <c r="Q98" i="5"/>
  <c r="H97" i="5"/>
  <c r="K97" i="5"/>
  <c r="I97" i="5"/>
  <c r="L97" i="5"/>
  <c r="N97" i="5"/>
  <c r="R97" i="5"/>
  <c r="Q97" i="5"/>
  <c r="H96" i="5"/>
  <c r="K96" i="5"/>
  <c r="I96" i="5"/>
  <c r="L96" i="5"/>
  <c r="N96" i="5"/>
  <c r="R96" i="5"/>
  <c r="Q96" i="5"/>
  <c r="H95" i="5"/>
  <c r="K95" i="5"/>
  <c r="I95" i="5"/>
  <c r="L95" i="5"/>
  <c r="N95" i="5"/>
  <c r="R95" i="5"/>
  <c r="Q95" i="5"/>
  <c r="H94" i="5"/>
  <c r="K94" i="5"/>
  <c r="I94" i="5"/>
  <c r="L94" i="5"/>
  <c r="N94" i="5"/>
  <c r="R94" i="5"/>
  <c r="Q94" i="5"/>
  <c r="H93" i="5"/>
  <c r="K93" i="5"/>
  <c r="I93" i="5"/>
  <c r="L93" i="5"/>
  <c r="N93" i="5"/>
  <c r="R93" i="5"/>
  <c r="Q93" i="5"/>
  <c r="H92" i="5"/>
  <c r="K92" i="5"/>
  <c r="I92" i="5"/>
  <c r="L92" i="5"/>
  <c r="N92" i="5"/>
  <c r="R92" i="5"/>
  <c r="Q92" i="5"/>
  <c r="H91" i="5"/>
  <c r="K91" i="5"/>
  <c r="I91" i="5"/>
  <c r="L91" i="5"/>
  <c r="N91" i="5"/>
  <c r="R91" i="5"/>
  <c r="Q91" i="5"/>
  <c r="H90" i="5"/>
  <c r="K90" i="5"/>
  <c r="I90" i="5"/>
  <c r="L90" i="5"/>
  <c r="N90" i="5"/>
  <c r="R90" i="5"/>
  <c r="Q90" i="5"/>
  <c r="H89" i="5"/>
  <c r="K89" i="5"/>
  <c r="I89" i="5"/>
  <c r="L89" i="5"/>
  <c r="N89" i="5"/>
  <c r="R89" i="5"/>
  <c r="Q89" i="5"/>
  <c r="H88" i="5"/>
  <c r="K88" i="5"/>
  <c r="I88" i="5"/>
  <c r="L88" i="5"/>
  <c r="N88" i="5"/>
  <c r="R88" i="5"/>
  <c r="Q88" i="5"/>
  <c r="H87" i="5"/>
  <c r="K87" i="5"/>
  <c r="I87" i="5"/>
  <c r="L87" i="5"/>
  <c r="N87" i="5"/>
  <c r="R87" i="5"/>
  <c r="Q87" i="5"/>
  <c r="H86" i="5"/>
  <c r="K86" i="5"/>
  <c r="I86" i="5"/>
  <c r="L86" i="5"/>
  <c r="N86" i="5"/>
  <c r="R86" i="5"/>
  <c r="Q86" i="5"/>
  <c r="H85" i="5"/>
  <c r="K85" i="5"/>
  <c r="I85" i="5"/>
  <c r="L85" i="5"/>
  <c r="N85" i="5"/>
  <c r="R85" i="5"/>
  <c r="Q85" i="5"/>
  <c r="H84" i="5"/>
  <c r="K84" i="5"/>
  <c r="I84" i="5"/>
  <c r="L84" i="5"/>
  <c r="N84" i="5"/>
  <c r="R84" i="5"/>
  <c r="Q84" i="5"/>
  <c r="H83" i="5"/>
  <c r="K83" i="5"/>
  <c r="I83" i="5"/>
  <c r="L83" i="5"/>
  <c r="N83" i="5"/>
  <c r="R83" i="5"/>
  <c r="Q83" i="5"/>
  <c r="H82" i="5"/>
  <c r="K82" i="5"/>
  <c r="I82" i="5"/>
  <c r="L82" i="5"/>
  <c r="N82" i="5"/>
  <c r="R82" i="5"/>
  <c r="Q82" i="5"/>
  <c r="H81" i="5"/>
  <c r="K81" i="5"/>
  <c r="I81" i="5"/>
  <c r="L81" i="5"/>
  <c r="N81" i="5"/>
  <c r="R81" i="5"/>
  <c r="Q81" i="5"/>
  <c r="H80" i="5"/>
  <c r="K80" i="5"/>
  <c r="I80" i="5"/>
  <c r="L80" i="5"/>
  <c r="N80" i="5"/>
  <c r="R80" i="5"/>
  <c r="Q80" i="5"/>
  <c r="H79" i="5"/>
  <c r="K79" i="5"/>
  <c r="I79" i="5"/>
  <c r="L79" i="5"/>
  <c r="N79" i="5"/>
  <c r="R79" i="5"/>
  <c r="Q79" i="5"/>
  <c r="H78" i="5"/>
  <c r="K78" i="5"/>
  <c r="I78" i="5"/>
  <c r="L78" i="5"/>
  <c r="N78" i="5"/>
  <c r="R78" i="5"/>
  <c r="Q78" i="5"/>
  <c r="H77" i="5"/>
  <c r="K77" i="5"/>
  <c r="I77" i="5"/>
  <c r="L77" i="5"/>
  <c r="N77" i="5"/>
  <c r="R77" i="5"/>
  <c r="Q77" i="5"/>
  <c r="H76" i="5"/>
  <c r="K76" i="5"/>
  <c r="I76" i="5"/>
  <c r="L76" i="5"/>
  <c r="N76" i="5"/>
  <c r="R76" i="5"/>
  <c r="Q76" i="5"/>
  <c r="H75" i="5"/>
  <c r="K75" i="5"/>
  <c r="I75" i="5"/>
  <c r="L75" i="5"/>
  <c r="N75" i="5"/>
  <c r="R75" i="5"/>
  <c r="Q75" i="5"/>
  <c r="H74" i="5"/>
  <c r="K74" i="5"/>
  <c r="I74" i="5"/>
  <c r="L74" i="5"/>
  <c r="N74" i="5"/>
  <c r="R74" i="5"/>
  <c r="Q74" i="5"/>
  <c r="H73" i="5"/>
  <c r="K73" i="5"/>
  <c r="I73" i="5"/>
  <c r="L73" i="5"/>
  <c r="N73" i="5"/>
  <c r="R73" i="5"/>
  <c r="Q73" i="5"/>
  <c r="H72" i="5"/>
  <c r="K72" i="5"/>
  <c r="I72" i="5"/>
  <c r="L72" i="5"/>
  <c r="N72" i="5"/>
  <c r="R72" i="5"/>
  <c r="Q72" i="5"/>
  <c r="H71" i="5"/>
  <c r="K71" i="5"/>
  <c r="I71" i="5"/>
  <c r="L71" i="5"/>
  <c r="N71" i="5"/>
  <c r="R71" i="5"/>
  <c r="Q71" i="5"/>
  <c r="H70" i="5"/>
  <c r="K70" i="5"/>
  <c r="I70" i="5"/>
  <c r="L70" i="5"/>
  <c r="N70" i="5"/>
  <c r="R70" i="5"/>
  <c r="Q70" i="5"/>
  <c r="H69" i="5"/>
  <c r="K69" i="5"/>
  <c r="I69" i="5"/>
  <c r="L69" i="5"/>
  <c r="N69" i="5"/>
  <c r="R69" i="5"/>
  <c r="Q69" i="5"/>
  <c r="H68" i="5"/>
  <c r="K68" i="5"/>
  <c r="I68" i="5"/>
  <c r="L68" i="5"/>
  <c r="N68" i="5"/>
  <c r="R68" i="5"/>
  <c r="Q68" i="5"/>
  <c r="H67" i="5"/>
  <c r="K67" i="5"/>
  <c r="I67" i="5"/>
  <c r="L67" i="5"/>
  <c r="N67" i="5"/>
  <c r="R67" i="5"/>
  <c r="Q67" i="5"/>
  <c r="H66" i="5"/>
  <c r="K66" i="5"/>
  <c r="I66" i="5"/>
  <c r="L66" i="5"/>
  <c r="N66" i="5"/>
  <c r="R66" i="5"/>
  <c r="Q66" i="5"/>
  <c r="H65" i="5"/>
  <c r="K65" i="5"/>
  <c r="I65" i="5"/>
  <c r="L65" i="5"/>
  <c r="N65" i="5"/>
  <c r="R65" i="5"/>
  <c r="Q65" i="5"/>
  <c r="H64" i="5"/>
  <c r="K64" i="5"/>
  <c r="I64" i="5"/>
  <c r="L64" i="5"/>
  <c r="N64" i="5"/>
  <c r="R64" i="5"/>
  <c r="Q64" i="5"/>
  <c r="H63" i="5"/>
  <c r="K63" i="5"/>
  <c r="I63" i="5"/>
  <c r="L63" i="5"/>
  <c r="N63" i="5"/>
  <c r="R63" i="5"/>
  <c r="Q63" i="5"/>
  <c r="H62" i="5"/>
  <c r="K62" i="5"/>
  <c r="I62" i="5"/>
  <c r="L62" i="5"/>
  <c r="N62" i="5"/>
  <c r="R62" i="5"/>
  <c r="Q62" i="5"/>
  <c r="H61" i="5"/>
  <c r="K61" i="5"/>
  <c r="I61" i="5"/>
  <c r="L61" i="5"/>
  <c r="N61" i="5"/>
  <c r="R61" i="5"/>
  <c r="Q61" i="5"/>
  <c r="H60" i="5"/>
  <c r="K60" i="5"/>
  <c r="I60" i="5"/>
  <c r="L60" i="5"/>
  <c r="N60" i="5"/>
  <c r="R60" i="5"/>
  <c r="Q60" i="5"/>
  <c r="H59" i="5"/>
  <c r="K59" i="5"/>
  <c r="I59" i="5"/>
  <c r="L59" i="5"/>
  <c r="N59" i="5"/>
  <c r="R59" i="5"/>
  <c r="Q59" i="5"/>
  <c r="H58" i="5"/>
  <c r="K58" i="5"/>
  <c r="I58" i="5"/>
  <c r="L58" i="5"/>
  <c r="N58" i="5"/>
  <c r="R58" i="5"/>
  <c r="Q58" i="5"/>
  <c r="H57" i="5"/>
  <c r="K57" i="5"/>
  <c r="I57" i="5"/>
  <c r="L57" i="5"/>
  <c r="N57" i="5"/>
  <c r="R57" i="5"/>
  <c r="Q57" i="5"/>
  <c r="H56" i="5"/>
  <c r="K56" i="5"/>
  <c r="I56" i="5"/>
  <c r="L56" i="5"/>
  <c r="N56" i="5"/>
  <c r="R56" i="5"/>
  <c r="Q56" i="5"/>
  <c r="H55" i="5"/>
  <c r="K55" i="5"/>
  <c r="I55" i="5"/>
  <c r="L55" i="5"/>
  <c r="N55" i="5"/>
  <c r="R55" i="5"/>
  <c r="Q55" i="5"/>
  <c r="H54" i="5"/>
  <c r="K54" i="5"/>
  <c r="I54" i="5"/>
  <c r="L54" i="5"/>
  <c r="N54" i="5"/>
  <c r="R54" i="5"/>
  <c r="Q54" i="5"/>
  <c r="H53" i="5"/>
  <c r="K53" i="5"/>
  <c r="I53" i="5"/>
  <c r="L53" i="5"/>
  <c r="N53" i="5"/>
  <c r="R53" i="5"/>
  <c r="Q53" i="5"/>
  <c r="H52" i="5"/>
  <c r="K52" i="5"/>
  <c r="I52" i="5"/>
  <c r="L52" i="5"/>
  <c r="N52" i="5"/>
  <c r="R52" i="5"/>
  <c r="Q52" i="5"/>
  <c r="H51" i="5"/>
  <c r="K51" i="5"/>
  <c r="I51" i="5"/>
  <c r="L51" i="5"/>
  <c r="N51" i="5"/>
  <c r="R51" i="5"/>
  <c r="Q51" i="5"/>
  <c r="H50" i="5"/>
  <c r="K50" i="5"/>
  <c r="I50" i="5"/>
  <c r="L50" i="5"/>
  <c r="N50" i="5"/>
  <c r="R50" i="5"/>
  <c r="Q50" i="5"/>
  <c r="H49" i="5"/>
  <c r="K49" i="5"/>
  <c r="I49" i="5"/>
  <c r="L49" i="5"/>
  <c r="N49" i="5"/>
  <c r="R49" i="5"/>
  <c r="Q49" i="5"/>
  <c r="H48" i="5"/>
  <c r="K48" i="5"/>
  <c r="I48" i="5"/>
  <c r="L48" i="5"/>
  <c r="N48" i="5"/>
  <c r="R48" i="5"/>
  <c r="Q48" i="5"/>
  <c r="H47" i="5"/>
  <c r="K47" i="5"/>
  <c r="I47" i="5"/>
  <c r="L47" i="5"/>
  <c r="N47" i="5"/>
  <c r="R47" i="5"/>
  <c r="Q47" i="5"/>
  <c r="H46" i="5"/>
  <c r="K46" i="5"/>
  <c r="I46" i="5"/>
  <c r="L46" i="5"/>
  <c r="N46" i="5"/>
  <c r="R46" i="5"/>
  <c r="Q46" i="5"/>
  <c r="H45" i="5"/>
  <c r="K45" i="5"/>
  <c r="I45" i="5"/>
  <c r="L45" i="5"/>
  <c r="N45" i="5"/>
  <c r="R45" i="5"/>
  <c r="Q45" i="5"/>
  <c r="H44" i="5"/>
  <c r="K44" i="5"/>
  <c r="I44" i="5"/>
  <c r="L44" i="5"/>
  <c r="N44" i="5"/>
  <c r="R44" i="5"/>
  <c r="Q44" i="5"/>
  <c r="H43" i="5"/>
  <c r="K43" i="5"/>
  <c r="I43" i="5"/>
  <c r="L43" i="5"/>
  <c r="N43" i="5"/>
  <c r="R43" i="5"/>
  <c r="Q43" i="5"/>
  <c r="H42" i="5"/>
  <c r="K42" i="5"/>
  <c r="I42" i="5"/>
  <c r="L42" i="5"/>
  <c r="N42" i="5"/>
  <c r="R42" i="5"/>
  <c r="Q42" i="5"/>
  <c r="H41" i="5"/>
  <c r="K41" i="5"/>
  <c r="I41" i="5"/>
  <c r="L41" i="5"/>
  <c r="N41" i="5"/>
  <c r="R41" i="5"/>
  <c r="Q41" i="5"/>
  <c r="H40" i="5"/>
  <c r="K40" i="5"/>
  <c r="I40" i="5"/>
  <c r="L40" i="5"/>
  <c r="N40" i="5"/>
  <c r="R40" i="5"/>
  <c r="Q40" i="5"/>
  <c r="H39" i="5"/>
  <c r="K39" i="5"/>
  <c r="I39" i="5"/>
  <c r="L39" i="5"/>
  <c r="N39" i="5"/>
  <c r="R39" i="5"/>
  <c r="Q39" i="5"/>
  <c r="H38" i="5"/>
  <c r="K38" i="5"/>
  <c r="I38" i="5"/>
  <c r="L38" i="5"/>
  <c r="N38" i="5"/>
  <c r="R38" i="5"/>
  <c r="Q38" i="5"/>
  <c r="H37" i="5"/>
  <c r="K37" i="5"/>
  <c r="I37" i="5"/>
  <c r="L37" i="5"/>
  <c r="N37" i="5"/>
  <c r="R37" i="5"/>
  <c r="Q37" i="5"/>
  <c r="H36" i="5"/>
  <c r="K36" i="5"/>
  <c r="I36" i="5"/>
  <c r="L36" i="5"/>
  <c r="N36" i="5"/>
  <c r="R36" i="5"/>
  <c r="Q36" i="5"/>
  <c r="H35" i="5"/>
  <c r="K35" i="5"/>
  <c r="I35" i="5"/>
  <c r="L35" i="5"/>
  <c r="N35" i="5"/>
  <c r="R35" i="5"/>
  <c r="Q35" i="5"/>
  <c r="H34" i="5"/>
  <c r="K34" i="5"/>
  <c r="I34" i="5"/>
  <c r="L34" i="5"/>
  <c r="N34" i="5"/>
  <c r="R34" i="5"/>
  <c r="Q34" i="5"/>
  <c r="H33" i="5"/>
  <c r="K33" i="5"/>
  <c r="I33" i="5"/>
  <c r="L33" i="5"/>
  <c r="N33" i="5"/>
  <c r="R33" i="5"/>
  <c r="Q33" i="5"/>
  <c r="H32" i="5"/>
  <c r="K32" i="5"/>
  <c r="I32" i="5"/>
  <c r="L32" i="5"/>
  <c r="N32" i="5"/>
  <c r="R32" i="5"/>
  <c r="Q32" i="5"/>
  <c r="H31" i="5"/>
  <c r="K31" i="5"/>
  <c r="I31" i="5"/>
  <c r="L31" i="5"/>
  <c r="N31" i="5"/>
  <c r="R31" i="5"/>
  <c r="Q31" i="5"/>
  <c r="H30" i="5"/>
  <c r="K30" i="5"/>
  <c r="I30" i="5"/>
  <c r="L30" i="5"/>
  <c r="N30" i="5"/>
  <c r="R30" i="5"/>
  <c r="Q30" i="5"/>
  <c r="H29" i="5"/>
  <c r="K29" i="5"/>
  <c r="I29" i="5"/>
  <c r="L29" i="5"/>
  <c r="N29" i="5"/>
  <c r="R29" i="5"/>
  <c r="Q29" i="5"/>
  <c r="H28" i="5"/>
  <c r="K28" i="5"/>
  <c r="I28" i="5"/>
  <c r="L28" i="5"/>
  <c r="N28" i="5"/>
  <c r="R28" i="5"/>
  <c r="Q28" i="5"/>
  <c r="H27" i="5"/>
  <c r="K27" i="5"/>
  <c r="I27" i="5"/>
  <c r="L27" i="5"/>
  <c r="N27" i="5"/>
  <c r="R27" i="5"/>
  <c r="Q27" i="5"/>
  <c r="H26" i="5"/>
  <c r="K26" i="5"/>
  <c r="I26" i="5"/>
  <c r="L26" i="5"/>
  <c r="N26" i="5"/>
  <c r="R26" i="5"/>
  <c r="Q26" i="5"/>
  <c r="H25" i="5"/>
  <c r="K25" i="5"/>
  <c r="I25" i="5"/>
  <c r="L25" i="5"/>
  <c r="N25" i="5"/>
  <c r="R25" i="5"/>
  <c r="Q25" i="5"/>
  <c r="H24" i="5"/>
  <c r="K24" i="5"/>
  <c r="I24" i="5"/>
  <c r="L24" i="5"/>
  <c r="N24" i="5"/>
  <c r="R24" i="5"/>
  <c r="Q24" i="5"/>
  <c r="H23" i="5"/>
  <c r="K23" i="5"/>
  <c r="I23" i="5"/>
  <c r="L23" i="5"/>
  <c r="N23" i="5"/>
  <c r="R23" i="5"/>
  <c r="Q23" i="5"/>
  <c r="H22" i="5"/>
  <c r="K22" i="5"/>
  <c r="I22" i="5"/>
  <c r="L22" i="5"/>
  <c r="N22" i="5"/>
  <c r="R22" i="5"/>
  <c r="Q22" i="5"/>
  <c r="H21" i="5"/>
  <c r="K21" i="5"/>
  <c r="I21" i="5"/>
  <c r="L21" i="5"/>
  <c r="N21" i="5"/>
  <c r="R21" i="5"/>
  <c r="Q21" i="5"/>
  <c r="H20" i="5"/>
  <c r="K20" i="5"/>
  <c r="I20" i="5"/>
  <c r="L20" i="5"/>
  <c r="N20" i="5"/>
  <c r="R20" i="5"/>
  <c r="Q20" i="5"/>
  <c r="H19" i="5"/>
  <c r="K19" i="5"/>
  <c r="I19" i="5"/>
  <c r="L19" i="5"/>
  <c r="N19" i="5"/>
  <c r="R19" i="5"/>
  <c r="Q19" i="5"/>
  <c r="H18" i="5"/>
  <c r="K18" i="5"/>
  <c r="I18" i="5"/>
  <c r="L18" i="5"/>
  <c r="N18" i="5"/>
  <c r="R18" i="5"/>
  <c r="Q18" i="5"/>
  <c r="H17" i="5"/>
  <c r="K17" i="5"/>
  <c r="I17" i="5"/>
  <c r="L17" i="5"/>
  <c r="N17" i="5"/>
  <c r="R17" i="5"/>
  <c r="Q17" i="5"/>
  <c r="H16" i="5"/>
  <c r="K16" i="5"/>
  <c r="I16" i="5"/>
  <c r="L16" i="5"/>
  <c r="N16" i="5"/>
  <c r="R16" i="5"/>
  <c r="Q16" i="5"/>
  <c r="H15" i="5"/>
  <c r="K15" i="5"/>
  <c r="I15" i="5"/>
  <c r="L15" i="5"/>
  <c r="N15" i="5"/>
  <c r="R15" i="5"/>
  <c r="Q15" i="5"/>
  <c r="H14" i="5"/>
  <c r="K14" i="5"/>
  <c r="I14" i="5"/>
  <c r="L14" i="5"/>
  <c r="N14" i="5"/>
  <c r="R14" i="5"/>
  <c r="Q14" i="5"/>
  <c r="H13" i="5"/>
  <c r="K13" i="5"/>
  <c r="I13" i="5"/>
  <c r="L13" i="5"/>
  <c r="N13" i="5"/>
  <c r="R13" i="5"/>
  <c r="Q13" i="5"/>
  <c r="H12" i="5"/>
  <c r="K12" i="5"/>
  <c r="I12" i="5"/>
  <c r="L12" i="5"/>
  <c r="N12" i="5"/>
  <c r="R12" i="5"/>
  <c r="Q12" i="5"/>
  <c r="H11" i="5"/>
  <c r="K11" i="5"/>
  <c r="I11" i="5"/>
  <c r="L11" i="5"/>
  <c r="N11" i="5"/>
  <c r="R11" i="5"/>
  <c r="Q11" i="5"/>
  <c r="H10" i="5"/>
  <c r="K10" i="5"/>
  <c r="I10" i="5"/>
  <c r="L10" i="5"/>
  <c r="N10" i="5"/>
  <c r="R10" i="5"/>
  <c r="Q10" i="5"/>
  <c r="H9" i="5"/>
  <c r="K9" i="5"/>
  <c r="I9" i="5"/>
  <c r="L9" i="5"/>
  <c r="N9" i="5"/>
  <c r="R9" i="5"/>
  <c r="Q9" i="5"/>
  <c r="H8" i="5"/>
  <c r="K8" i="5"/>
  <c r="I8" i="5"/>
  <c r="L8" i="5"/>
  <c r="N8" i="5"/>
  <c r="R8" i="5"/>
  <c r="Q8" i="5"/>
  <c r="H7" i="5"/>
  <c r="K7" i="5"/>
  <c r="I7" i="5"/>
  <c r="L7" i="5"/>
  <c r="N7" i="5"/>
  <c r="R7" i="5"/>
  <c r="Q7" i="5"/>
  <c r="H6" i="5"/>
  <c r="K6" i="5"/>
  <c r="I6" i="5"/>
  <c r="L6" i="5"/>
  <c r="N6" i="5"/>
  <c r="R6" i="5"/>
  <c r="Q6" i="5"/>
  <c r="H5" i="5"/>
  <c r="K5" i="5"/>
  <c r="I5" i="5"/>
  <c r="L5" i="5"/>
  <c r="N5" i="5"/>
  <c r="R5" i="5"/>
  <c r="Q5" i="5"/>
  <c r="H4" i="5"/>
  <c r="K4" i="5"/>
  <c r="I4" i="5"/>
  <c r="L4" i="5"/>
  <c r="N4" i="5"/>
  <c r="R4" i="5"/>
  <c r="Q4" i="5"/>
  <c r="H3" i="5"/>
  <c r="K3" i="5"/>
  <c r="I3" i="5"/>
  <c r="L3" i="5"/>
  <c r="N3" i="5"/>
  <c r="R3" i="5"/>
  <c r="Q3" i="5"/>
  <c r="H2" i="5"/>
  <c r="K2" i="5"/>
  <c r="I2" i="5"/>
  <c r="L2" i="5"/>
  <c r="N2" i="5"/>
  <c r="R2" i="5"/>
  <c r="Q2" i="5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2" i="4"/>
  <c r="K3" i="4"/>
  <c r="L3" i="4"/>
  <c r="K4" i="4"/>
  <c r="L4" i="4"/>
  <c r="K5" i="4"/>
  <c r="L5" i="4"/>
  <c r="K6" i="4"/>
  <c r="L6" i="4"/>
  <c r="K7" i="4"/>
  <c r="L7" i="4"/>
  <c r="K8" i="4"/>
  <c r="L8" i="4"/>
  <c r="K9" i="4"/>
  <c r="L9" i="4"/>
  <c r="K10" i="4"/>
  <c r="L10" i="4"/>
  <c r="K11" i="4"/>
  <c r="L11" i="4"/>
  <c r="K12" i="4"/>
  <c r="L12" i="4"/>
  <c r="K13" i="4"/>
  <c r="L13" i="4"/>
  <c r="K14" i="4"/>
  <c r="L14" i="4"/>
  <c r="K15" i="4"/>
  <c r="L15" i="4"/>
  <c r="K16" i="4"/>
  <c r="L16" i="4"/>
  <c r="K17" i="4"/>
  <c r="L17" i="4"/>
  <c r="K18" i="4"/>
  <c r="L18" i="4"/>
  <c r="K19" i="4"/>
  <c r="L19" i="4"/>
  <c r="K20" i="4"/>
  <c r="L20" i="4"/>
  <c r="K21" i="4"/>
  <c r="L21" i="4"/>
  <c r="K22" i="4"/>
  <c r="L22" i="4"/>
  <c r="K23" i="4"/>
  <c r="L23" i="4"/>
  <c r="K24" i="4"/>
  <c r="L24" i="4"/>
  <c r="K25" i="4"/>
  <c r="L25" i="4"/>
  <c r="K26" i="4"/>
  <c r="L26" i="4"/>
  <c r="K27" i="4"/>
  <c r="L27" i="4"/>
  <c r="K28" i="4"/>
  <c r="L28" i="4"/>
  <c r="K29" i="4"/>
  <c r="L29" i="4"/>
  <c r="K30" i="4"/>
  <c r="L30" i="4"/>
  <c r="K31" i="4"/>
  <c r="L31" i="4"/>
  <c r="K32" i="4"/>
  <c r="L32" i="4"/>
  <c r="K33" i="4"/>
  <c r="L33" i="4"/>
  <c r="K34" i="4"/>
  <c r="L34" i="4"/>
  <c r="K35" i="4"/>
  <c r="L35" i="4"/>
  <c r="K36" i="4"/>
  <c r="L36" i="4"/>
  <c r="K37" i="4"/>
  <c r="L37" i="4"/>
  <c r="K38" i="4"/>
  <c r="L38" i="4"/>
  <c r="K39" i="4"/>
  <c r="L39" i="4"/>
  <c r="K40" i="4"/>
  <c r="L40" i="4"/>
  <c r="K41" i="4"/>
  <c r="L41" i="4"/>
  <c r="K42" i="4"/>
  <c r="L42" i="4"/>
  <c r="K43" i="4"/>
  <c r="L43" i="4"/>
  <c r="K44" i="4"/>
  <c r="L44" i="4"/>
  <c r="K45" i="4"/>
  <c r="L45" i="4"/>
  <c r="K46" i="4"/>
  <c r="L46" i="4"/>
  <c r="K47" i="4"/>
  <c r="L47" i="4"/>
  <c r="K48" i="4"/>
  <c r="L48" i="4"/>
  <c r="K49" i="4"/>
  <c r="L49" i="4"/>
  <c r="K50" i="4"/>
  <c r="L50" i="4"/>
  <c r="K51" i="4"/>
  <c r="L51" i="4"/>
  <c r="K52" i="4"/>
  <c r="L52" i="4"/>
  <c r="K53" i="4"/>
  <c r="L53" i="4"/>
  <c r="K54" i="4"/>
  <c r="L54" i="4"/>
  <c r="K55" i="4"/>
  <c r="L55" i="4"/>
  <c r="K56" i="4"/>
  <c r="L56" i="4"/>
  <c r="K57" i="4"/>
  <c r="L57" i="4"/>
  <c r="K58" i="4"/>
  <c r="L58" i="4"/>
  <c r="K59" i="4"/>
  <c r="L59" i="4"/>
  <c r="K60" i="4"/>
  <c r="L60" i="4"/>
  <c r="K61" i="4"/>
  <c r="L61" i="4"/>
  <c r="K62" i="4"/>
  <c r="L62" i="4"/>
  <c r="K63" i="4"/>
  <c r="L63" i="4"/>
  <c r="K64" i="4"/>
  <c r="L64" i="4"/>
  <c r="K65" i="4"/>
  <c r="L65" i="4"/>
  <c r="K66" i="4"/>
  <c r="L66" i="4"/>
  <c r="K67" i="4"/>
  <c r="L67" i="4"/>
  <c r="K68" i="4"/>
  <c r="L68" i="4"/>
  <c r="K69" i="4"/>
  <c r="L69" i="4"/>
  <c r="K70" i="4"/>
  <c r="L70" i="4"/>
  <c r="K71" i="4"/>
  <c r="L71" i="4"/>
  <c r="K72" i="4"/>
  <c r="L72" i="4"/>
  <c r="K73" i="4"/>
  <c r="L73" i="4"/>
  <c r="K74" i="4"/>
  <c r="L74" i="4"/>
  <c r="K75" i="4"/>
  <c r="L75" i="4"/>
  <c r="K76" i="4"/>
  <c r="L76" i="4"/>
  <c r="K77" i="4"/>
  <c r="L77" i="4"/>
  <c r="K78" i="4"/>
  <c r="L78" i="4"/>
  <c r="K79" i="4"/>
  <c r="L79" i="4"/>
  <c r="K80" i="4"/>
  <c r="L80" i="4"/>
  <c r="K81" i="4"/>
  <c r="L81" i="4"/>
  <c r="K82" i="4"/>
  <c r="L82" i="4"/>
  <c r="K83" i="4"/>
  <c r="L83" i="4"/>
  <c r="K84" i="4"/>
  <c r="L84" i="4"/>
  <c r="K85" i="4"/>
  <c r="L85" i="4"/>
  <c r="K86" i="4"/>
  <c r="L86" i="4"/>
  <c r="K87" i="4"/>
  <c r="L87" i="4"/>
  <c r="K88" i="4"/>
  <c r="L88" i="4"/>
  <c r="K89" i="4"/>
  <c r="L89" i="4"/>
  <c r="K90" i="4"/>
  <c r="L90" i="4"/>
  <c r="K91" i="4"/>
  <c r="L91" i="4"/>
  <c r="K92" i="4"/>
  <c r="L92" i="4"/>
  <c r="K93" i="4"/>
  <c r="L93" i="4"/>
  <c r="K94" i="4"/>
  <c r="L94" i="4"/>
  <c r="K95" i="4"/>
  <c r="L95" i="4"/>
  <c r="K96" i="4"/>
  <c r="L96" i="4"/>
  <c r="K97" i="4"/>
  <c r="L97" i="4"/>
  <c r="K98" i="4"/>
  <c r="L98" i="4"/>
  <c r="K99" i="4"/>
  <c r="L99" i="4"/>
  <c r="K100" i="4"/>
  <c r="L100" i="4"/>
  <c r="K101" i="4"/>
  <c r="L101" i="4"/>
  <c r="K102" i="4"/>
  <c r="L102" i="4"/>
  <c r="L2" i="4"/>
  <c r="K2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H2" i="4" a="1"/>
  <c r="H2" i="4"/>
  <c r="I2" i="4"/>
  <c r="H3" i="4"/>
  <c r="I3" i="4"/>
  <c r="H4" i="4"/>
  <c r="I4" i="4"/>
  <c r="H5" i="4"/>
  <c r="I5" i="4"/>
  <c r="H6" i="4"/>
  <c r="I6" i="4"/>
  <c r="H7" i="4"/>
  <c r="I7" i="4"/>
  <c r="H8" i="4"/>
  <c r="I8" i="4"/>
  <c r="H9" i="4"/>
  <c r="I9" i="4"/>
  <c r="H10" i="4"/>
  <c r="I10" i="4"/>
  <c r="H11" i="4"/>
  <c r="I11" i="4"/>
  <c r="H12" i="4"/>
  <c r="I12" i="4"/>
  <c r="H13" i="4"/>
  <c r="I13" i="4"/>
  <c r="H14" i="4"/>
  <c r="I14" i="4"/>
  <c r="H15" i="4"/>
  <c r="I15" i="4"/>
  <c r="H16" i="4"/>
  <c r="I16" i="4"/>
  <c r="H17" i="4"/>
  <c r="I17" i="4"/>
  <c r="H18" i="4"/>
  <c r="I18" i="4"/>
  <c r="H19" i="4"/>
  <c r="I19" i="4"/>
  <c r="H20" i="4"/>
  <c r="I20" i="4"/>
  <c r="H21" i="4"/>
  <c r="I21" i="4"/>
  <c r="H22" i="4"/>
  <c r="I22" i="4"/>
  <c r="H23" i="4"/>
  <c r="I23" i="4"/>
  <c r="H24" i="4"/>
  <c r="I24" i="4"/>
  <c r="H25" i="4"/>
  <c r="I25" i="4"/>
  <c r="H26" i="4"/>
  <c r="I26" i="4"/>
  <c r="H27" i="4"/>
  <c r="I27" i="4"/>
  <c r="H28" i="4"/>
  <c r="I28" i="4"/>
  <c r="H29" i="4"/>
  <c r="I29" i="4"/>
  <c r="H30" i="4"/>
  <c r="I30" i="4"/>
  <c r="H31" i="4"/>
  <c r="I31" i="4"/>
  <c r="H32" i="4"/>
  <c r="I32" i="4"/>
  <c r="H33" i="4"/>
  <c r="I33" i="4"/>
  <c r="H34" i="4"/>
  <c r="I34" i="4"/>
  <c r="H35" i="4"/>
  <c r="I35" i="4"/>
  <c r="H36" i="4"/>
  <c r="I36" i="4"/>
  <c r="H37" i="4"/>
  <c r="I37" i="4"/>
  <c r="H38" i="4"/>
  <c r="I38" i="4"/>
  <c r="H39" i="4"/>
  <c r="I39" i="4"/>
  <c r="H40" i="4"/>
  <c r="I40" i="4"/>
  <c r="H41" i="4"/>
  <c r="I41" i="4"/>
  <c r="H42" i="4"/>
  <c r="I42" i="4"/>
  <c r="H43" i="4"/>
  <c r="I43" i="4"/>
  <c r="H44" i="4"/>
  <c r="I44" i="4"/>
  <c r="H45" i="4"/>
  <c r="I45" i="4"/>
  <c r="H46" i="4"/>
  <c r="I46" i="4"/>
  <c r="H47" i="4"/>
  <c r="I47" i="4"/>
  <c r="H48" i="4"/>
  <c r="I48" i="4"/>
  <c r="H49" i="4"/>
  <c r="I49" i="4"/>
  <c r="H50" i="4"/>
  <c r="I50" i="4"/>
  <c r="H51" i="4"/>
  <c r="I51" i="4"/>
  <c r="H52" i="4"/>
  <c r="I52" i="4"/>
  <c r="H53" i="4"/>
  <c r="I53" i="4"/>
  <c r="H54" i="4"/>
  <c r="I54" i="4"/>
  <c r="H55" i="4"/>
  <c r="I55" i="4"/>
  <c r="H56" i="4"/>
  <c r="I56" i="4"/>
  <c r="H57" i="4"/>
  <c r="I57" i="4"/>
  <c r="H58" i="4"/>
  <c r="I58" i="4"/>
  <c r="H59" i="4"/>
  <c r="I59" i="4"/>
  <c r="H60" i="4"/>
  <c r="I60" i="4"/>
  <c r="H61" i="4"/>
  <c r="I61" i="4"/>
  <c r="H62" i="4"/>
  <c r="I62" i="4"/>
  <c r="H63" i="4"/>
  <c r="I63" i="4"/>
  <c r="H64" i="4"/>
  <c r="I64" i="4"/>
  <c r="H65" i="4"/>
  <c r="I65" i="4"/>
  <c r="H66" i="4"/>
  <c r="I66" i="4"/>
  <c r="H67" i="4"/>
  <c r="I67" i="4"/>
  <c r="H68" i="4"/>
  <c r="I68" i="4"/>
  <c r="H69" i="4"/>
  <c r="I69" i="4"/>
  <c r="H70" i="4"/>
  <c r="I70" i="4"/>
  <c r="H71" i="4"/>
  <c r="I71" i="4"/>
  <c r="H72" i="4"/>
  <c r="I72" i="4"/>
  <c r="H73" i="4"/>
  <c r="I73" i="4"/>
  <c r="H74" i="4"/>
  <c r="I74" i="4"/>
  <c r="H75" i="4"/>
  <c r="I75" i="4"/>
  <c r="H76" i="4"/>
  <c r="I76" i="4"/>
  <c r="H77" i="4"/>
  <c r="I77" i="4"/>
  <c r="H78" i="4"/>
  <c r="I78" i="4"/>
  <c r="H79" i="4"/>
  <c r="I79" i="4"/>
  <c r="H80" i="4"/>
  <c r="I80" i="4"/>
  <c r="H81" i="4"/>
  <c r="I81" i="4"/>
  <c r="H82" i="4"/>
  <c r="I82" i="4"/>
  <c r="H83" i="4"/>
  <c r="I83" i="4"/>
  <c r="H84" i="4"/>
  <c r="I84" i="4"/>
  <c r="H85" i="4"/>
  <c r="I85" i="4"/>
  <c r="H86" i="4"/>
  <c r="I86" i="4"/>
  <c r="H87" i="4"/>
  <c r="I87" i="4"/>
  <c r="H88" i="4"/>
  <c r="I88" i="4"/>
  <c r="H89" i="4"/>
  <c r="I89" i="4"/>
  <c r="H90" i="4"/>
  <c r="I90" i="4"/>
  <c r="H91" i="4"/>
  <c r="I91" i="4"/>
  <c r="H92" i="4"/>
  <c r="I92" i="4"/>
  <c r="H93" i="4"/>
  <c r="I93" i="4"/>
  <c r="H94" i="4"/>
  <c r="I94" i="4"/>
  <c r="H95" i="4"/>
  <c r="I95" i="4"/>
  <c r="H96" i="4"/>
  <c r="I96" i="4"/>
  <c r="H97" i="4"/>
  <c r="I97" i="4"/>
  <c r="H98" i="4"/>
  <c r="I98" i="4"/>
  <c r="H99" i="4"/>
  <c r="I99" i="4"/>
  <c r="H100" i="4"/>
  <c r="I100" i="4"/>
  <c r="H101" i="4"/>
  <c r="I101" i="4"/>
  <c r="H102" i="4"/>
  <c r="I102" i="4"/>
  <c r="B15" i="3"/>
  <c r="M15" i="3"/>
  <c r="C22" i="3"/>
  <c r="C21" i="3"/>
  <c r="J16" i="3"/>
  <c r="J15" i="3"/>
  <c r="G15" i="3" a="1"/>
  <c r="G15" i="3"/>
  <c r="H15" i="3"/>
  <c r="AA11" i="3"/>
  <c r="Z11" i="3"/>
  <c r="AD6" i="3"/>
  <c r="S5" i="3"/>
  <c r="Z5" i="3" a="1"/>
  <c r="Z5" i="3"/>
  <c r="AD5" i="3"/>
  <c r="J4" i="3"/>
  <c r="B3" i="3"/>
  <c r="G3" i="3" a="1"/>
  <c r="G3" i="3"/>
  <c r="AD7" i="3"/>
  <c r="AB11" i="3"/>
  <c r="AF11" i="3"/>
  <c r="AB5" i="3"/>
  <c r="AA5" i="3"/>
  <c r="H3" i="3"/>
  <c r="AB10" i="2"/>
  <c r="AB11" i="2"/>
  <c r="AB12" i="2"/>
  <c r="AB13" i="2"/>
  <c r="AE10" i="2"/>
  <c r="AE11" i="2"/>
  <c r="AE12" i="2"/>
  <c r="AA10" i="2"/>
  <c r="AA11" i="2"/>
  <c r="AA12" i="2"/>
  <c r="AA13" i="2"/>
  <c r="AD10" i="2"/>
  <c r="AD11" i="2"/>
  <c r="AD12" i="2"/>
  <c r="Z10" i="2"/>
  <c r="Z11" i="2"/>
  <c r="Z12" i="2"/>
  <c r="Z13" i="2"/>
  <c r="AC10" i="2"/>
  <c r="AC11" i="2"/>
  <c r="AC12" i="2"/>
  <c r="BG7" i="2"/>
  <c r="BO7" i="2"/>
  <c r="BN7" i="2"/>
  <c r="BM7" i="2"/>
  <c r="BH7" i="2"/>
  <c r="BI7" i="2"/>
  <c r="BM2" i="2"/>
  <c r="BN2" i="2"/>
  <c r="BH2" i="2"/>
  <c r="BO2" i="2"/>
  <c r="BP2" i="2"/>
  <c r="BQ2" i="2"/>
  <c r="BI2" i="2"/>
  <c r="V13" i="2"/>
  <c r="AG12" i="2"/>
  <c r="AF12" i="2"/>
  <c r="AH12" i="2"/>
  <c r="AG11" i="2"/>
  <c r="AF11" i="2"/>
  <c r="AH11" i="2"/>
  <c r="AG10" i="2"/>
  <c r="AF10" i="2"/>
  <c r="AH10" i="2"/>
  <c r="AM11" i="2"/>
  <c r="AF5" i="3"/>
  <c r="AH5" i="3"/>
  <c r="AF10" i="3"/>
  <c r="BP7" i="2"/>
  <c r="BQ7" i="2"/>
  <c r="AN10" i="2"/>
  <c r="AL11" i="2"/>
  <c r="AM12" i="2"/>
  <c r="AM10" i="2"/>
  <c r="AN11" i="2"/>
  <c r="AL12" i="2"/>
  <c r="AL10" i="2"/>
  <c r="AN12" i="2"/>
  <c r="AG2" i="2"/>
  <c r="AG3" i="2"/>
  <c r="AG4" i="2"/>
  <c r="AF2" i="2"/>
  <c r="AF3" i="2"/>
  <c r="AF4" i="2"/>
  <c r="AH4" i="2"/>
  <c r="AH3" i="2"/>
  <c r="AH2" i="2"/>
  <c r="M2" i="2"/>
  <c r="M3" i="2"/>
  <c r="M4" i="2"/>
  <c r="M5" i="2"/>
  <c r="L2" i="2"/>
  <c r="N2" i="2"/>
  <c r="L3" i="2"/>
  <c r="N3" i="2"/>
  <c r="L4" i="2"/>
  <c r="N4" i="2"/>
  <c r="L5" i="2"/>
  <c r="N5" i="2"/>
  <c r="AM13" i="2"/>
  <c r="AI2" i="2"/>
  <c r="AI12" i="2"/>
  <c r="AI10" i="2"/>
  <c r="AI11" i="2"/>
  <c r="AL13" i="2"/>
  <c r="AN13" i="2"/>
  <c r="AI4" i="2"/>
  <c r="AI3" i="2"/>
  <c r="O2" i="2"/>
  <c r="O4" i="2"/>
  <c r="P4" i="2"/>
  <c r="O3" i="2"/>
  <c r="P3" i="2"/>
  <c r="O5" i="2"/>
  <c r="P5" i="2"/>
  <c r="BA2" i="2"/>
  <c r="AY2" i="2"/>
  <c r="AZ2" i="2"/>
  <c r="AS11" i="2"/>
  <c r="AS10" i="2"/>
  <c r="AS9" i="2"/>
  <c r="AS2" i="2"/>
  <c r="AS3" i="2"/>
  <c r="AS4" i="2"/>
  <c r="Z2" i="2"/>
  <c r="Z3" i="2"/>
  <c r="Z4" i="2"/>
  <c r="V5" i="2"/>
  <c r="AB4" i="2"/>
  <c r="AA4" i="2"/>
  <c r="AB3" i="2"/>
  <c r="AA3" i="2"/>
  <c r="AB2" i="2"/>
  <c r="AA2" i="2"/>
  <c r="P2" i="2"/>
  <c r="H2" i="2"/>
  <c r="H3" i="2"/>
  <c r="H4" i="2"/>
  <c r="H5" i="2"/>
  <c r="G2" i="2"/>
  <c r="G3" i="2"/>
  <c r="G4" i="2"/>
  <c r="G5" i="2"/>
  <c r="F2" i="2"/>
  <c r="F3" i="2"/>
  <c r="F4" i="2"/>
  <c r="F5" i="2"/>
  <c r="B6" i="2"/>
  <c r="AJ11" i="2"/>
  <c r="AJ12" i="2"/>
  <c r="AJ10" i="2"/>
  <c r="BB2" i="2"/>
  <c r="BC2" i="2"/>
  <c r="AS5" i="2"/>
  <c r="AS12" i="2"/>
  <c r="AB5" i="2"/>
  <c r="AA5" i="2"/>
  <c r="Z5" i="2"/>
  <c r="AJ2" i="2"/>
  <c r="AJ3" i="2"/>
  <c r="AJ4" i="2"/>
  <c r="P6" i="2"/>
  <c r="F6" i="2"/>
  <c r="H6" i="2"/>
  <c r="G6" i="2"/>
  <c r="T39" i="1"/>
  <c r="T40" i="1"/>
  <c r="R40" i="1"/>
  <c r="S40" i="1"/>
  <c r="R39" i="1"/>
  <c r="S39" i="1"/>
  <c r="R32" i="1"/>
  <c r="R33" i="1"/>
  <c r="S33" i="1"/>
  <c r="R34" i="1"/>
  <c r="R35" i="1"/>
  <c r="S35" i="1"/>
  <c r="S34" i="1"/>
  <c r="S32" i="1"/>
  <c r="H28" i="1"/>
  <c r="H27" i="1"/>
  <c r="G29" i="1"/>
  <c r="H26" i="1"/>
  <c r="H25" i="1"/>
  <c r="H24" i="1"/>
  <c r="K24" i="1"/>
  <c r="R26" i="1"/>
  <c r="S25" i="1"/>
  <c r="R25" i="1"/>
  <c r="S24" i="1"/>
  <c r="R24" i="1"/>
  <c r="G19" i="1"/>
  <c r="H18" i="1"/>
  <c r="H17" i="1"/>
  <c r="H16" i="1"/>
  <c r="AC13" i="2"/>
  <c r="AC14" i="2"/>
  <c r="AM2" i="2"/>
  <c r="AM4" i="2"/>
  <c r="AL2" i="2"/>
  <c r="AL4" i="2"/>
  <c r="AM3" i="2"/>
  <c r="AL3" i="2"/>
  <c r="AJ13" i="2"/>
  <c r="AN3" i="2"/>
  <c r="AN2" i="2"/>
  <c r="AN4" i="2"/>
  <c r="AD4" i="2"/>
  <c r="AD3" i="2"/>
  <c r="AD2" i="2"/>
  <c r="AC2" i="2"/>
  <c r="AC4" i="2"/>
  <c r="AC3" i="2"/>
  <c r="AE4" i="2"/>
  <c r="AE3" i="2"/>
  <c r="AE2" i="2"/>
  <c r="R3" i="2"/>
  <c r="R5" i="2"/>
  <c r="R2" i="2"/>
  <c r="R4" i="2"/>
  <c r="T2" i="2"/>
  <c r="T4" i="2"/>
  <c r="S2" i="2"/>
  <c r="S4" i="2"/>
  <c r="T3" i="2"/>
  <c r="T5" i="2"/>
  <c r="S3" i="2"/>
  <c r="S5" i="2"/>
  <c r="Q3" i="2"/>
  <c r="Q5" i="2"/>
  <c r="Q4" i="2"/>
  <c r="Q2" i="2"/>
  <c r="I4" i="2"/>
  <c r="I3" i="2"/>
  <c r="I5" i="2"/>
  <c r="I2" i="2"/>
  <c r="K5" i="2"/>
  <c r="K4" i="2"/>
  <c r="K2" i="2"/>
  <c r="K3" i="2"/>
  <c r="J5" i="2"/>
  <c r="J4" i="2"/>
  <c r="J2" i="2"/>
  <c r="J3" i="2"/>
  <c r="AJ5" i="2"/>
  <c r="I28" i="1"/>
  <c r="I26" i="1"/>
  <c r="I24" i="1"/>
  <c r="K27" i="1"/>
  <c r="K25" i="1"/>
  <c r="S36" i="1"/>
  <c r="I27" i="1"/>
  <c r="I25" i="1"/>
  <c r="J25" i="1"/>
  <c r="K28" i="1"/>
  <c r="K26" i="1"/>
  <c r="L26" i="1"/>
  <c r="S41" i="1"/>
  <c r="J28" i="1"/>
  <c r="K16" i="1"/>
  <c r="L28" i="1"/>
  <c r="J27" i="1"/>
  <c r="I17" i="1"/>
  <c r="J17" i="1"/>
  <c r="K18" i="1"/>
  <c r="J24" i="1"/>
  <c r="L27" i="1"/>
  <c r="I18" i="1"/>
  <c r="J18" i="1"/>
  <c r="I16" i="1"/>
  <c r="J16" i="1"/>
  <c r="K17" i="1"/>
  <c r="L17" i="1"/>
  <c r="L25" i="1"/>
  <c r="L24" i="1"/>
  <c r="J26" i="1"/>
  <c r="S26" i="1"/>
  <c r="S27" i="1"/>
  <c r="U40" i="1"/>
  <c r="L16" i="1"/>
  <c r="L18" i="1"/>
  <c r="R19" i="1"/>
  <c r="S19" i="1"/>
  <c r="R18" i="1"/>
  <c r="S18" i="1"/>
  <c r="R17" i="1"/>
  <c r="S17" i="1"/>
  <c r="R12" i="1"/>
  <c r="S12" i="1"/>
  <c r="R11" i="1"/>
  <c r="S11" i="1"/>
  <c r="R10" i="1"/>
  <c r="S10" i="1"/>
  <c r="AE5" i="2"/>
  <c r="AE6" i="2"/>
  <c r="AN5" i="2"/>
  <c r="AE13" i="2"/>
  <c r="AE14" i="2"/>
  <c r="AM14" i="2"/>
  <c r="AL5" i="2"/>
  <c r="AM5" i="2"/>
  <c r="AD13" i="2"/>
  <c r="AD14" i="2"/>
  <c r="AL14" i="2"/>
  <c r="AK11" i="2"/>
  <c r="AK10" i="2"/>
  <c r="AK12" i="2"/>
  <c r="AK2" i="2"/>
  <c r="AK3" i="2"/>
  <c r="AK4" i="2"/>
  <c r="AD5" i="2"/>
  <c r="AD6" i="2"/>
  <c r="AC5" i="2"/>
  <c r="AC6" i="2"/>
  <c r="S6" i="2"/>
  <c r="T6" i="2"/>
  <c r="R6" i="2"/>
  <c r="J6" i="2"/>
  <c r="J7" i="2"/>
  <c r="Q6" i="2"/>
  <c r="Q7" i="2"/>
  <c r="I6" i="2"/>
  <c r="I7" i="2"/>
  <c r="K6" i="2"/>
  <c r="K7" i="2"/>
  <c r="U39" i="1"/>
  <c r="U41" i="1"/>
  <c r="V41" i="1"/>
  <c r="T24" i="1"/>
  <c r="U24" i="1"/>
  <c r="T26" i="1"/>
  <c r="U26" i="1"/>
  <c r="T25" i="1"/>
  <c r="U25" i="1"/>
  <c r="S20" i="1"/>
  <c r="T18" i="1"/>
  <c r="U18" i="1"/>
  <c r="S13" i="1"/>
  <c r="T11" i="1"/>
  <c r="U11" i="1"/>
  <c r="G13" i="1"/>
  <c r="H12" i="1"/>
  <c r="H11" i="1"/>
  <c r="H10" i="1"/>
  <c r="AM6" i="2"/>
  <c r="AN14" i="2"/>
  <c r="AL6" i="2"/>
  <c r="AK13" i="2"/>
  <c r="AK14" i="2"/>
  <c r="AN6" i="2"/>
  <c r="AK5" i="2"/>
  <c r="AK6" i="2"/>
  <c r="T7" i="2"/>
  <c r="R7" i="2"/>
  <c r="S7" i="2"/>
  <c r="T17" i="1"/>
  <c r="U17" i="1"/>
  <c r="T19" i="1"/>
  <c r="U19" i="1"/>
  <c r="U27" i="1"/>
  <c r="V27" i="1"/>
  <c r="U20" i="1"/>
  <c r="V20" i="1"/>
  <c r="T10" i="1"/>
  <c r="U10" i="1"/>
  <c r="T12" i="1"/>
  <c r="U12" i="1"/>
  <c r="K12" i="1"/>
  <c r="K11" i="1"/>
  <c r="K10" i="1"/>
  <c r="I11" i="1"/>
  <c r="I12" i="1"/>
  <c r="I10" i="1"/>
  <c r="G7" i="1"/>
  <c r="R2" i="1"/>
  <c r="S2" i="1"/>
  <c r="R3" i="1"/>
  <c r="S3" i="1"/>
  <c r="R4" i="1"/>
  <c r="S4" i="1"/>
  <c r="R5" i="1"/>
  <c r="S5" i="1"/>
  <c r="H2" i="1"/>
  <c r="I2" i="1"/>
  <c r="J2" i="1"/>
  <c r="H3" i="1"/>
  <c r="H4" i="1"/>
  <c r="H5" i="1"/>
  <c r="H6" i="1"/>
  <c r="D2" i="1"/>
  <c r="U13" i="1"/>
  <c r="V13" i="1"/>
  <c r="L12" i="1"/>
  <c r="L10" i="1"/>
  <c r="L11" i="1"/>
  <c r="J12" i="1"/>
  <c r="J10" i="1"/>
  <c r="J11" i="1"/>
  <c r="S6" i="1"/>
  <c r="I4" i="1"/>
  <c r="J4" i="1"/>
  <c r="K5" i="1"/>
  <c r="L5" i="1"/>
  <c r="K3" i="1"/>
  <c r="L3" i="1"/>
  <c r="K6" i="1"/>
  <c r="L6" i="1"/>
  <c r="K4" i="1"/>
  <c r="L4" i="1"/>
  <c r="K2" i="1"/>
  <c r="L2" i="1"/>
  <c r="I6" i="1"/>
  <c r="J6" i="1"/>
  <c r="I5" i="1"/>
  <c r="J5" i="1"/>
  <c r="I3" i="1"/>
  <c r="J3" i="1"/>
  <c r="L3" i="3"/>
  <c r="L15" i="3"/>
  <c r="N15" i="3"/>
</calcChain>
</file>

<file path=xl/sharedStrings.xml><?xml version="1.0" encoding="utf-8"?>
<sst xmlns="http://schemas.openxmlformats.org/spreadsheetml/2006/main" count="413" uniqueCount="170">
  <si>
    <t>P0</t>
  </si>
  <si>
    <t>P1</t>
  </si>
  <si>
    <t>CashFlows</t>
  </si>
  <si>
    <t>PeriodRet</t>
  </si>
  <si>
    <t>Yr</t>
  </si>
  <si>
    <t>Return</t>
  </si>
  <si>
    <t>GrossRet</t>
  </si>
  <si>
    <t>CumVal</t>
  </si>
  <si>
    <t>HoldPerRet</t>
  </si>
  <si>
    <t>GeoMean</t>
  </si>
  <si>
    <t>State</t>
  </si>
  <si>
    <t>Probability</t>
  </si>
  <si>
    <t>YrEndPrice</t>
  </si>
  <si>
    <t>CashFlow</t>
  </si>
  <si>
    <t>Ret</t>
  </si>
  <si>
    <t>Excellent</t>
  </si>
  <si>
    <t>Good</t>
  </si>
  <si>
    <t>Poor</t>
  </si>
  <si>
    <t>Crash</t>
  </si>
  <si>
    <t>Weighted</t>
  </si>
  <si>
    <t>Total</t>
  </si>
  <si>
    <t>GeoAveRet</t>
  </si>
  <si>
    <t>Expected</t>
  </si>
  <si>
    <t>Expected Value</t>
  </si>
  <si>
    <t>Var</t>
  </si>
  <si>
    <t>WtdVar</t>
  </si>
  <si>
    <t>StdDev</t>
  </si>
  <si>
    <t>Prob</t>
  </si>
  <si>
    <t>Toyota</t>
  </si>
  <si>
    <t>Walmart</t>
  </si>
  <si>
    <t>Pfizer</t>
  </si>
  <si>
    <t>Expansion</t>
  </si>
  <si>
    <t>Normal</t>
  </si>
  <si>
    <t>Recession</t>
  </si>
  <si>
    <t>Depression</t>
  </si>
  <si>
    <t>Twted</t>
  </si>
  <si>
    <t>WMTwted</t>
  </si>
  <si>
    <t>PFZwted</t>
  </si>
  <si>
    <t>MixT</t>
  </si>
  <si>
    <t>MixWMT</t>
  </si>
  <si>
    <t>MixPFZ</t>
  </si>
  <si>
    <t>MixRet</t>
  </si>
  <si>
    <t>MixWted</t>
  </si>
  <si>
    <t xml:space="preserve">ARet </t>
  </si>
  <si>
    <t>Awted</t>
  </si>
  <si>
    <t>Bret</t>
  </si>
  <si>
    <t>Bwted</t>
  </si>
  <si>
    <t>Cret</t>
  </si>
  <si>
    <t>Cwted</t>
  </si>
  <si>
    <t>MixA</t>
  </si>
  <si>
    <t>MixC</t>
  </si>
  <si>
    <t>MixB</t>
  </si>
  <si>
    <t>Label</t>
  </si>
  <si>
    <t>ExpRet</t>
  </si>
  <si>
    <t>Wt</t>
  </si>
  <si>
    <t>WtdRet</t>
  </si>
  <si>
    <t>A</t>
  </si>
  <si>
    <t>B</t>
  </si>
  <si>
    <t>C</t>
  </si>
  <si>
    <t>Borrowed</t>
  </si>
  <si>
    <t>Capital</t>
  </si>
  <si>
    <t>LoanInt</t>
  </si>
  <si>
    <t>TotInv</t>
  </si>
  <si>
    <t>NetRetVal</t>
  </si>
  <si>
    <t>GrossRetVal</t>
  </si>
  <si>
    <t>IntVal</t>
  </si>
  <si>
    <t>RetRate</t>
  </si>
  <si>
    <t>Tvar</t>
  </si>
  <si>
    <t>Wvar</t>
  </si>
  <si>
    <t>Pvar</t>
  </si>
  <si>
    <t>SD</t>
  </si>
  <si>
    <t>MixVar</t>
  </si>
  <si>
    <t>Wpcov</t>
  </si>
  <si>
    <t>Tpcov</t>
  </si>
  <si>
    <t>Twcov</t>
  </si>
  <si>
    <t>Avar</t>
  </si>
  <si>
    <t>Bvar</t>
  </si>
  <si>
    <t>Cvar</t>
  </si>
  <si>
    <t>Abcov</t>
  </si>
  <si>
    <t>Accov</t>
  </si>
  <si>
    <t>Bccov</t>
  </si>
  <si>
    <t>Jret</t>
  </si>
  <si>
    <t>Rret</t>
  </si>
  <si>
    <t>Jwt</t>
  </si>
  <si>
    <t>Rwt</t>
  </si>
  <si>
    <t>Jvol</t>
  </si>
  <si>
    <t>Rvol</t>
  </si>
  <si>
    <t>Jrcorr</t>
  </si>
  <si>
    <t>Jvar</t>
  </si>
  <si>
    <t>Rvar</t>
  </si>
  <si>
    <t>Jrcov</t>
  </si>
  <si>
    <t>Jrvar</t>
  </si>
  <si>
    <t>Jrvol</t>
  </si>
  <si>
    <t>wts</t>
  </si>
  <si>
    <t>cov</t>
  </si>
  <si>
    <t>wtsxcov</t>
  </si>
  <si>
    <t>wtsT</t>
  </si>
  <si>
    <t>pfVar</t>
  </si>
  <si>
    <t>var</t>
  </si>
  <si>
    <t>covEx</t>
  </si>
  <si>
    <t>Stat</t>
  </si>
  <si>
    <t>Covs</t>
  </si>
  <si>
    <t>wtsxCovs</t>
  </si>
  <si>
    <t>pfSD</t>
  </si>
  <si>
    <t>Rets</t>
  </si>
  <si>
    <t>pfRet</t>
  </si>
  <si>
    <t>MSFT</t>
  </si>
  <si>
    <t>WBA</t>
  </si>
  <si>
    <t>TSLA</t>
  </si>
  <si>
    <t>UK</t>
  </si>
  <si>
    <t>Japan</t>
  </si>
  <si>
    <t>Desc</t>
  </si>
  <si>
    <t>Vol</t>
  </si>
  <si>
    <t>Ukret</t>
  </si>
  <si>
    <t>Pfret</t>
  </si>
  <si>
    <t>corr1</t>
  </si>
  <si>
    <t>cov1</t>
  </si>
  <si>
    <t>corr2</t>
  </si>
  <si>
    <t>cov2</t>
  </si>
  <si>
    <t>w</t>
  </si>
  <si>
    <t>corr36</t>
  </si>
  <si>
    <t>corr50</t>
  </si>
  <si>
    <t>Labels</t>
  </si>
  <si>
    <t>UK only</t>
  </si>
  <si>
    <t>50-50</t>
  </si>
  <si>
    <t>Japan only</t>
  </si>
  <si>
    <t>Security</t>
  </si>
  <si>
    <t>Invested</t>
  </si>
  <si>
    <t>Gamma</t>
  </si>
  <si>
    <t>Investment</t>
  </si>
  <si>
    <t>Utility</t>
  </si>
  <si>
    <t>Treasuries</t>
  </si>
  <si>
    <t>Portfolio</t>
  </si>
  <si>
    <t>W1</t>
  </si>
  <si>
    <t>W2</t>
  </si>
  <si>
    <t>P2</t>
  </si>
  <si>
    <t>U1</t>
  </si>
  <si>
    <t>U2</t>
  </si>
  <si>
    <t>EU</t>
  </si>
  <si>
    <t>RiskFreeRate</t>
  </si>
  <si>
    <t>SharpeRatio</t>
  </si>
  <si>
    <t>ExpExcessRet</t>
  </si>
  <si>
    <t>RiskyRet</t>
  </si>
  <si>
    <t>RiskFreeRet</t>
  </si>
  <si>
    <t>TargetRet</t>
  </si>
  <si>
    <t>wRisky</t>
  </si>
  <si>
    <t>RiskySD</t>
  </si>
  <si>
    <t>TargetSD</t>
  </si>
  <si>
    <t>riskySD</t>
  </si>
  <si>
    <t>riskyRet</t>
  </si>
  <si>
    <t>riskFreeRet</t>
  </si>
  <si>
    <t>targSD</t>
  </si>
  <si>
    <t>riskyWt</t>
  </si>
  <si>
    <t>DivInv</t>
  </si>
  <si>
    <t>FelixInv</t>
  </si>
  <si>
    <t>DivWt</t>
  </si>
  <si>
    <t>FelixWt</t>
  </si>
  <si>
    <t>TotWt</t>
  </si>
  <si>
    <t>Div</t>
  </si>
  <si>
    <t>Felix</t>
  </si>
  <si>
    <t>Corr</t>
  </si>
  <si>
    <t>Cov</t>
  </si>
  <si>
    <t>Product</t>
  </si>
  <si>
    <t>Wts</t>
  </si>
  <si>
    <t>DivRet</t>
  </si>
  <si>
    <t>GovRet</t>
  </si>
  <si>
    <t>GovWt</t>
  </si>
  <si>
    <t>PfRet</t>
  </si>
  <si>
    <t>DivSD</t>
  </si>
  <si>
    <t>PfSD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</si>
</sst>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00_);_(* \(#,##0.0000\);_(* &quot;-&quot;??_);_(@_)"/>
    <numFmt numFmtId="165" formatCode="_(* #,##0.0000_);_(* \(#,##0.0000\);_(* &quot;-&quot;????_);_(@_)"/>
    <numFmt numFmtId="166" formatCode="0.000%"/>
    <numFmt numFmtId="167" formatCode="0.0000%"/>
    <numFmt numFmtId="168" formatCode="0.00000"/>
    <numFmt numFmtId="169" formatCode="0.000000"/>
    <numFmt numFmtId="170" formatCode="0.0000"/>
    <numFmt numFmtId="171" formatCode="0.00000%"/>
    <numFmt numFmtId="173" formatCode="0.000"/>
    <numFmt numFmtId="175" formatCode="_(&quot;$&quot;* #,##0_);_(&quot;$&quot;* \(#,##0\);_(&quot;$&quot;* &quot;-&quot;??_);_(@_)"/>
  </numFmts>
  <fonts count="2" x14ac:knownFonts="1">
    <font>
      <sz val="12"/>
      <color theme="1"/>
      <name val="Consolas"/>
      <family val="2"/>
    </font>
    <font>
      <sz val="12"/>
      <color theme="1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44" fontId="0" fillId="0" borderId="0" xfId="2" applyFont="1"/>
    <xf numFmtId="10" fontId="0" fillId="0" borderId="0" xfId="3" applyNumberFormat="1" applyFont="1"/>
    <xf numFmtId="43" fontId="0" fillId="0" borderId="0" xfId="1" applyFont="1"/>
    <xf numFmtId="164" fontId="0" fillId="0" borderId="0" xfId="1" applyNumberFormat="1" applyFont="1"/>
    <xf numFmtId="0" fontId="0" fillId="0" borderId="0" xfId="0" applyNumberFormat="1"/>
    <xf numFmtId="10" fontId="0" fillId="0" borderId="0" xfId="0" applyNumberFormat="1"/>
    <xf numFmtId="165" fontId="0" fillId="0" borderId="0" xfId="3" applyNumberFormat="1" applyFont="1"/>
    <xf numFmtId="10" fontId="0" fillId="0" borderId="0" xfId="0" applyNumberFormat="1" applyFont="1"/>
    <xf numFmtId="43" fontId="0" fillId="0" borderId="0" xfId="0" applyNumberFormat="1" applyFont="1"/>
    <xf numFmtId="9" fontId="0" fillId="0" borderId="0" xfId="0" applyNumberFormat="1" applyFont="1"/>
    <xf numFmtId="10" fontId="1" fillId="0" borderId="0" xfId="3" applyNumberFormat="1" applyFont="1"/>
    <xf numFmtId="166" fontId="0" fillId="0" borderId="0" xfId="3" applyNumberFormat="1" applyFont="1"/>
    <xf numFmtId="166" fontId="0" fillId="0" borderId="0" xfId="0" applyNumberFormat="1" applyFont="1"/>
    <xf numFmtId="44" fontId="0" fillId="0" borderId="0" xfId="0" applyNumberFormat="1"/>
    <xf numFmtId="167" fontId="0" fillId="0" borderId="0" xfId="3" applyNumberFormat="1" applyFont="1"/>
    <xf numFmtId="167" fontId="0" fillId="0" borderId="0" xfId="0" applyNumberFormat="1"/>
    <xf numFmtId="168" fontId="0" fillId="0" borderId="0" xfId="1" applyNumberFormat="1" applyFont="1"/>
    <xf numFmtId="169" fontId="0" fillId="0" borderId="0" xfId="1" applyNumberFormat="1" applyFont="1"/>
    <xf numFmtId="169" fontId="1" fillId="0" borderId="0" xfId="1" applyNumberFormat="1" applyFont="1"/>
    <xf numFmtId="167" fontId="0" fillId="0" borderId="0" xfId="0" applyNumberFormat="1" applyFont="1"/>
    <xf numFmtId="168" fontId="0" fillId="0" borderId="0" xfId="0" applyNumberFormat="1" applyFont="1"/>
    <xf numFmtId="169" fontId="0" fillId="0" borderId="0" xfId="0" applyNumberFormat="1" applyFont="1"/>
    <xf numFmtId="2" fontId="0" fillId="0" borderId="0" xfId="1" applyNumberFormat="1" applyFont="1"/>
    <xf numFmtId="170" fontId="0" fillId="0" borderId="0" xfId="0" applyNumberFormat="1"/>
    <xf numFmtId="170" fontId="0" fillId="0" borderId="0" xfId="3" applyNumberFormat="1" applyFont="1"/>
    <xf numFmtId="0" fontId="0" fillId="2" borderId="0" xfId="0" applyFill="1"/>
    <xf numFmtId="0" fontId="0" fillId="0" borderId="1" xfId="0" applyFont="1" applyBorder="1"/>
    <xf numFmtId="0" fontId="0" fillId="0" borderId="2" xfId="0" applyFont="1" applyBorder="1"/>
    <xf numFmtId="0" fontId="0" fillId="3" borderId="0" xfId="0" applyFill="1"/>
    <xf numFmtId="166" fontId="0" fillId="3" borderId="0" xfId="3" applyNumberFormat="1" applyFont="1" applyFill="1"/>
    <xf numFmtId="0" fontId="0" fillId="4" borderId="0" xfId="0" applyFill="1"/>
    <xf numFmtId="166" fontId="0" fillId="2" borderId="0" xfId="3" applyNumberFormat="1" applyFont="1" applyFill="1"/>
    <xf numFmtId="171" fontId="0" fillId="2" borderId="0" xfId="3" applyNumberFormat="1" applyFont="1" applyFill="1"/>
    <xf numFmtId="170" fontId="0" fillId="0" borderId="0" xfId="1" applyNumberFormat="1" applyFont="1"/>
    <xf numFmtId="2" fontId="0" fillId="0" borderId="0" xfId="3" applyNumberFormat="1" applyFont="1"/>
    <xf numFmtId="173" fontId="0" fillId="0" borderId="0" xfId="1" applyNumberFormat="1" applyFont="1"/>
    <xf numFmtId="175" fontId="0" fillId="0" borderId="0" xfId="2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3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70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73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70" formatCode="0.0000"/>
    </dxf>
    <dxf>
      <numFmt numFmtId="14" formatCode="0.00%"/>
    </dxf>
    <dxf>
      <numFmt numFmtId="166" formatCode="0.000%"/>
    </dxf>
    <dxf>
      <numFmt numFmtId="166" formatCode="0.000%"/>
    </dxf>
    <dxf>
      <numFmt numFmtId="166" formatCode="0.000%"/>
    </dxf>
    <dxf>
      <numFmt numFmtId="14" formatCode="0.00%"/>
    </dxf>
    <dxf>
      <numFmt numFmtId="170" formatCode="0.0000"/>
    </dxf>
    <dxf>
      <numFmt numFmtId="170" formatCode="0.0000"/>
    </dxf>
    <dxf>
      <numFmt numFmtId="170" formatCode="0.0000"/>
    </dxf>
    <dxf>
      <numFmt numFmtId="175" formatCode="_(&quot;$&quot;* #,##0_);_(&quot;$&quot;* \(#,##0\);_(&quot;$&quot;* &quot;-&quot;??_);_(@_)"/>
    </dxf>
    <dxf>
      <numFmt numFmtId="175" formatCode="_(&quot;$&quot;* #,##0_);_(&quot;$&quot;* \(#,##0\);_(&quot;$&quot;* &quot;-&quot;??_);_(@_)"/>
    </dxf>
    <dxf>
      <numFmt numFmtId="175" formatCode="_(&quot;$&quot;* #,##0_);_(&quot;$&quot;* \(#,##0\);_(&quot;$&quot;* &quot;-&quot;??_);_(@_)"/>
    </dxf>
    <dxf>
      <numFmt numFmtId="14" formatCode="0.00%"/>
    </dxf>
    <dxf>
      <numFmt numFmtId="170" formatCode="0.000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70" formatCode="0.000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70" formatCode="0.0000"/>
    </dxf>
    <dxf>
      <numFmt numFmtId="2" formatCode="0.0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70" formatCode="0.0000"/>
    </dxf>
    <dxf>
      <numFmt numFmtId="14" formatCode="0.00%"/>
    </dxf>
    <dxf>
      <numFmt numFmtId="14" formatCode="0.00%"/>
    </dxf>
    <dxf>
      <numFmt numFmtId="14" formatCode="0.00%"/>
    </dxf>
    <dxf>
      <numFmt numFmtId="170" formatCode="0.0000"/>
    </dxf>
    <dxf>
      <numFmt numFmtId="170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170" formatCode="0.0000"/>
    </dxf>
    <dxf>
      <numFmt numFmtId="170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70" formatCode="0.0000"/>
    </dxf>
    <dxf>
      <numFmt numFmtId="170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8" formatCode="0.00000"/>
    </dxf>
    <dxf>
      <numFmt numFmtId="168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8" formatCode="0.00000"/>
    </dxf>
    <dxf>
      <numFmt numFmtId="168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9" formatCode="0.000000"/>
    </dxf>
    <dxf>
      <numFmt numFmtId="169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6" formatCode="0.000%"/>
    </dxf>
    <dxf>
      <numFmt numFmtId="166" formatCode="0.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14" formatCode="0.00%"/>
    </dxf>
    <dxf>
      <numFmt numFmtId="14" formatCode="0.00%"/>
    </dxf>
    <dxf>
      <numFmt numFmtId="170" formatCode="0.0000"/>
    </dxf>
    <dxf>
      <numFmt numFmtId="170" formatCode="0.0000"/>
    </dxf>
    <dxf>
      <numFmt numFmtId="2" formatCode="0.0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70" formatCode="0.0000"/>
    </dxf>
    <dxf>
      <numFmt numFmtId="170" formatCode="0.0000"/>
    </dxf>
    <dxf>
      <numFmt numFmtId="2" formatCode="0.0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8" formatCode="0.00000"/>
    </dxf>
    <dxf>
      <numFmt numFmtId="168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8" formatCode="0.00000"/>
    </dxf>
    <dxf>
      <numFmt numFmtId="168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9" formatCode="0.000000"/>
    </dxf>
    <dxf>
      <numFmt numFmtId="169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6" formatCode="0.000%"/>
    </dxf>
    <dxf>
      <numFmt numFmtId="166" formatCode="0.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35" formatCode="_(* #,##0.00_);_(* \(#,##0.00\);_(* &quot;-&quot;??_);_(@_)"/>
    </dxf>
    <dxf>
      <numFmt numFmtId="14" formatCode="0.00%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8" formatCode="0.00000"/>
    </dxf>
    <dxf>
      <numFmt numFmtId="168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8" formatCode="0.00000"/>
    </dxf>
    <dxf>
      <numFmt numFmtId="168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9" formatCode="0.000000"/>
    </dxf>
    <dxf>
      <numFmt numFmtId="169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6" formatCode="0.000%"/>
    </dxf>
    <dxf>
      <numFmt numFmtId="166" formatCode="0.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9" formatCode="0.000000"/>
    </dxf>
    <dxf>
      <numFmt numFmtId="169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7" formatCode="0.0000%"/>
    </dxf>
    <dxf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6" formatCode="0.000%"/>
    </dxf>
    <dxf>
      <numFmt numFmtId="166" formatCode="0.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3" formatCode="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3" formatCode="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4" formatCode="_(* #,##0.0000_);_(* \(#,##0.0000\);_(* &quot;-&quot;??_);_(@_)"/>
    </dxf>
    <dxf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4" formatCode="_(* #,##0.0000_);_(* \(#,##0.0000\);_(* &quot;-&quot;??_);_(@_)"/>
    </dxf>
    <dxf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164" formatCode="_(* #,##0.0000_);_(* \(#,##0.0000\);_(* &quot;-&quot;??_);_(@_)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4" formatCode="_(* #,##0.0000_);_(* \(#,##0.0000\);_(* &quot;-&quot;??_);_(@_)"/>
    </dxf>
    <dxf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4" formatCode="_(* #,##0.0000_);_(* \(#,##0.0000\);_(* &quot;-&quot;??_);_(@_)"/>
    </dxf>
    <dxf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164" formatCode="_(* #,##0.0000_);_(* \(#,##0.0000\);_(* &quot;-&quot;??_);_(@_)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4" formatCode="_(* #,##0.0000_);_(* \(#,##0.0000\);_(* &quot;-&quot;??_);_(@_)"/>
    </dxf>
    <dxf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4" formatCode="_(* #,##0.0000_);_(* \(#,##0.0000\);_(* &quot;-&quot;??_);_(@_)"/>
    </dxf>
    <dxf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4" formatCode="_(* #,##0.0000_);_(* \(#,##0.0000\);_(* &quot;-&quot;??_);_(@_)"/>
    </dxf>
    <dxf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4" formatCode="_(* #,##0.0000_);_(* \(#,##0.0000\);_(* &quot;-&quot;??_);_(@_)"/>
    </dxf>
    <dxf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164" formatCode="_(* #,##0.0000_);_(* \(#,##0.0000\);_(* &quot;-&quot;??_);_(@_)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164" formatCode="_(* #,##0.0000_);_(* \(#,##0.0000\);_(* &quot;-&quot;??_);_(@_)"/>
    </dxf>
    <dxf>
      <numFmt numFmtId="0" formatCode="General"/>
    </dxf>
    <dxf>
      <numFmt numFmtId="14" formatCode="0.00%"/>
    </dxf>
    <dxf>
      <numFmt numFmtId="0" formatCode="General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Return vs Volatility with different correlations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Corr .36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covHw3data!$C$3:$C$103</c:f>
              <c:numCache>
                <c:formatCode>0.000%</c:formatCode>
                <c:ptCount val="101"/>
                <c:pt idx="0">
                  <c:v>0.24299999999999999</c:v>
                </c:pt>
                <c:pt idx="1">
                  <c:v>0.24140244913780806</c:v>
                </c:pt>
                <c:pt idx="2">
                  <c:v>0.23982422226565855</c:v>
                </c:pt>
                <c:pt idx="3">
                  <c:v>0.23826570337920644</c:v>
                </c:pt>
                <c:pt idx="4">
                  <c:v>0.23672728172754401</c:v>
                </c:pt>
                <c:pt idx="5">
                  <c:v>0.23520935165783691</c:v>
                </c:pt>
                <c:pt idx="6">
                  <c:v>0.23371231244064142</c:v>
                </c:pt>
                <c:pt idx="7">
                  <c:v>0.2322365680750299</c:v>
                </c:pt>
                <c:pt idx="8">
                  <c:v>0.23078252707267075</c:v>
                </c:pt>
                <c:pt idx="9">
                  <c:v>0.22935060222003342</c:v>
                </c:pt>
                <c:pt idx="10">
                  <c:v>0.22794121031792386</c:v>
                </c:pt>
                <c:pt idx="11">
                  <c:v>0.22655477189759657</c:v>
                </c:pt>
                <c:pt idx="12">
                  <c:v>0.22519171091274207</c:v>
                </c:pt>
                <c:pt idx="13">
                  <c:v>0.22385245440670959</c:v>
                </c:pt>
                <c:pt idx="14">
                  <c:v>0.22253743215439509</c:v>
                </c:pt>
                <c:pt idx="15">
                  <c:v>0.22124707627830928</c:v>
                </c:pt>
                <c:pt idx="16">
                  <c:v>0.21998182083843201</c:v>
                </c:pt>
                <c:pt idx="17">
                  <c:v>0.21874210139556582</c:v>
                </c:pt>
                <c:pt idx="18">
                  <c:v>0.21752835454801744</c:v>
                </c:pt>
                <c:pt idx="19">
                  <c:v>0.21634101744156609</c:v>
                </c:pt>
                <c:pt idx="20">
                  <c:v>0.21518052725281625</c:v>
                </c:pt>
                <c:pt idx="21">
                  <c:v>0.21404732064618795</c:v>
                </c:pt>
                <c:pt idx="22">
                  <c:v>0.21294183320495763</c:v>
                </c:pt>
                <c:pt idx="23">
                  <c:v>0.21186449883694058</c:v>
                </c:pt>
                <c:pt idx="24">
                  <c:v>0.21081574915558848</c:v>
                </c:pt>
                <c:pt idx="25">
                  <c:v>0.20979601283747029</c:v>
                </c:pt>
                <c:pt idx="26">
                  <c:v>0.20880571495730668</c:v>
                </c:pt>
                <c:pt idx="27">
                  <c:v>0.20784527630193569</c:v>
                </c:pt>
                <c:pt idx="28">
                  <c:v>0.20691511266480273</c:v>
                </c:pt>
                <c:pt idx="29">
                  <c:v>0.20601563412278204</c:v>
                </c:pt>
                <c:pt idx="30">
                  <c:v>0.20514724429735828</c:v>
                </c:pt>
                <c:pt idx="31">
                  <c:v>0.20431033960240977</c:v>
                </c:pt>
                <c:pt idx="32">
                  <c:v>0.20350530848105167</c:v>
                </c:pt>
                <c:pt idx="33">
                  <c:v>0.20273253063420285</c:v>
                </c:pt>
                <c:pt idx="34">
                  <c:v>0.20199237624373848</c:v>
                </c:pt>
                <c:pt idx="35">
                  <c:v>0.20128520519327794</c:v>
                </c:pt>
                <c:pt idx="36">
                  <c:v>0.20061136628982915</c:v>
                </c:pt>
                <c:pt idx="37">
                  <c:v>0.19997119648966447</c:v>
                </c:pt>
                <c:pt idx="38">
                  <c:v>0.19936502013193788</c:v>
                </c:pt>
                <c:pt idx="39">
                  <c:v>0.1987931481836635</c:v>
                </c:pt>
                <c:pt idx="40">
                  <c:v>0.1982558774997604</c:v>
                </c:pt>
                <c:pt idx="41">
                  <c:v>0.19775349010192461</c:v>
                </c:pt>
                <c:pt idx="42">
                  <c:v>0.19728625248011578</c:v>
                </c:pt>
                <c:pt idx="43">
                  <c:v>0.19685441492043809</c:v>
                </c:pt>
                <c:pt idx="44">
                  <c:v>0.19645821086315532</c:v>
                </c:pt>
                <c:pt idx="45">
                  <c:v>0.19609785629450413</c:v>
                </c:pt>
                <c:pt idx="46">
                  <c:v>0.19577354917585776</c:v>
                </c:pt>
                <c:pt idx="47">
                  <c:v>0.19548546891364585</c:v>
                </c:pt>
                <c:pt idx="48">
                  <c:v>0.19523377587325408</c:v>
                </c:pt>
                <c:pt idx="49">
                  <c:v>0.19501861093991002</c:v>
                </c:pt>
                <c:pt idx="50">
                  <c:v>0.19484009512931366</c:v>
                </c:pt>
                <c:pt idx="51">
                  <c:v>0.19469832925048944</c:v>
                </c:pt>
                <c:pt idx="52">
                  <c:v>0.1945933936230313</c:v>
                </c:pt>
                <c:pt idx="53">
                  <c:v>0.19452534785057704</c:v>
                </c:pt>
                <c:pt idx="54">
                  <c:v>0.19449423065199647</c:v>
                </c:pt>
                <c:pt idx="55">
                  <c:v>0.19450005975140472</c:v>
                </c:pt>
                <c:pt idx="56">
                  <c:v>0.19454283182772888</c:v>
                </c:pt>
                <c:pt idx="57">
                  <c:v>0.19462252252416212</c:v>
                </c:pt>
                <c:pt idx="58">
                  <c:v>0.19473908651744262</c:v>
                </c:pt>
                <c:pt idx="59">
                  <c:v>0.19489245764649796</c:v>
                </c:pt>
                <c:pt idx="60">
                  <c:v>0.19508254909960554</c:v>
                </c:pt>
                <c:pt idx="61">
                  <c:v>0.1953092536588372</c:v>
                </c:pt>
                <c:pt idx="62">
                  <c:v>0.19557244400019141</c:v>
                </c:pt>
                <c:pt idx="63">
                  <c:v>0.19587197304746795</c:v>
                </c:pt>
                <c:pt idx="64">
                  <c:v>0.19620767437761452</c:v>
                </c:pt>
                <c:pt idx="65">
                  <c:v>0.19657936267497669</c:v>
                </c:pt>
                <c:pt idx="66">
                  <c:v>0.19698683423161056</c:v>
                </c:pt>
                <c:pt idx="67">
                  <c:v>0.19742986749058009</c:v>
                </c:pt>
                <c:pt idx="68">
                  <c:v>0.19790822362895388</c:v>
                </c:pt>
                <c:pt idx="69">
                  <c:v>0.19842164717704575</c:v>
                </c:pt>
                <c:pt idx="70">
                  <c:v>0.19896986667030772</c:v>
                </c:pt>
                <c:pt idx="71">
                  <c:v>0.19955259533018363</c:v>
                </c:pt>
                <c:pt idx="72">
                  <c:v>0.20016953177016733</c:v>
                </c:pt>
                <c:pt idx="73">
                  <c:v>0.2008203607232793</c:v>
                </c:pt>
                <c:pt idx="74">
                  <c:v>0.20150475378718</c:v>
                </c:pt>
                <c:pt idx="75">
                  <c:v>0.20222237018317243</c:v>
                </c:pt>
                <c:pt idx="76">
                  <c:v>0.20297285752541405</c:v>
                </c:pt>
                <c:pt idx="77">
                  <c:v>0.2037558525967488</c:v>
                </c:pt>
                <c:pt idx="78">
                  <c:v>0.2045709821276909</c:v>
                </c:pt>
                <c:pt idx="79">
                  <c:v>0.20541786357523059</c:v>
                </c:pt>
                <c:pt idx="80">
                  <c:v>0.20629610589829375</c:v>
                </c:pt>
                <c:pt idx="81">
                  <c:v>0.20720531032686404</c:v>
                </c:pt>
                <c:pt idx="82">
                  <c:v>0.2081450711219654</c:v>
                </c:pt>
                <c:pt idx="83">
                  <c:v>0.20911497632390666</c:v>
                </c:pt>
                <c:pt idx="84">
                  <c:v>0.21011460848639735</c:v>
                </c:pt>
                <c:pt idx="85">
                  <c:v>0.2111435453943597</c:v>
                </c:pt>
                <c:pt idx="86">
                  <c:v>0.2122013607634787</c:v>
                </c:pt>
                <c:pt idx="87">
                  <c:v>0.2132876249197502</c:v>
                </c:pt>
                <c:pt idx="88">
                  <c:v>0.21440190545750298</c:v>
                </c:pt>
                <c:pt idx="89">
                  <c:v>0.21554376787458285</c:v>
                </c:pt>
                <c:pt idx="90">
                  <c:v>0.21671277618359294</c:v>
                </c:pt>
                <c:pt idx="91">
                  <c:v>0.21790849349828484</c:v>
                </c:pt>
                <c:pt idx="92">
                  <c:v>0.21913048259438497</c:v>
                </c:pt>
                <c:pt idx="93">
                  <c:v>0.2203783064443233</c:v>
                </c:pt>
                <c:pt idx="94">
                  <c:v>0.22165152872550203</c:v>
                </c:pt>
                <c:pt idx="95">
                  <c:v>0.22294971430190275</c:v>
                </c:pt>
                <c:pt idx="96">
                  <c:v>0.22427242967897784</c:v>
                </c:pt>
                <c:pt idx="97">
                  <c:v>0.22561924343191131</c:v>
                </c:pt>
                <c:pt idx="98">
                  <c:v>0.22698972660745698</c:v>
                </c:pt>
                <c:pt idx="99">
                  <c:v>0.22838345309967634</c:v>
                </c:pt>
                <c:pt idx="100">
                  <c:v>0.2298</c:v>
                </c:pt>
              </c:numCache>
            </c:numRef>
          </c:xVal>
          <c:yVal>
            <c:numRef>
              <c:f>covHw3data!$B$3:$B$103</c:f>
              <c:numCache>
                <c:formatCode>0.000%</c:formatCode>
                <c:ptCount val="101"/>
                <c:pt idx="0">
                  <c:v>0.15890000000000001</c:v>
                </c:pt>
                <c:pt idx="1">
                  <c:v>0.158808</c:v>
                </c:pt>
                <c:pt idx="2">
                  <c:v>0.158716</c:v>
                </c:pt>
                <c:pt idx="3">
                  <c:v>0.15862400000000001</c:v>
                </c:pt>
                <c:pt idx="4">
                  <c:v>0.15853200000000001</c:v>
                </c:pt>
                <c:pt idx="5">
                  <c:v>0.15844000000000003</c:v>
                </c:pt>
                <c:pt idx="6">
                  <c:v>0.15834800000000002</c:v>
                </c:pt>
                <c:pt idx="7">
                  <c:v>0.15825600000000001</c:v>
                </c:pt>
                <c:pt idx="8">
                  <c:v>0.158164</c:v>
                </c:pt>
                <c:pt idx="9">
                  <c:v>0.15807199999999999</c:v>
                </c:pt>
                <c:pt idx="10">
                  <c:v>0.15798000000000001</c:v>
                </c:pt>
                <c:pt idx="11">
                  <c:v>0.15788800000000003</c:v>
                </c:pt>
                <c:pt idx="12">
                  <c:v>0.15779600000000002</c:v>
                </c:pt>
                <c:pt idx="13">
                  <c:v>0.15770400000000001</c:v>
                </c:pt>
                <c:pt idx="14">
                  <c:v>0.157612</c:v>
                </c:pt>
                <c:pt idx="15">
                  <c:v>0.15752000000000002</c:v>
                </c:pt>
                <c:pt idx="16">
                  <c:v>0.15742800000000001</c:v>
                </c:pt>
                <c:pt idx="17">
                  <c:v>0.157336</c:v>
                </c:pt>
                <c:pt idx="18">
                  <c:v>0.15724399999999999</c:v>
                </c:pt>
                <c:pt idx="19">
                  <c:v>0.15715200000000001</c:v>
                </c:pt>
                <c:pt idx="20">
                  <c:v>0.15706000000000001</c:v>
                </c:pt>
                <c:pt idx="21">
                  <c:v>0.156968</c:v>
                </c:pt>
                <c:pt idx="22">
                  <c:v>0.15687600000000002</c:v>
                </c:pt>
                <c:pt idx="23">
                  <c:v>0.15678400000000001</c:v>
                </c:pt>
                <c:pt idx="24">
                  <c:v>0.156692</c:v>
                </c:pt>
                <c:pt idx="25">
                  <c:v>0.15660000000000002</c:v>
                </c:pt>
                <c:pt idx="26">
                  <c:v>0.15650800000000001</c:v>
                </c:pt>
                <c:pt idx="27">
                  <c:v>0.156416</c:v>
                </c:pt>
                <c:pt idx="28">
                  <c:v>0.15632400000000002</c:v>
                </c:pt>
                <c:pt idx="29">
                  <c:v>0.15623200000000001</c:v>
                </c:pt>
                <c:pt idx="30">
                  <c:v>0.15614</c:v>
                </c:pt>
                <c:pt idx="31">
                  <c:v>0.15604800000000002</c:v>
                </c:pt>
                <c:pt idx="32">
                  <c:v>0.15595600000000001</c:v>
                </c:pt>
                <c:pt idx="33">
                  <c:v>0.155864</c:v>
                </c:pt>
                <c:pt idx="34">
                  <c:v>0.15577199999999999</c:v>
                </c:pt>
                <c:pt idx="35">
                  <c:v>0.15568000000000001</c:v>
                </c:pt>
                <c:pt idx="36">
                  <c:v>0.155588</c:v>
                </c:pt>
                <c:pt idx="37">
                  <c:v>0.15549600000000002</c:v>
                </c:pt>
                <c:pt idx="38">
                  <c:v>0.15540400000000001</c:v>
                </c:pt>
                <c:pt idx="39">
                  <c:v>0.15531200000000001</c:v>
                </c:pt>
                <c:pt idx="40">
                  <c:v>0.15522000000000002</c:v>
                </c:pt>
                <c:pt idx="41">
                  <c:v>0.15512800000000002</c:v>
                </c:pt>
                <c:pt idx="42">
                  <c:v>0.15503600000000001</c:v>
                </c:pt>
                <c:pt idx="43">
                  <c:v>0.15494400000000003</c:v>
                </c:pt>
                <c:pt idx="44">
                  <c:v>0.15485200000000002</c:v>
                </c:pt>
                <c:pt idx="45">
                  <c:v>0.15476000000000001</c:v>
                </c:pt>
                <c:pt idx="46">
                  <c:v>0.154668</c:v>
                </c:pt>
                <c:pt idx="47">
                  <c:v>0.15457599999999999</c:v>
                </c:pt>
                <c:pt idx="48">
                  <c:v>0.15448400000000001</c:v>
                </c:pt>
                <c:pt idx="49">
                  <c:v>0.15439200000000003</c:v>
                </c:pt>
                <c:pt idx="50">
                  <c:v>0.15429999999999999</c:v>
                </c:pt>
                <c:pt idx="51">
                  <c:v>0.15420800000000001</c:v>
                </c:pt>
                <c:pt idx="52">
                  <c:v>0.154116</c:v>
                </c:pt>
                <c:pt idx="53">
                  <c:v>0.15402399999999999</c:v>
                </c:pt>
                <c:pt idx="54">
                  <c:v>0.15393200000000001</c:v>
                </c:pt>
                <c:pt idx="55">
                  <c:v>0.15384000000000003</c:v>
                </c:pt>
                <c:pt idx="56">
                  <c:v>0.153748</c:v>
                </c:pt>
                <c:pt idx="57">
                  <c:v>0.15365599999999999</c:v>
                </c:pt>
                <c:pt idx="58">
                  <c:v>0.15356399999999998</c:v>
                </c:pt>
                <c:pt idx="59">
                  <c:v>0.153472</c:v>
                </c:pt>
                <c:pt idx="60">
                  <c:v>0.15338000000000002</c:v>
                </c:pt>
                <c:pt idx="61">
                  <c:v>0.15328799999999998</c:v>
                </c:pt>
                <c:pt idx="62">
                  <c:v>0.153196</c:v>
                </c:pt>
                <c:pt idx="63">
                  <c:v>0.15310399999999999</c:v>
                </c:pt>
                <c:pt idx="64">
                  <c:v>0.15301200000000001</c:v>
                </c:pt>
                <c:pt idx="65">
                  <c:v>0.15292</c:v>
                </c:pt>
                <c:pt idx="66">
                  <c:v>0.15282800000000002</c:v>
                </c:pt>
                <c:pt idx="67">
                  <c:v>0.15273599999999998</c:v>
                </c:pt>
                <c:pt idx="68">
                  <c:v>0.152644</c:v>
                </c:pt>
                <c:pt idx="69">
                  <c:v>0.15255200000000002</c:v>
                </c:pt>
                <c:pt idx="70">
                  <c:v>0.15246000000000001</c:v>
                </c:pt>
                <c:pt idx="71">
                  <c:v>0.152368</c:v>
                </c:pt>
                <c:pt idx="72">
                  <c:v>0.15227599999999999</c:v>
                </c:pt>
                <c:pt idx="73">
                  <c:v>0.15218399999999999</c:v>
                </c:pt>
                <c:pt idx="74">
                  <c:v>0.152092</c:v>
                </c:pt>
                <c:pt idx="75">
                  <c:v>0.152</c:v>
                </c:pt>
                <c:pt idx="76">
                  <c:v>0.15190799999999999</c:v>
                </c:pt>
                <c:pt idx="77">
                  <c:v>0.15181600000000001</c:v>
                </c:pt>
                <c:pt idx="78">
                  <c:v>0.151724</c:v>
                </c:pt>
                <c:pt idx="79">
                  <c:v>0.15163199999999999</c:v>
                </c:pt>
                <c:pt idx="80">
                  <c:v>0.15153999999999998</c:v>
                </c:pt>
                <c:pt idx="81">
                  <c:v>0.15144799999999997</c:v>
                </c:pt>
                <c:pt idx="82">
                  <c:v>0.15135599999999999</c:v>
                </c:pt>
                <c:pt idx="83">
                  <c:v>0.15126399999999998</c:v>
                </c:pt>
                <c:pt idx="84">
                  <c:v>0.15117199999999997</c:v>
                </c:pt>
                <c:pt idx="85">
                  <c:v>0.15107999999999999</c:v>
                </c:pt>
                <c:pt idx="86">
                  <c:v>0.15098799999999998</c:v>
                </c:pt>
                <c:pt idx="87">
                  <c:v>0.150896</c:v>
                </c:pt>
                <c:pt idx="88">
                  <c:v>0.15080399999999999</c:v>
                </c:pt>
                <c:pt idx="89">
                  <c:v>0.15071200000000001</c:v>
                </c:pt>
                <c:pt idx="90">
                  <c:v>0.15062</c:v>
                </c:pt>
                <c:pt idx="91">
                  <c:v>0.150528</c:v>
                </c:pt>
                <c:pt idx="92">
                  <c:v>0.15043599999999999</c:v>
                </c:pt>
                <c:pt idx="93">
                  <c:v>0.15034399999999998</c:v>
                </c:pt>
                <c:pt idx="94">
                  <c:v>0.150252</c:v>
                </c:pt>
                <c:pt idx="95">
                  <c:v>0.15015999999999999</c:v>
                </c:pt>
                <c:pt idx="96">
                  <c:v>0.15006799999999998</c:v>
                </c:pt>
                <c:pt idx="97">
                  <c:v>0.149976</c:v>
                </c:pt>
                <c:pt idx="98">
                  <c:v>0.14988399999999999</c:v>
                </c:pt>
                <c:pt idx="99">
                  <c:v>0.14979199999999998</c:v>
                </c:pt>
                <c:pt idx="100">
                  <c:v>0.1497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9D-4B8C-9631-53E1010DF26D}"/>
            </c:ext>
          </c:extLst>
        </c:ser>
        <c:ser>
          <c:idx val="1"/>
          <c:order val="1"/>
          <c:tx>
            <c:v>Corr .50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5546DD3E-6C38-4588-BC37-7394D37D3B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A89D-4B8C-9631-53E1010DF26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F550AC5-ED97-4A3C-82BB-CBBDD1A15E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A89D-4B8C-9631-53E1010DF26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469D964-7C07-458C-944B-143E31EB9C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A89D-4B8C-9631-53E1010DF26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0239713-D04C-47A9-8937-BD9B479F5A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A89D-4B8C-9631-53E1010DF26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FE7718F-7923-41A4-A39A-79130B55D7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A89D-4B8C-9631-53E1010DF26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634DD1D-CDD0-4C5A-99FF-7AAC238C69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A89D-4B8C-9631-53E1010DF26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86A0263-2A9B-43A7-A2AF-6774B48374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A89D-4B8C-9631-53E1010DF26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5F8506E-6D4D-41F7-9DAD-AC0CF962AE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A89D-4B8C-9631-53E1010DF26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BEB418D-7E5F-415F-8487-89721300A9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A89D-4B8C-9631-53E1010DF26D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92CDFA4F-D3CF-4F25-B786-D636DDEA17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A89D-4B8C-9631-53E1010DF26D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94269597-8AA6-4598-A1A8-BB6F4A3552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A89D-4B8C-9631-53E1010DF26D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224CFF0C-FB32-4206-AC91-18C503CC4C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A89D-4B8C-9631-53E1010DF26D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B8ACF232-282A-422E-8651-9D789547E1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A89D-4B8C-9631-53E1010DF26D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E5EDD2AD-68CD-4FE2-9072-2DC399E195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A89D-4B8C-9631-53E1010DF26D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725B8A45-3341-4C0B-9490-01B87C7668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A89D-4B8C-9631-53E1010DF26D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9B84BC46-FCDA-4A0A-B4FB-4755FDAF9A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A89D-4B8C-9631-53E1010DF26D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E00DB2C8-6778-464E-9363-4BFE8281E5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A89D-4B8C-9631-53E1010DF26D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7ABCEC7C-712D-4325-9EE2-A64177D8BE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A89D-4B8C-9631-53E1010DF26D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EB59660D-C0E9-40AF-9CB7-256035B2F1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A89D-4B8C-9631-53E1010DF26D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8BDC5895-F53B-4592-AA54-1D20900C06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A89D-4B8C-9631-53E1010DF26D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982D65CF-4292-4AE3-AB32-150DF73A8F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A89D-4B8C-9631-53E1010DF26D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AE9B8273-C2A8-4EE0-9B41-60352A5B7A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A89D-4B8C-9631-53E1010DF26D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471D99AE-A4B5-407B-A7A1-4E65A4F0FA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A89D-4B8C-9631-53E1010DF26D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5258CF8A-CD79-4410-A9EC-A8A86F3B7D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A89D-4B8C-9631-53E1010DF26D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3C3E9BE3-415D-41A6-968E-ABF8B674BF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A89D-4B8C-9631-53E1010DF26D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A18004C3-4763-4F2C-8AF9-3F431DAFFB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A89D-4B8C-9631-53E1010DF26D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B851863A-1C76-4218-8511-6D75C5DDD0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A89D-4B8C-9631-53E1010DF26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B10E785F-836E-4973-9851-69755D9EC9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A89D-4B8C-9631-53E1010DF26D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A5DB148C-6FD6-492F-926E-A807B66ED9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A89D-4B8C-9631-53E1010DF26D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FF892B70-19F8-40CD-AF54-42BFBCAD4F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A89D-4B8C-9631-53E1010DF26D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2662B45F-FDB5-4077-AEFA-A4C20E7BBF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A89D-4B8C-9631-53E1010DF26D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A9803C19-D934-4BDD-AF92-D038EFE11B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A89D-4B8C-9631-53E1010DF26D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8B5F7519-2D4A-4F81-977F-629BFAA1DF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A89D-4B8C-9631-53E1010DF26D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13DE5BA7-24AF-479F-ADD7-D580CBCF23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A89D-4B8C-9631-53E1010DF26D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86A922EC-BE03-4DDD-832B-56BA766A74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A89D-4B8C-9631-53E1010DF26D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FFB47D17-5EEF-4987-BB11-36913091F9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A89D-4B8C-9631-53E1010DF26D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849B78C2-D93C-4225-8097-C04C8C3950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A89D-4B8C-9631-53E1010DF26D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14FD3B05-3183-48B4-8656-0E26579BA8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A89D-4B8C-9631-53E1010DF26D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0B301E80-A101-415E-A9C7-F7D0EB6B08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A89D-4B8C-9631-53E1010DF26D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BC159138-0EDA-41AB-A95B-583B794C9E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A89D-4B8C-9631-53E1010DF26D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FB551726-75AF-425B-8960-B189C8FF3F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A89D-4B8C-9631-53E1010DF26D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02C38043-120D-426B-8833-2B48DD2191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A89D-4B8C-9631-53E1010DF26D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EC697B59-A13B-49CE-8EC4-1B078B03A1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A89D-4B8C-9631-53E1010DF26D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AD33B331-044E-4DEC-9135-0CCCFC2EEF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A89D-4B8C-9631-53E1010DF26D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2071E286-9B08-4BE6-B735-2B39545DCB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A89D-4B8C-9631-53E1010DF26D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CF9000AA-D817-4682-85ED-27928F44D0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A89D-4B8C-9631-53E1010DF26D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23150F83-8A76-442F-B288-03F9841E82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A89D-4B8C-9631-53E1010DF26D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B5B0B3A1-AC06-4C1F-BDA8-84308A1B69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A89D-4B8C-9631-53E1010DF26D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EFD6BFB0-DC42-48E0-BD8D-D201E621B3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A89D-4B8C-9631-53E1010DF26D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CE74049C-6365-4578-A979-137C89BC25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A89D-4B8C-9631-53E1010DF26D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319B60DB-4495-4981-959E-ACF78C754C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A89D-4B8C-9631-53E1010DF26D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16C070FF-F401-4D7F-8E4A-2ECED647E3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A89D-4B8C-9631-53E1010DF26D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34BFC6B0-A5C6-42D4-A369-315FE51884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A89D-4B8C-9631-53E1010DF26D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DAF444B0-7668-42FE-B392-C92C3E77EB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A89D-4B8C-9631-53E1010DF26D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F67A0D88-F5A0-4174-A9D5-2FDF3A58A7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A89D-4B8C-9631-53E1010DF26D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599B789E-E7E1-484B-80A3-2F67ACF5D5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A89D-4B8C-9631-53E1010DF26D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A7A8FDE4-D3F5-4A32-A0E7-7F8E4C66C6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A89D-4B8C-9631-53E1010DF26D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2CBB1A62-1848-4422-8F08-C88B04B50B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A89D-4B8C-9631-53E1010DF26D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CD196D26-BF39-4F37-A722-3C8B73D89F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A89D-4B8C-9631-53E1010DF26D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CF562CAF-0615-4AFA-A9AC-D794A93A0E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A89D-4B8C-9631-53E1010DF26D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86F521B4-C975-47F2-B001-6C29C41839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A89D-4B8C-9631-53E1010DF26D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B6D93F50-D0AB-4845-B2F4-5A41BCA478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A89D-4B8C-9631-53E1010DF26D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7A14C5AB-62A0-4302-88C0-AAFFF5A4D9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A89D-4B8C-9631-53E1010DF26D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F8C95B39-3F4C-45EA-9AAF-1D30C6DCBB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A89D-4B8C-9631-53E1010DF26D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2F0ABDE2-5FA1-456F-A76C-31B77AC2DA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A89D-4B8C-9631-53E1010DF26D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40728121-34E1-4ECB-B2DD-15461F552A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A89D-4B8C-9631-53E1010DF26D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3463F136-4702-408B-9C3C-404EB2C638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A89D-4B8C-9631-53E1010DF26D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60217F84-6FB4-43F9-9D7E-008993D9EE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A89D-4B8C-9631-53E1010DF26D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12587F89-4787-40CE-9C2A-FB16455AF6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A89D-4B8C-9631-53E1010DF26D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36C61D10-5241-421B-8946-B796B2BDE7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A89D-4B8C-9631-53E1010DF26D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135C79AF-F7ED-4EE6-8630-A538D6279F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A89D-4B8C-9631-53E1010DF26D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4C9520DB-8BC7-4590-A9E8-57DABFF1AB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A89D-4B8C-9631-53E1010DF26D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58173E57-200F-4E54-AF12-EE6592436E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A89D-4B8C-9631-53E1010DF26D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59A55068-7B23-4A79-8156-23EC562B7A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A89D-4B8C-9631-53E1010DF26D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B7403EF6-64A9-410E-B1E2-37EB587C19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A89D-4B8C-9631-53E1010DF26D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AB663849-4653-41E1-AD8B-E2DCCF4B4D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A89D-4B8C-9631-53E1010DF26D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D3EA022C-8BE3-4D47-8BF6-582FD3B2B8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A89D-4B8C-9631-53E1010DF26D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0CAF838E-881A-4926-8632-C7928F8185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A89D-4B8C-9631-53E1010DF26D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DC3B0EA7-E9BB-4246-A670-EC2DC8230C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A89D-4B8C-9631-53E1010DF26D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582A26FE-7D19-46A6-8AEC-3B07CEAB8D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A89D-4B8C-9631-53E1010DF26D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9CEE8AB5-5F39-41B4-B4AD-44C2771B37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A89D-4B8C-9631-53E1010DF26D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19D6A829-DA3D-478A-8EC7-03FDFFE4FE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A89D-4B8C-9631-53E1010DF26D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2CD9AD94-227E-473A-A556-11427797C0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A89D-4B8C-9631-53E1010DF26D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E143CD50-B47B-40CD-AECF-8B6D141535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A89D-4B8C-9631-53E1010DF26D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A23CEAB5-62FE-449E-B198-BEC8213A64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A89D-4B8C-9631-53E1010DF26D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14B8C6E1-7D34-42A9-A94D-9D3BB9FFC5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A89D-4B8C-9631-53E1010DF26D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F7B7C73E-A02C-4177-848D-52E30E2E31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A89D-4B8C-9631-53E1010DF26D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C5C501B8-164A-4F18-8E0F-6E5C31F196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A89D-4B8C-9631-53E1010DF26D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F8847FB3-64CA-49AA-99FA-AF994A9210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A89D-4B8C-9631-53E1010DF26D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6BB4EDD9-8C50-4C72-AA44-5D9F17580F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A89D-4B8C-9631-53E1010DF26D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361FE5B0-19F2-4857-B02D-F69C687AB1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A89D-4B8C-9631-53E1010DF26D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9D3E5009-7F4F-4CFC-8906-2137E3CC59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A89D-4B8C-9631-53E1010DF26D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D906CB0A-1F33-4239-984D-2EF36013D3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A89D-4B8C-9631-53E1010DF26D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98D1921D-19CE-45DC-8CA8-F083869FE7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A89D-4B8C-9631-53E1010DF26D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39B36489-8B10-441B-99F5-B139A6261B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A89D-4B8C-9631-53E1010DF26D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2A7365C9-FC21-4310-8A59-E223CC1856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A89D-4B8C-9631-53E1010DF26D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2FE51C8B-D905-4213-924A-6E72E9A43E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A89D-4B8C-9631-53E1010DF26D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DFD286E3-2D02-4B36-9E6A-6E59260C57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A89D-4B8C-9631-53E1010DF26D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31072938-8E44-429D-B86B-B42DC30C48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A89D-4B8C-9631-53E1010DF26D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9EDEC461-4770-43DC-8CCA-EE53DEAA9B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A89D-4B8C-9631-53E1010DF26D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8511CF7D-C8B3-477D-94F2-4442C0BAB8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A89D-4B8C-9631-53E1010DF26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covHw3data!$E$3:$E$103</c:f>
              <c:numCache>
                <c:formatCode>0.000%</c:formatCode>
                <c:ptCount val="101"/>
                <c:pt idx="0">
                  <c:v>0.24299999999999999</c:v>
                </c:pt>
                <c:pt idx="1">
                  <c:v>0.2417271924380871</c:v>
                </c:pt>
                <c:pt idx="2">
                  <c:v>0.24047094264380467</c:v>
                </c:pt>
                <c:pt idx="3">
                  <c:v>0.23923151146117855</c:v>
                </c:pt>
                <c:pt idx="4">
                  <c:v>0.23800916163879071</c:v>
                </c:pt>
                <c:pt idx="5">
                  <c:v>0.23680415769154053</c:v>
                </c:pt>
                <c:pt idx="6">
                  <c:v>0.23561676575320356</c:v>
                </c:pt>
                <c:pt idx="7">
                  <c:v>0.23444725341961251</c:v>
                </c:pt>
                <c:pt idx="8">
                  <c:v>0.23329588958230704</c:v>
                </c:pt>
                <c:pt idx="9">
                  <c:v>0.23216294425252276</c:v>
                </c:pt>
                <c:pt idx="10">
                  <c:v>0.23104868837541578</c:v>
                </c:pt>
                <c:pt idx="11">
                  <c:v>0.22995339363444933</c:v>
                </c:pt>
                <c:pt idx="12">
                  <c:v>0.22887733224589979</c:v>
                </c:pt>
                <c:pt idx="13">
                  <c:v>0.22782077674347437</c:v>
                </c:pt>
                <c:pt idx="14">
                  <c:v>0.22678399975306898</c:v>
                </c:pt>
                <c:pt idx="15">
                  <c:v>0.22576727375773487</c:v>
                </c:pt>
                <c:pt idx="16">
                  <c:v>0.22477087085296441</c:v>
                </c:pt>
                <c:pt idx="17">
                  <c:v>0.2237950624924509</c:v>
                </c:pt>
                <c:pt idx="18">
                  <c:v>0.22284011922452382</c:v>
                </c:pt>
                <c:pt idx="19">
                  <c:v>0.22190631041951017</c:v>
                </c:pt>
                <c:pt idx="20">
                  <c:v>0.22099390398832272</c:v>
                </c:pt>
                <c:pt idx="21">
                  <c:v>0.22010316609263031</c:v>
                </c:pt>
                <c:pt idx="22">
                  <c:v>0.21923436084701686</c:v>
                </c:pt>
                <c:pt idx="23">
                  <c:v>0.21838775001359392</c:v>
                </c:pt>
                <c:pt idx="24">
                  <c:v>0.21756359268958583</c:v>
                </c:pt>
                <c:pt idx="25">
                  <c:v>0.21676214498846424</c:v>
                </c:pt>
                <c:pt idx="26">
                  <c:v>0.21598365971526642</c:v>
                </c:pt>
                <c:pt idx="27">
                  <c:v>0.21522838603678651</c:v>
                </c:pt>
                <c:pt idx="28">
                  <c:v>0.21449656914738752</c:v>
                </c:pt>
                <c:pt idx="29">
                  <c:v>0.21378844993123458</c:v>
                </c:pt>
                <c:pt idx="30">
                  <c:v>0.21310426462180429</c:v>
                </c:pt>
                <c:pt idx="31">
                  <c:v>0.2124442444595758</c:v>
                </c:pt>
                <c:pt idx="32">
                  <c:v>0.21180861534885684</c:v>
                </c:pt>
                <c:pt idx="33">
                  <c:v>0.21119759751474446</c:v>
                </c:pt>
                <c:pt idx="34">
                  <c:v>0.21061140516125904</c:v>
                </c:pt>
                <c:pt idx="35">
                  <c:v>0.21005024613172915</c:v>
                </c:pt>
                <c:pt idx="36">
                  <c:v>0.20951432157253594</c:v>
                </c:pt>
                <c:pt idx="37">
                  <c:v>0.20900382560135114</c:v>
                </c:pt>
                <c:pt idx="38">
                  <c:v>0.20851894498102563</c:v>
                </c:pt>
                <c:pt idx="39">
                  <c:v>0.20805985880029815</c:v>
                </c:pt>
                <c:pt idx="40">
                  <c:v>0.2076267381625016</c:v>
                </c:pt>
                <c:pt idx="41">
                  <c:v>0.20721974588344613</c:v>
                </c:pt>
                <c:pt idx="42">
                  <c:v>0.20683903619964972</c:v>
                </c:pt>
                <c:pt idx="43">
                  <c:v>0.20648475448807352</c:v>
                </c:pt>
                <c:pt idx="44">
                  <c:v>0.20615703699849783</c:v>
                </c:pt>
                <c:pt idx="45">
                  <c:v>0.2058560105996422</c:v>
                </c:pt>
                <c:pt idx="46">
                  <c:v>0.20558179254009826</c:v>
                </c:pt>
                <c:pt idx="47">
                  <c:v>0.20533449022509589</c:v>
                </c:pt>
                <c:pt idx="48">
                  <c:v>0.20511420101007147</c:v>
                </c:pt>
                <c:pt idx="49">
                  <c:v>0.20492101201194571</c:v>
                </c:pt>
                <c:pt idx="50">
                  <c:v>0.20475499993895144</c:v>
                </c:pt>
                <c:pt idx="51">
                  <c:v>0.20461623093977663</c:v>
                </c:pt>
                <c:pt idx="52">
                  <c:v>0.2045047604727088</c:v>
                </c:pt>
                <c:pt idx="53">
                  <c:v>0.20442063319537979</c:v>
                </c:pt>
                <c:pt idx="54">
                  <c:v>0.20436388287561968</c:v>
                </c:pt>
                <c:pt idx="55">
                  <c:v>0.20433453232383411</c:v>
                </c:pt>
                <c:pt idx="56">
                  <c:v>0.20433259334721907</c:v>
                </c:pt>
                <c:pt idx="57">
                  <c:v>0.20435806672602871</c:v>
                </c:pt>
                <c:pt idx="58">
                  <c:v>0.20441094221200587</c:v>
                </c:pt>
                <c:pt idx="59">
                  <c:v>0.20449119854898401</c:v>
                </c:pt>
                <c:pt idx="60">
                  <c:v>0.20459880351556314</c:v>
                </c:pt>
                <c:pt idx="61">
                  <c:v>0.20473371398966025</c:v>
                </c:pt>
                <c:pt idx="62">
                  <c:v>0.20489587603463374</c:v>
                </c:pt>
                <c:pt idx="63">
                  <c:v>0.20508522500658111</c:v>
                </c:pt>
                <c:pt idx="64">
                  <c:v>0.20530168568231486</c:v>
                </c:pt>
                <c:pt idx="65">
                  <c:v>0.20554517240742973</c:v>
                </c:pt>
                <c:pt idx="66">
                  <c:v>0.20581558926378732</c:v>
                </c:pt>
                <c:pt idx="67">
                  <c:v>0.20611283025566363</c:v>
                </c:pt>
                <c:pt idx="68">
                  <c:v>0.20643677951372916</c:v>
                </c:pt>
                <c:pt idx="69">
                  <c:v>0.20678731151596322</c:v>
                </c:pt>
                <c:pt idx="70">
                  <c:v>0.20716429132454275</c:v>
                </c:pt>
                <c:pt idx="71">
                  <c:v>0.20756757483768998</c:v>
                </c:pt>
                <c:pt idx="72">
                  <c:v>0.20799700905541893</c:v>
                </c:pt>
                <c:pt idx="73">
                  <c:v>0.20845243235808025</c:v>
                </c:pt>
                <c:pt idx="74">
                  <c:v>0.20893367479657277</c:v>
                </c:pt>
                <c:pt idx="75">
                  <c:v>0.20944055839306774</c:v>
                </c:pt>
                <c:pt idx="76">
                  <c:v>0.20997289745107589</c:v>
                </c:pt>
                <c:pt idx="77">
                  <c:v>0.2105304988736787</c:v>
                </c:pt>
                <c:pt idx="78">
                  <c:v>0.21111316248874684</c:v>
                </c:pt>
                <c:pt idx="79">
                  <c:v>0.21172068137997296</c:v>
                </c:pt>
                <c:pt idx="80">
                  <c:v>0.21235284222256132</c:v>
                </c:pt>
                <c:pt idx="81">
                  <c:v>0.21300942562243583</c:v>
                </c:pt>
                <c:pt idx="82">
                  <c:v>0.21369020645785344</c:v>
                </c:pt>
                <c:pt idx="83">
                  <c:v>0.21439495422234178</c:v>
                </c:pt>
                <c:pt idx="84">
                  <c:v>0.21512343336791562</c:v>
                </c:pt>
                <c:pt idx="85">
                  <c:v>0.21587540364756708</c:v>
                </c:pt>
                <c:pt idx="86">
                  <c:v>0.21665062045606986</c:v>
                </c:pt>
                <c:pt idx="87">
                  <c:v>0.21744883516818395</c:v>
                </c:pt>
                <c:pt idx="88">
                  <c:v>0.21826979547340039</c:v>
                </c:pt>
                <c:pt idx="89">
                  <c:v>0.21911324570641555</c:v>
                </c:pt>
                <c:pt idx="90">
                  <c:v>0.2199789271725818</c:v>
                </c:pt>
                <c:pt idx="91">
                  <c:v>0.22086657846763516</c:v>
                </c:pt>
                <c:pt idx="92">
                  <c:v>0.22177593579105925</c:v>
                </c:pt>
                <c:pt idx="93">
                  <c:v>0.22270673325249968</c:v>
                </c:pt>
                <c:pt idx="94">
                  <c:v>0.22365870317070169</c:v>
                </c:pt>
                <c:pt idx="95">
                  <c:v>0.22463157636449962</c:v>
                </c:pt>
                <c:pt idx="96">
                  <c:v>0.2256250824354421</c:v>
                </c:pt>
                <c:pt idx="97">
                  <c:v>0.22663895004169085</c:v>
                </c:pt>
                <c:pt idx="98">
                  <c:v>0.22767290716288585</c:v>
                </c:pt>
                <c:pt idx="99">
                  <c:v>0.22872668135571778</c:v>
                </c:pt>
                <c:pt idx="100">
                  <c:v>0.2298</c:v>
                </c:pt>
              </c:numCache>
            </c:numRef>
          </c:xVal>
          <c:yVal>
            <c:numRef>
              <c:f>covHw3data!$D$3:$D$103</c:f>
              <c:numCache>
                <c:formatCode>0.000%</c:formatCode>
                <c:ptCount val="101"/>
                <c:pt idx="0">
                  <c:v>0.15890000000000001</c:v>
                </c:pt>
                <c:pt idx="1">
                  <c:v>0.158808</c:v>
                </c:pt>
                <c:pt idx="2">
                  <c:v>0.158716</c:v>
                </c:pt>
                <c:pt idx="3">
                  <c:v>0.15862400000000001</c:v>
                </c:pt>
                <c:pt idx="4">
                  <c:v>0.15853200000000001</c:v>
                </c:pt>
                <c:pt idx="5">
                  <c:v>0.15844000000000003</c:v>
                </c:pt>
                <c:pt idx="6">
                  <c:v>0.15834800000000002</c:v>
                </c:pt>
                <c:pt idx="7">
                  <c:v>0.15825600000000001</c:v>
                </c:pt>
                <c:pt idx="8">
                  <c:v>0.158164</c:v>
                </c:pt>
                <c:pt idx="9">
                  <c:v>0.15807199999999999</c:v>
                </c:pt>
                <c:pt idx="10">
                  <c:v>0.15798000000000001</c:v>
                </c:pt>
                <c:pt idx="11">
                  <c:v>0.15788800000000003</c:v>
                </c:pt>
                <c:pt idx="12">
                  <c:v>0.15779600000000002</c:v>
                </c:pt>
                <c:pt idx="13">
                  <c:v>0.15770400000000001</c:v>
                </c:pt>
                <c:pt idx="14">
                  <c:v>0.157612</c:v>
                </c:pt>
                <c:pt idx="15">
                  <c:v>0.15752000000000002</c:v>
                </c:pt>
                <c:pt idx="16">
                  <c:v>0.15742800000000001</c:v>
                </c:pt>
                <c:pt idx="17">
                  <c:v>0.157336</c:v>
                </c:pt>
                <c:pt idx="18">
                  <c:v>0.15724399999999999</c:v>
                </c:pt>
                <c:pt idx="19">
                  <c:v>0.15715200000000001</c:v>
                </c:pt>
                <c:pt idx="20">
                  <c:v>0.15706000000000001</c:v>
                </c:pt>
                <c:pt idx="21">
                  <c:v>0.156968</c:v>
                </c:pt>
                <c:pt idx="22">
                  <c:v>0.15687600000000002</c:v>
                </c:pt>
                <c:pt idx="23">
                  <c:v>0.15678400000000001</c:v>
                </c:pt>
                <c:pt idx="24">
                  <c:v>0.156692</c:v>
                </c:pt>
                <c:pt idx="25">
                  <c:v>0.15660000000000002</c:v>
                </c:pt>
                <c:pt idx="26">
                  <c:v>0.15650800000000001</c:v>
                </c:pt>
                <c:pt idx="27">
                  <c:v>0.156416</c:v>
                </c:pt>
                <c:pt idx="28">
                  <c:v>0.15632400000000002</c:v>
                </c:pt>
                <c:pt idx="29">
                  <c:v>0.15623200000000001</c:v>
                </c:pt>
                <c:pt idx="30">
                  <c:v>0.15614</c:v>
                </c:pt>
                <c:pt idx="31">
                  <c:v>0.15604800000000002</c:v>
                </c:pt>
                <c:pt idx="32">
                  <c:v>0.15595600000000001</c:v>
                </c:pt>
                <c:pt idx="33">
                  <c:v>0.155864</c:v>
                </c:pt>
                <c:pt idx="34">
                  <c:v>0.15577199999999999</c:v>
                </c:pt>
                <c:pt idx="35">
                  <c:v>0.15568000000000001</c:v>
                </c:pt>
                <c:pt idx="36">
                  <c:v>0.155588</c:v>
                </c:pt>
                <c:pt idx="37">
                  <c:v>0.15549600000000002</c:v>
                </c:pt>
                <c:pt idx="38">
                  <c:v>0.15540400000000001</c:v>
                </c:pt>
                <c:pt idx="39">
                  <c:v>0.15531200000000001</c:v>
                </c:pt>
                <c:pt idx="40">
                  <c:v>0.15522000000000002</c:v>
                </c:pt>
                <c:pt idx="41">
                  <c:v>0.15512800000000002</c:v>
                </c:pt>
                <c:pt idx="42">
                  <c:v>0.15503600000000001</c:v>
                </c:pt>
                <c:pt idx="43">
                  <c:v>0.15494400000000003</c:v>
                </c:pt>
                <c:pt idx="44">
                  <c:v>0.15485200000000002</c:v>
                </c:pt>
                <c:pt idx="45">
                  <c:v>0.15476000000000001</c:v>
                </c:pt>
                <c:pt idx="46">
                  <c:v>0.154668</c:v>
                </c:pt>
                <c:pt idx="47">
                  <c:v>0.15457599999999999</c:v>
                </c:pt>
                <c:pt idx="48">
                  <c:v>0.15448400000000001</c:v>
                </c:pt>
                <c:pt idx="49">
                  <c:v>0.15439200000000003</c:v>
                </c:pt>
                <c:pt idx="50">
                  <c:v>0.15429999999999999</c:v>
                </c:pt>
                <c:pt idx="51">
                  <c:v>0.15420800000000001</c:v>
                </c:pt>
                <c:pt idx="52">
                  <c:v>0.154116</c:v>
                </c:pt>
                <c:pt idx="53">
                  <c:v>0.15402399999999999</c:v>
                </c:pt>
                <c:pt idx="54">
                  <c:v>0.15393200000000001</c:v>
                </c:pt>
                <c:pt idx="55">
                  <c:v>0.15384000000000003</c:v>
                </c:pt>
                <c:pt idx="56">
                  <c:v>0.153748</c:v>
                </c:pt>
                <c:pt idx="57">
                  <c:v>0.15365599999999999</c:v>
                </c:pt>
                <c:pt idx="58">
                  <c:v>0.15356399999999998</c:v>
                </c:pt>
                <c:pt idx="59">
                  <c:v>0.153472</c:v>
                </c:pt>
                <c:pt idx="60">
                  <c:v>0.15338000000000002</c:v>
                </c:pt>
                <c:pt idx="61">
                  <c:v>0.15328799999999998</c:v>
                </c:pt>
                <c:pt idx="62">
                  <c:v>0.153196</c:v>
                </c:pt>
                <c:pt idx="63">
                  <c:v>0.15310399999999999</c:v>
                </c:pt>
                <c:pt idx="64">
                  <c:v>0.15301200000000001</c:v>
                </c:pt>
                <c:pt idx="65">
                  <c:v>0.15292</c:v>
                </c:pt>
                <c:pt idx="66">
                  <c:v>0.15282800000000002</c:v>
                </c:pt>
                <c:pt idx="67">
                  <c:v>0.15273599999999998</c:v>
                </c:pt>
                <c:pt idx="68">
                  <c:v>0.152644</c:v>
                </c:pt>
                <c:pt idx="69">
                  <c:v>0.15255200000000002</c:v>
                </c:pt>
                <c:pt idx="70">
                  <c:v>0.15246000000000001</c:v>
                </c:pt>
                <c:pt idx="71">
                  <c:v>0.152368</c:v>
                </c:pt>
                <c:pt idx="72">
                  <c:v>0.15227599999999999</c:v>
                </c:pt>
                <c:pt idx="73">
                  <c:v>0.15218399999999999</c:v>
                </c:pt>
                <c:pt idx="74">
                  <c:v>0.152092</c:v>
                </c:pt>
                <c:pt idx="75">
                  <c:v>0.152</c:v>
                </c:pt>
                <c:pt idx="76">
                  <c:v>0.15190799999999999</c:v>
                </c:pt>
                <c:pt idx="77">
                  <c:v>0.15181600000000001</c:v>
                </c:pt>
                <c:pt idx="78">
                  <c:v>0.151724</c:v>
                </c:pt>
                <c:pt idx="79">
                  <c:v>0.15163199999999999</c:v>
                </c:pt>
                <c:pt idx="80">
                  <c:v>0.15153999999999998</c:v>
                </c:pt>
                <c:pt idx="81">
                  <c:v>0.15144799999999997</c:v>
                </c:pt>
                <c:pt idx="82">
                  <c:v>0.15135599999999999</c:v>
                </c:pt>
                <c:pt idx="83">
                  <c:v>0.15126399999999998</c:v>
                </c:pt>
                <c:pt idx="84">
                  <c:v>0.15117199999999997</c:v>
                </c:pt>
                <c:pt idx="85">
                  <c:v>0.15107999999999999</c:v>
                </c:pt>
                <c:pt idx="86">
                  <c:v>0.15098799999999998</c:v>
                </c:pt>
                <c:pt idx="87">
                  <c:v>0.150896</c:v>
                </c:pt>
                <c:pt idx="88">
                  <c:v>0.15080399999999999</c:v>
                </c:pt>
                <c:pt idx="89">
                  <c:v>0.15071200000000001</c:v>
                </c:pt>
                <c:pt idx="90">
                  <c:v>0.15062</c:v>
                </c:pt>
                <c:pt idx="91">
                  <c:v>0.150528</c:v>
                </c:pt>
                <c:pt idx="92">
                  <c:v>0.15043599999999999</c:v>
                </c:pt>
                <c:pt idx="93">
                  <c:v>0.15034399999999998</c:v>
                </c:pt>
                <c:pt idx="94">
                  <c:v>0.150252</c:v>
                </c:pt>
                <c:pt idx="95">
                  <c:v>0.15015999999999999</c:v>
                </c:pt>
                <c:pt idx="96">
                  <c:v>0.15006799999999998</c:v>
                </c:pt>
                <c:pt idx="97">
                  <c:v>0.149976</c:v>
                </c:pt>
                <c:pt idx="98">
                  <c:v>0.14988399999999999</c:v>
                </c:pt>
                <c:pt idx="99">
                  <c:v>0.14979199999999998</c:v>
                </c:pt>
                <c:pt idx="100">
                  <c:v>0.1497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datalabelsRange>
                <c15:f>covHw3data!$F$3:$F$103</c15:f>
                <c15:dlblRangeCache>
                  <c:ptCount val="101"/>
                  <c:pt idx="0">
                    <c:v>UK only</c:v>
                  </c:pt>
                  <c:pt idx="50">
                    <c:v>50-50</c:v>
                  </c:pt>
                  <c:pt idx="100">
                    <c:v>Japan only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A89D-4B8C-9631-53E1010DF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527151"/>
        <c:axId val="798017951"/>
      </c:scatterChart>
      <c:valAx>
        <c:axId val="557527151"/>
        <c:scaling>
          <c:orientation val="minMax"/>
          <c:min val="0.1900000000000000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017951"/>
        <c:crosses val="autoZero"/>
        <c:crossBetween val="midCat"/>
      </c:valAx>
      <c:valAx>
        <c:axId val="79801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527151"/>
        <c:crossesAt val="0.15000000000000002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10</xdr:col>
      <xdr:colOff>190500</xdr:colOff>
      <xdr:row>22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990B27-CC9F-4915-B29E-CB1BF37CBB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D2" totalsRowShown="0">
  <autoFilter ref="A1:D2"/>
  <tableColumns count="4">
    <tableColumn id="1" name="P0" dataCellStyle="Currency"/>
    <tableColumn id="2" name="P1" dataCellStyle="Currency"/>
    <tableColumn id="3" name="CashFlows" dataCellStyle="Currency"/>
    <tableColumn id="4" name="PeriodRet" dataDxfId="352" dataCellStyle="Percent">
      <calculatedColumnFormula>($B2+$C2)/$A2-1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F1:L7" totalsRowCount="1">
  <autoFilter ref="F1:L6"/>
  <tableColumns count="7">
    <tableColumn id="1" name="Yr" totalsRowLabel="Expected"/>
    <tableColumn id="2" name="Return" totalsRowFunction="average" dataDxfId="351" totalsRowDxfId="350" dataCellStyle="Percent"/>
    <tableColumn id="3" name="GrossRet" dataDxfId="349" totalsRowDxfId="348" dataCellStyle="Percent">
      <calculatedColumnFormula>1+$G2</calculatedColumnFormula>
    </tableColumn>
    <tableColumn id="4" name="CumVal" dataDxfId="347" totalsRowDxfId="346" dataCellStyle="Comma">
      <calculatedColumnFormula>PRODUCT($H$2:$H2)</calculatedColumnFormula>
    </tableColumn>
    <tableColumn id="5" name="HoldPerRet" dataDxfId="345" totalsRowDxfId="344" dataCellStyle="Percent">
      <calculatedColumnFormula>$I2-1</calculatedColumnFormula>
    </tableColumn>
    <tableColumn id="6" name="GeoMean" dataDxfId="343" totalsRowDxfId="342" dataCellStyle="Percent">
      <calculatedColumnFormula>GEOMEAN($H$2:$H2)</calculatedColumnFormula>
    </tableColumn>
    <tableColumn id="7" name="GeoAveRet" dataDxfId="341" totalsRowDxfId="340" dataCellStyle="Percent">
      <calculatedColumnFormula>$K2-1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N1:S6" totalsRowCount="1">
  <autoFilter ref="N1:S5"/>
  <tableColumns count="6">
    <tableColumn id="1" name="State" totalsRowLabel="Total"/>
    <tableColumn id="2" name="Probability" dataCellStyle="Comma" totalsRowCellStyle="Comma"/>
    <tableColumn id="3" name="YrEndPrice" dataCellStyle="Currency" totalsRowCellStyle="Currency"/>
    <tableColumn id="4" name="CashFlow" dataCellStyle="Currency" totalsRowCellStyle="Currency"/>
    <tableColumn id="5" name="Ret" dataDxfId="339" dataCellStyle="Percent" totalsRowCellStyle="Percent">
      <calculatedColumnFormula>($P2+$Q2)/100-1</calculatedColumnFormula>
    </tableColumn>
    <tableColumn id="6" name="Weighted" totalsRowFunction="sum" dataDxfId="338" totalsRowDxfId="337" dataCellStyle="Percent" totalsRowCellStyle="Percent">
      <calculatedColumnFormula>$O2*$R2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4" name="Table25" displayName="Table25" ref="F9:L13" totalsRowCount="1">
  <autoFilter ref="F9:L12"/>
  <tableColumns count="7">
    <tableColumn id="1" name="Yr" totalsRowLabel="Expected"/>
    <tableColumn id="2" name="Return" totalsRowFunction="average" dataDxfId="336" totalsRowDxfId="335" dataCellStyle="Percent"/>
    <tableColumn id="3" name="GrossRet" dataDxfId="334" totalsRowDxfId="333" dataCellStyle="Percent">
      <calculatedColumnFormula>1+$G10</calculatedColumnFormula>
    </tableColumn>
    <tableColumn id="4" name="CumVal" dataDxfId="332" totalsRowDxfId="331" dataCellStyle="Comma">
      <calculatedColumnFormula>PRODUCT($H$10:$H10)</calculatedColumnFormula>
    </tableColumn>
    <tableColumn id="5" name="HoldPerRet" dataDxfId="330" totalsRowDxfId="329" dataCellStyle="Percent">
      <calculatedColumnFormula>$I10-1</calculatedColumnFormula>
    </tableColumn>
    <tableColumn id="6" name="GeoMean" dataDxfId="328" totalsRowDxfId="327" dataCellStyle="Percent">
      <calculatedColumnFormula>GEOMEAN($H$10:$H10)</calculatedColumnFormula>
    </tableColumn>
    <tableColumn id="7" name="GeoAveRet" dataDxfId="326" totalsRowDxfId="325" dataCellStyle="Percent">
      <calculatedColumnFormula>$K10-1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37" displayName="Table37" ref="O9:V13" totalsRowCount="1">
  <autoFilter ref="O9:V12"/>
  <tableColumns count="8">
    <tableColumn id="2" name="Probability" totalsRowLabel="Expected Value" totalsRowDxfId="324" dataCellStyle="Comma"/>
    <tableColumn id="3" name="YrEndPrice" totalsRowDxfId="323" dataCellStyle="Currency"/>
    <tableColumn id="4" name="CashFlow" totalsRowDxfId="322" dataCellStyle="Currency"/>
    <tableColumn id="5" name="Ret" dataDxfId="321" totalsRowDxfId="320" dataCellStyle="Percent">
      <calculatedColumnFormula>($P10+$Q10)/100-1</calculatedColumnFormula>
    </tableColumn>
    <tableColumn id="6" name="Weighted" totalsRowFunction="sum" dataDxfId="319" totalsRowDxfId="318" dataCellStyle="Percent" totalsRowCellStyle="Percent">
      <calculatedColumnFormula>$O10*$R10</calculatedColumnFormula>
    </tableColumn>
    <tableColumn id="1" name="Var" dataDxfId="317" totalsRowDxfId="316" dataCellStyle="Comma" totalsRowCellStyle="Comma">
      <calculatedColumnFormula>POWER($R10-$S$13,2)</calculatedColumnFormula>
    </tableColumn>
    <tableColumn id="7" name="WtdVar" totalsRowFunction="sum" dataDxfId="315" totalsRowDxfId="314" dataCellStyle="Comma" totalsRowCellStyle="Comma">
      <calculatedColumnFormula>$T10*$O10</calculatedColumnFormula>
    </tableColumn>
    <tableColumn id="8" name="StdDev" totalsRowFunction="custom" dataDxfId="313" totalsRowDxfId="312" dataCellStyle="Percent" totalsRowCellStyle="Percent">
      <totalsRowFormula>SQRT($U13)</totalsRowFormula>
    </tableColumn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7" name="Table378" displayName="Table378" ref="O16:V20" totalsRowCount="1">
  <autoFilter ref="O16:V19"/>
  <tableColumns count="8">
    <tableColumn id="2" name="Probability" totalsRowLabel="Expected Value" totalsRowDxfId="311" dataCellStyle="Comma"/>
    <tableColumn id="3" name="YrEndPrice" totalsRowDxfId="310" dataCellStyle="Currency"/>
    <tableColumn id="4" name="CashFlow" totalsRowDxfId="309" dataCellStyle="Currency"/>
    <tableColumn id="5" name="Ret" dataDxfId="308" totalsRowDxfId="307" dataCellStyle="Percent">
      <calculatedColumnFormula>($P17+$Q17)/100-1</calculatedColumnFormula>
    </tableColumn>
    <tableColumn id="6" name="Weighted" totalsRowFunction="sum" dataDxfId="306" totalsRowDxfId="305" dataCellStyle="Percent" totalsRowCellStyle="Percent">
      <calculatedColumnFormula>$O17*$R17</calculatedColumnFormula>
    </tableColumn>
    <tableColumn id="1" name="Var" dataDxfId="304" totalsRowDxfId="303" dataCellStyle="Comma" totalsRowCellStyle="Comma">
      <calculatedColumnFormula>POWER($R17-$S$20,2)</calculatedColumnFormula>
    </tableColumn>
    <tableColumn id="7" name="WtdVar" totalsRowFunction="sum" dataDxfId="302" totalsRowDxfId="301" dataCellStyle="Comma" totalsRowCellStyle="Comma">
      <calculatedColumnFormula>$T17*$O17</calculatedColumnFormula>
    </tableColumn>
    <tableColumn id="8" name="StdDev" totalsRowFunction="custom" dataDxfId="300" totalsRowDxfId="299" dataCellStyle="Percent" totalsRowCellStyle="Percent">
      <totalsRowFormula>SQRT($U20)</totalsRowFormula>
    </tableColumn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5" name="Table256" displayName="Table256" ref="F15:L19" totalsRowCount="1">
  <autoFilter ref="F15:L18"/>
  <tableColumns count="7">
    <tableColumn id="1" name="Yr" totalsRowLabel="Expected"/>
    <tableColumn id="2" name="Return" totalsRowFunction="average" dataDxfId="298" totalsRowDxfId="297" dataCellStyle="Percent"/>
    <tableColumn id="3" name="GrossRet" dataDxfId="296" totalsRowDxfId="295" dataCellStyle="Percent">
      <calculatedColumnFormula>1+$G16</calculatedColumnFormula>
    </tableColumn>
    <tableColumn id="4" name="CumVal" dataDxfId="294" totalsRowDxfId="293" dataCellStyle="Comma">
      <calculatedColumnFormula>PRODUCT($H$16:$H16)</calculatedColumnFormula>
    </tableColumn>
    <tableColumn id="5" name="HoldPerRet" dataDxfId="292" totalsRowDxfId="291" dataCellStyle="Percent">
      <calculatedColumnFormula>$I16-1</calculatedColumnFormula>
    </tableColumn>
    <tableColumn id="6" name="GeoMean" dataDxfId="290" totalsRowDxfId="289" dataCellStyle="Percent">
      <calculatedColumnFormula>GEOMEAN($H$16:$H16)</calculatedColumnFormula>
    </tableColumn>
    <tableColumn id="7" name="GeoAveRet" dataDxfId="288" totalsRowDxfId="287" dataCellStyle="Percent">
      <calculatedColumnFormula>$K16-1</calculatedColumnFormula>
    </tableColumn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8" name="Table3789" displayName="Table3789" ref="O23:V27" totalsRowCount="1">
  <autoFilter ref="O23:V26"/>
  <tableColumns count="8">
    <tableColumn id="2" name="Probability" totalsRowLabel="Expected Value" totalsRowDxfId="286" dataCellStyle="Comma"/>
    <tableColumn id="3" name="YrEndPrice" totalsRowDxfId="285" dataCellStyle="Currency"/>
    <tableColumn id="4" name="CashFlow" totalsRowDxfId="284" dataCellStyle="Currency"/>
    <tableColumn id="5" name="Ret" dataDxfId="283" totalsRowDxfId="282" dataCellStyle="Percent">
      <calculatedColumnFormula>($P24+$Q24)/100-1</calculatedColumnFormula>
    </tableColumn>
    <tableColumn id="6" name="Weighted" totalsRowFunction="sum" dataDxfId="281" totalsRowDxfId="280" dataCellStyle="Percent" totalsRowCellStyle="Percent">
      <calculatedColumnFormula>$O24*$R24</calculatedColumnFormula>
    </tableColumn>
    <tableColumn id="1" name="Var" dataDxfId="279" totalsRowDxfId="278" dataCellStyle="Comma" totalsRowCellStyle="Comma">
      <calculatedColumnFormula>POWER($R24-$S$27,2)</calculatedColumnFormula>
    </tableColumn>
    <tableColumn id="7" name="WtdVar" totalsRowFunction="sum" dataDxfId="277" totalsRowDxfId="276" dataCellStyle="Comma" totalsRowCellStyle="Comma">
      <calculatedColumnFormula>$T24*$O24</calculatedColumnFormula>
    </tableColumn>
    <tableColumn id="8" name="StdDev" totalsRowFunction="custom" dataDxfId="275" totalsRowDxfId="274" dataCellStyle="Percent" totalsRowCellStyle="Percent">
      <totalsRowFormula>SQRT($U27)</totalsRowFormula>
    </tableColumn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id="9" name="Table25610" displayName="Table25610" ref="F23:L29" totalsRowCount="1">
  <autoFilter ref="F23:L28"/>
  <tableColumns count="7">
    <tableColumn id="1" name="Yr" totalsRowLabel="Expected"/>
    <tableColumn id="2" name="Return" totalsRowFunction="average" dataDxfId="273" totalsRowDxfId="272" dataCellStyle="Percent"/>
    <tableColumn id="3" name="GrossRet" dataDxfId="271" totalsRowDxfId="270" dataCellStyle="Percent">
      <calculatedColumnFormula>1+$G24</calculatedColumnFormula>
    </tableColumn>
    <tableColumn id="4" name="CumVal" dataDxfId="269" totalsRowDxfId="268" dataCellStyle="Comma">
      <calculatedColumnFormula>PRODUCT($H$24:$H24)</calculatedColumnFormula>
    </tableColumn>
    <tableColumn id="5" name="HoldPerRet" dataDxfId="267" totalsRowDxfId="266" dataCellStyle="Percent">
      <calculatedColumnFormula>$I24-1</calculatedColumnFormula>
    </tableColumn>
    <tableColumn id="6" name="GeoMean" dataDxfId="265" totalsRowDxfId="264" dataCellStyle="Percent">
      <calculatedColumnFormula>GEOMEAN($H$24:$H24)</calculatedColumnFormula>
    </tableColumn>
    <tableColumn id="7" name="GeoAveRet" dataDxfId="263" totalsRowDxfId="262" dataCellStyle="Percent">
      <calculatedColumnFormula>$K24-1</calculatedColumnFormula>
    </tableColumn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0" name="Table311" displayName="Table311" ref="N31:S36" totalsRowCount="1">
  <autoFilter ref="N31:S35"/>
  <tableColumns count="6">
    <tableColumn id="1" name="State" totalsRowLabel="Total"/>
    <tableColumn id="2" name="Probability" totalsRowDxfId="261" dataCellStyle="Comma"/>
    <tableColumn id="3" name="YrEndPrice" totalsRowDxfId="260" dataCellStyle="Currency"/>
    <tableColumn id="4" name="CashFlow" totalsRowDxfId="259" dataCellStyle="Currency"/>
    <tableColumn id="5" name="Ret" dataDxfId="258" totalsRowDxfId="257" dataCellStyle="Percent">
      <calculatedColumnFormula>($P32+$Q32)/160-1</calculatedColumnFormula>
    </tableColumn>
    <tableColumn id="6" name="Weighted" totalsRowFunction="sum" dataDxfId="256" totalsRowDxfId="255" dataCellStyle="Percent" totalsRowCellStyle="Percent">
      <calculatedColumnFormula>$O32*$R32</calculatedColumnFormula>
    </tableColumn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id="11" name="Table378912" displayName="Table378912" ref="O38:V41" totalsRowCount="1">
  <autoFilter ref="O38:V40"/>
  <tableColumns count="8">
    <tableColumn id="2" name="Probability" totalsRowLabel="Expected Value" totalsRowDxfId="254" dataCellStyle="Comma"/>
    <tableColumn id="3" name="YrEndPrice" totalsRowDxfId="253" dataCellStyle="Currency"/>
    <tableColumn id="4" name="CashFlow" totalsRowDxfId="252" dataCellStyle="Currency"/>
    <tableColumn id="5" name="Ret" dataDxfId="251" totalsRowDxfId="250" dataCellStyle="Percent">
      <calculatedColumnFormula>($P39+$Q39)/100-1</calculatedColumnFormula>
    </tableColumn>
    <tableColumn id="6" name="Weighted" totalsRowFunction="sum" dataDxfId="249" totalsRowDxfId="248" dataCellStyle="Percent" totalsRowCellStyle="Percent">
      <calculatedColumnFormula>$O39*$R39</calculatedColumnFormula>
    </tableColumn>
    <tableColumn id="1" name="Var" dataDxfId="247" totalsRowDxfId="246" dataCellStyle="Comma" totalsRowCellStyle="Comma">
      <calculatedColumnFormula>POWER($R39-$S$41,2)</calculatedColumnFormula>
    </tableColumn>
    <tableColumn id="7" name="WtdVar" totalsRowFunction="sum" dataDxfId="245" totalsRowDxfId="244" dataCellStyle="Comma" totalsRowCellStyle="Comma">
      <calculatedColumnFormula>$T39*$O39</calculatedColumnFormula>
    </tableColumn>
    <tableColumn id="8" name="StdDev" totalsRowFunction="custom" dataDxfId="243" totalsRowDxfId="242" dataCellStyle="Percent" totalsRowCellStyle="Percent">
      <totalsRowFormula>SQRT($U41)</totalsRowFormula>
    </tableColumn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T6" totalsRowCount="1">
  <autoFilter ref="A1:T5"/>
  <tableColumns count="20">
    <tableColumn id="1" name="State" totalsRowLabel="Expected"/>
    <tableColumn id="2" name="Prob" totalsRowFunction="sum" totalsRowDxfId="241" dataCellStyle="Comma"/>
    <tableColumn id="3" name="Toyota" dataDxfId="240" totalsRowDxfId="239" dataCellStyle="Percent"/>
    <tableColumn id="4" name="Walmart" dataDxfId="238" totalsRowDxfId="237" dataCellStyle="Percent"/>
    <tableColumn id="5" name="Pfizer" dataDxfId="236" totalsRowDxfId="235" dataCellStyle="Percent"/>
    <tableColumn id="6" name="Twted" totalsRowFunction="sum" dataDxfId="234" totalsRowDxfId="233" dataCellStyle="Percent">
      <calculatedColumnFormula>C2*$B2</calculatedColumnFormula>
    </tableColumn>
    <tableColumn id="7" name="WMTwted" totalsRowFunction="sum" dataDxfId="232" totalsRowDxfId="231" dataCellStyle="Percent">
      <calculatedColumnFormula>D2*$B2</calculatedColumnFormula>
    </tableColumn>
    <tableColumn id="8" name="PFZwted" totalsRowFunction="sum" dataDxfId="230" totalsRowDxfId="229" dataCellStyle="Percent">
      <calculatedColumnFormula>E2*$B2</calculatedColumnFormula>
    </tableColumn>
    <tableColumn id="16" name="Tvar" totalsRowFunction="sum" dataDxfId="228" totalsRowDxfId="227" dataCellStyle="Percent">
      <calculatedColumnFormula>$B2*POWER(C2-F$6,2)</calculatedColumnFormula>
    </tableColumn>
    <tableColumn id="15" name="Wvar" totalsRowFunction="sum" dataDxfId="226" totalsRowDxfId="225" dataCellStyle="Percent">
      <calculatedColumnFormula>$B2*POWER(D2-G$6,2)</calculatedColumnFormula>
    </tableColumn>
    <tableColumn id="14" name="Pvar" totalsRowFunction="sum" dataDxfId="224" totalsRowDxfId="223" dataCellStyle="Percent">
      <calculatedColumnFormula>$B2*POWER(E2-H$6,2)</calculatedColumnFormula>
    </tableColumn>
    <tableColumn id="9" name="MixT" dataDxfId="222" totalsRowDxfId="221" dataCellStyle="Percent">
      <calculatedColumnFormula>1/2</calculatedColumnFormula>
    </tableColumn>
    <tableColumn id="10" name="MixWMT" dataDxfId="220" totalsRowDxfId="219" dataCellStyle="Percent">
      <calculatedColumnFormula>1/2</calculatedColumnFormula>
    </tableColumn>
    <tableColumn id="11" name="MixPFZ" dataDxfId="218" dataCellStyle="Percent">
      <calculatedColumnFormula>1-L2-M2</calculatedColumnFormula>
    </tableColumn>
    <tableColumn id="12" name="MixRet" dataDxfId="217" totalsRowDxfId="216" dataCellStyle="Percent">
      <calculatedColumnFormula>C2*L$2+D2*M$2+E2*N$2</calculatedColumnFormula>
    </tableColumn>
    <tableColumn id="13" name="MixWted" totalsRowFunction="sum" dataDxfId="215" totalsRowDxfId="214" dataCellStyle="Percent">
      <calculatedColumnFormula>O2*$B2</calculatedColumnFormula>
    </tableColumn>
    <tableColumn id="17" name="MixVar" totalsRowFunction="sum" dataDxfId="213" totalsRowDxfId="212" dataCellStyle="Percent" totalsRowCellStyle="Percent">
      <calculatedColumnFormula>$B2*POWER(O2-$P$6, 2)</calculatedColumnFormula>
    </tableColumn>
    <tableColumn id="18" name="Wpcov" totalsRowFunction="sum" dataDxfId="211" totalsRowDxfId="210" dataCellStyle="Comma" totalsRowCellStyle="Comma">
      <calculatedColumnFormula>$B2*(D2-G$6)*(E2-H$6)</calculatedColumnFormula>
    </tableColumn>
    <tableColumn id="19" name="Tpcov" totalsRowFunction="sum" dataDxfId="209" totalsRowDxfId="208" dataCellStyle="Comma" totalsRowCellStyle="Comma">
      <calculatedColumnFormula>$B2*(C2-F$6)*(E2-H$6)</calculatedColumnFormula>
    </tableColumn>
    <tableColumn id="20" name="Twcov" totalsRowFunction="sum" dataDxfId="207" totalsRowDxfId="206" dataCellStyle="Comma" totalsRowCellStyle="Comma">
      <calculatedColumnFormula>$B2*(C2-F$6)*(D2-G$6)</calculatedColumnFormula>
    </tableColumn>
  </tableColumns>
  <tableStyleInfo name="TableStyleMedium3" showFirstColumn="0" showLastColumn="0" showRowStripes="1" showColumnStripes="0"/>
</table>
</file>

<file path=xl/tables/table13.xml><?xml version="1.0" encoding="utf-8"?>
<table xmlns="http://schemas.openxmlformats.org/spreadsheetml/2006/main" id="13" name="Table1214" displayName="Table1214" ref="V1:AN5" totalsRowCount="1">
  <autoFilter ref="V1:AN4"/>
  <tableColumns count="19">
    <tableColumn id="2" name="Prob" totalsRowFunction="sum" totalsRowDxfId="205" dataCellStyle="Comma"/>
    <tableColumn id="3" name="ARet " dataDxfId="204" totalsRowDxfId="203" dataCellStyle="Percent"/>
    <tableColumn id="4" name="Bret" dataDxfId="202" totalsRowDxfId="201" dataCellStyle="Percent"/>
    <tableColumn id="5" name="Cret" dataDxfId="200" totalsRowDxfId="199" dataCellStyle="Percent"/>
    <tableColumn id="6" name="Awted" totalsRowFunction="sum" dataDxfId="198" totalsRowDxfId="197" dataCellStyle="Percent">
      <calculatedColumnFormula>W2*$V2</calculatedColumnFormula>
    </tableColumn>
    <tableColumn id="7" name="Bwted" totalsRowFunction="sum" dataDxfId="196" totalsRowDxfId="195" dataCellStyle="Percent">
      <calculatedColumnFormula>X2*$V2</calculatedColumnFormula>
    </tableColumn>
    <tableColumn id="8" name="Cwted" totalsRowFunction="sum" dataDxfId="194" totalsRowDxfId="193" dataCellStyle="Percent">
      <calculatedColumnFormula>Y2*$V2</calculatedColumnFormula>
    </tableColumn>
    <tableColumn id="15" name="Avar" totalsRowFunction="sum" dataDxfId="192" totalsRowDxfId="191" dataCellStyle="Percent">
      <calculatedColumnFormula>$V2*POWER(W2-Z$5,2)</calculatedColumnFormula>
    </tableColumn>
    <tableColumn id="14" name="Bvar" totalsRowFunction="sum" dataDxfId="190" totalsRowDxfId="189" dataCellStyle="Percent">
      <calculatedColumnFormula>$V2*POWER(X2-AA$5,2)</calculatedColumnFormula>
    </tableColumn>
    <tableColumn id="1" name="Cvar" totalsRowFunction="sum" dataDxfId="188" totalsRowDxfId="187" dataCellStyle="Percent">
      <calculatedColumnFormula>$V2*POWER(Y2-AB$5,2)</calculatedColumnFormula>
    </tableColumn>
    <tableColumn id="9" name="MixA" dataDxfId="186" totalsRowDxfId="185" dataCellStyle="Percent">
      <calculatedColumnFormula>1/2</calculatedColumnFormula>
    </tableColumn>
    <tableColumn id="10" name="MixB" dataDxfId="184" totalsRowDxfId="183" dataCellStyle="Percent">
      <calculatedColumnFormula>0</calculatedColumnFormula>
    </tableColumn>
    <tableColumn id="11" name="MixC" dataDxfId="182" totalsRowDxfId="181" dataCellStyle="Percent">
      <calculatedColumnFormula>1-AF2-AG2</calculatedColumnFormula>
    </tableColumn>
    <tableColumn id="12" name="MixRet" dataDxfId="180" totalsRowDxfId="179" dataCellStyle="Percent">
      <calculatedColumnFormula>W2*AF$2+X2*AG$2+Y2*AH$2</calculatedColumnFormula>
    </tableColumn>
    <tableColumn id="13" name="MixWted" totalsRowFunction="sum" dataDxfId="178" totalsRowDxfId="177" dataCellStyle="Percent">
      <calculatedColumnFormula>AI2*$V2</calculatedColumnFormula>
    </tableColumn>
    <tableColumn id="16" name="MixVar" totalsRowFunction="sum" dataDxfId="176" totalsRowDxfId="175" dataCellStyle="Percent">
      <calculatedColumnFormula>$V2*POWER(AI2-AJ$5,2)</calculatedColumnFormula>
    </tableColumn>
    <tableColumn id="17" name="Abcov" totalsRowFunction="sum" dataDxfId="174" totalsRowDxfId="173" dataCellStyle="Comma">
      <calculatedColumnFormula>$V2*(W2-Z$5)*(X2-AA$5)</calculatedColumnFormula>
    </tableColumn>
    <tableColumn id="18" name="Accov" totalsRowFunction="sum" dataDxfId="172" totalsRowDxfId="171" dataCellStyle="Comma">
      <calculatedColumnFormula>$V2*(W2-Z$5)*(Y2-AB$5)</calculatedColumnFormula>
    </tableColumn>
    <tableColumn id="19" name="Bccov" totalsRowFunction="sum" dataDxfId="170" totalsRowDxfId="169" dataCellStyle="Comma">
      <calculatedColumnFormula>$V2*(X2-AA$5)*(Y2-AB$5)</calculatedColumnFormula>
    </tableColumn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P1:AS5" totalsRowCount="1">
  <autoFilter ref="AP1:AS4"/>
  <tableColumns count="4">
    <tableColumn id="1" name="Label" totalsRowLabel="Total"/>
    <tableColumn id="2" name="ExpRet" dataDxfId="168" totalsRowDxfId="167" dataCellStyle="Percent" totalsRowCellStyle="Percent"/>
    <tableColumn id="3" name="Wt" totalsRowDxfId="166" dataCellStyle="Comma" totalsRowCellStyle="Comma"/>
    <tableColumn id="4" name="WtdRet" totalsRowFunction="sum" dataDxfId="165" totalsRowDxfId="164" dataCellStyle="Percent" totalsRowCellStyle="Percent">
      <calculatedColumnFormula>AQ2*AR2</calculatedColumnFormula>
    </tableColumn>
  </tableColumns>
  <tableStyleInfo name="TableStyleMedium3" showFirstColumn="0" showLastColumn="0" showRowStripes="1" showColumnStripes="0"/>
</table>
</file>

<file path=xl/tables/table15.xml><?xml version="1.0" encoding="utf-8"?>
<table xmlns="http://schemas.openxmlformats.org/spreadsheetml/2006/main" id="15" name="Table1416" displayName="Table1416" ref="AP8:AS12" totalsRowCount="1">
  <autoFilter ref="AP8:AS11"/>
  <tableColumns count="4">
    <tableColumn id="1" name="Label" totalsRowLabel="Total"/>
    <tableColumn id="2" name="ExpRet" dataDxfId="163" totalsRowDxfId="162" dataCellStyle="Percent" totalsRowCellStyle="Percent"/>
    <tableColumn id="3" name="Wt" totalsRowDxfId="161" dataCellStyle="Comma" totalsRowCellStyle="Comma"/>
    <tableColumn id="4" name="WtdRet" totalsRowFunction="sum" dataDxfId="160" totalsRowDxfId="159" dataCellStyle="Percent" totalsRowCellStyle="Percent">
      <calculatedColumnFormula>AQ9*AR9</calculatedColumnFormula>
    </tableColumn>
  </tableColumns>
  <tableStyleInfo name="TableStyleMedium3" showFirstColumn="0" showLastColumn="0" showRowStripes="1" showColumnStripes="0"/>
</table>
</file>

<file path=xl/tables/table16.xml><?xml version="1.0" encoding="utf-8"?>
<table xmlns="http://schemas.openxmlformats.org/spreadsheetml/2006/main" id="17" name="Table17" displayName="Table17" ref="AU1:BC2" totalsRowShown="0">
  <autoFilter ref="AU1:BC2"/>
  <tableColumns count="9">
    <tableColumn id="1" name="Capital" dataCellStyle="Currency"/>
    <tableColumn id="2" name="Borrowed" dataCellStyle="Currency"/>
    <tableColumn id="3" name="LoanInt" dataDxfId="158" dataCellStyle="Percent"/>
    <tableColumn id="4" name="Ret" dataDxfId="157" dataCellStyle="Percent"/>
    <tableColumn id="5" name="TotInv">
      <calculatedColumnFormula>AU2+AV2</calculatedColumnFormula>
    </tableColumn>
    <tableColumn id="6" name="GrossRetVal">
      <calculatedColumnFormula>AY2*AX2</calculatedColumnFormula>
    </tableColumn>
    <tableColumn id="7" name="IntVal">
      <calculatedColumnFormula>AV2*AW2</calculatedColumnFormula>
    </tableColumn>
    <tableColumn id="8" name="NetRetVal">
      <calculatedColumnFormula>AZ2-BA2</calculatedColumnFormula>
    </tableColumn>
    <tableColumn id="9" name="RetRate" dataDxfId="156" dataCellStyle="Percent">
      <calculatedColumnFormula>BB2/AU2</calculatedColumnFormula>
    </tableColumn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id="16" name="Table121417" displayName="Table121417" ref="V9:AN13" totalsRowCount="1">
  <autoFilter ref="V9:AN12"/>
  <tableColumns count="19">
    <tableColumn id="2" name="Prob" totalsRowFunction="sum" totalsRowDxfId="155" dataCellStyle="Comma"/>
    <tableColumn id="3" name="ARet " dataDxfId="154" totalsRowDxfId="153" dataCellStyle="Percent"/>
    <tableColumn id="4" name="Bret" dataDxfId="152" totalsRowDxfId="151" dataCellStyle="Percent"/>
    <tableColumn id="5" name="Cret" dataDxfId="150" totalsRowDxfId="149" dataCellStyle="Percent"/>
    <tableColumn id="6" name="Awted" totalsRowFunction="sum" dataDxfId="148" totalsRowDxfId="147" dataCellStyle="Percent">
      <calculatedColumnFormula>W10*$V10</calculatedColumnFormula>
    </tableColumn>
    <tableColumn id="7" name="Bwted" totalsRowFunction="sum" dataDxfId="146" totalsRowDxfId="145" dataCellStyle="Percent">
      <calculatedColumnFormula>X10*$V10</calculatedColumnFormula>
    </tableColumn>
    <tableColumn id="8" name="Cwted" totalsRowFunction="sum" dataDxfId="144" totalsRowDxfId="143" dataCellStyle="Percent">
      <calculatedColumnFormula>Y10*$V10</calculatedColumnFormula>
    </tableColumn>
    <tableColumn id="15" name="Avar" totalsRowFunction="sum" dataDxfId="142" totalsRowDxfId="141" dataCellStyle="Percent">
      <calculatedColumnFormula>$V10*POWER(W10-Z$13,2)</calculatedColumnFormula>
    </tableColumn>
    <tableColumn id="14" name="Bvar" totalsRowFunction="sum" dataDxfId="140" totalsRowDxfId="139" dataCellStyle="Percent">
      <calculatedColumnFormula>$V10*POWER(X10-AA$13,2)</calculatedColumnFormula>
    </tableColumn>
    <tableColumn id="1" name="Cvar" totalsRowFunction="sum" dataDxfId="138" totalsRowDxfId="137" dataCellStyle="Percent">
      <calculatedColumnFormula>$V10*POWER(Y10-AB$13,2)</calculatedColumnFormula>
    </tableColumn>
    <tableColumn id="9" name="MixA" dataDxfId="136" totalsRowDxfId="135" dataCellStyle="Percent">
      <calculatedColumnFormula>1/2</calculatedColumnFormula>
    </tableColumn>
    <tableColumn id="10" name="MixB" dataDxfId="134" totalsRowDxfId="133" dataCellStyle="Percent">
      <calculatedColumnFormula>0</calculatedColumnFormula>
    </tableColumn>
    <tableColumn id="11" name="MixC" dataDxfId="132" totalsRowDxfId="131" dataCellStyle="Percent">
      <calculatedColumnFormula>1-AF10-AG10</calculatedColumnFormula>
    </tableColumn>
    <tableColumn id="12" name="MixRet" dataDxfId="130" totalsRowDxfId="129" dataCellStyle="Percent">
      <calculatedColumnFormula>W10*AF$2+X10*AG$2+Y10*AH$2</calculatedColumnFormula>
    </tableColumn>
    <tableColumn id="13" name="MixWted" totalsRowFunction="sum" dataDxfId="128" totalsRowDxfId="127" dataCellStyle="Percent">
      <calculatedColumnFormula>AI10*$V10</calculatedColumnFormula>
    </tableColumn>
    <tableColumn id="16" name="MixVar" totalsRowFunction="sum" dataDxfId="126" totalsRowDxfId="125" dataCellStyle="Percent">
      <calculatedColumnFormula>$V10*POWER(AI10-AJ$13,2)</calculatedColumnFormula>
    </tableColumn>
    <tableColumn id="17" name="Abcov" totalsRowFunction="sum" dataDxfId="124" totalsRowDxfId="123" dataCellStyle="Comma">
      <calculatedColumnFormula>$V10*(W10-Z$13)*(X10-AA$13)</calculatedColumnFormula>
    </tableColumn>
    <tableColumn id="18" name="Accov" totalsRowFunction="sum" dataDxfId="122" totalsRowDxfId="121" dataCellStyle="Comma">
      <calculatedColumnFormula>$V10*(W10-Z$13)*(Y10-AB$13)</calculatedColumnFormula>
    </tableColumn>
    <tableColumn id="19" name="Bccov" totalsRowFunction="sum" dataDxfId="120" totalsRowDxfId="119" dataCellStyle="Comma">
      <calculatedColumnFormula>$V10*(X10-AA$13)*(Y10-AB$13)</calculatedColumnFormula>
    </tableColumn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E1:BQ2" totalsRowShown="0">
  <autoFilter ref="BE1:BQ2"/>
  <tableColumns count="13">
    <tableColumn id="1" name="Jret" dataDxfId="118" dataCellStyle="Percent"/>
    <tableColumn id="2" name="Rret" dataDxfId="117" dataCellStyle="Percent"/>
    <tableColumn id="3" name="Jwt"/>
    <tableColumn id="4" name="Rwt">
      <calculatedColumnFormula>1-BG2</calculatedColumnFormula>
    </tableColumn>
    <tableColumn id="5" name="ExpRet" dataDxfId="116" dataCellStyle="Percent">
      <calculatedColumnFormula>BE2*BG2+BF2*BH2</calculatedColumnFormula>
    </tableColumn>
    <tableColumn id="6" name="Jvol" dataDxfId="115" dataCellStyle="Percent"/>
    <tableColumn id="7" name="Rvol" dataDxfId="114" dataCellStyle="Percent"/>
    <tableColumn id="8" name="Jrcorr" dataDxfId="113" dataCellStyle="Comma"/>
    <tableColumn id="9" name="Jvar" dataDxfId="112" dataCellStyle="Percent">
      <calculatedColumnFormula>POWER(BJ2,2)</calculatedColumnFormula>
    </tableColumn>
    <tableColumn id="10" name="Rvar" dataDxfId="111" dataCellStyle="Percent">
      <calculatedColumnFormula>POWER(BK2,2)</calculatedColumnFormula>
    </tableColumn>
    <tableColumn id="11" name="Jrcov">
      <calculatedColumnFormula>BL2*BJ2*BK2</calculatedColumnFormula>
    </tableColumn>
    <tableColumn id="12" name="Jrvar">
      <calculatedColumnFormula>BM2*BG2*BG2+BN2*BH2*BH2+2*BG2*BH2*BO2</calculatedColumnFormula>
    </tableColumn>
    <tableColumn id="13" name="Jrvol" dataDxfId="110" dataCellStyle="Percent">
      <calculatedColumnFormula>SQRT(BP2)</calculatedColumnFormula>
    </tableColumn>
  </tableColumns>
  <tableStyleInfo name="TableStyleMedium3" showFirstColumn="0" showLastColumn="0" showRowStripes="1" showColumnStripes="0"/>
</table>
</file>

<file path=xl/tables/table19.xml><?xml version="1.0" encoding="utf-8"?>
<table xmlns="http://schemas.openxmlformats.org/spreadsheetml/2006/main" id="19" name="Table1820" displayName="Table1820" ref="BE6:BQ7" totalsRowShown="0">
  <autoFilter ref="BE6:BQ7"/>
  <tableColumns count="13">
    <tableColumn id="1" name="Jret" dataDxfId="109" dataCellStyle="Percent"/>
    <tableColumn id="2" name="Rret" dataDxfId="108" dataCellStyle="Percent"/>
    <tableColumn id="3" name="Jwt">
      <calculatedColumnFormula>1/2</calculatedColumnFormula>
    </tableColumn>
    <tableColumn id="4" name="Rwt">
      <calculatedColumnFormula>1-BG7</calculatedColumnFormula>
    </tableColumn>
    <tableColumn id="5" name="ExpRet" dataDxfId="107" dataCellStyle="Percent">
      <calculatedColumnFormula>BE7*BG7+BF7*BH7</calculatedColumnFormula>
    </tableColumn>
    <tableColumn id="6" name="Jvol" dataDxfId="106" dataCellStyle="Percent"/>
    <tableColumn id="7" name="Rvol" dataDxfId="105" dataCellStyle="Percent"/>
    <tableColumn id="8" name="Jrcorr" dataDxfId="104" dataCellStyle="Comma"/>
    <tableColumn id="9" name="Jvar" dataDxfId="103" dataCellStyle="Percent">
      <calculatedColumnFormula>POWER(BJ7,2)</calculatedColumnFormula>
    </tableColumn>
    <tableColumn id="10" name="Rvar" dataDxfId="102" dataCellStyle="Percent">
      <calculatedColumnFormula>POWER(BK7,2)</calculatedColumnFormula>
    </tableColumn>
    <tableColumn id="11" name="Jrcov">
      <calculatedColumnFormula>BL7*BJ7*BK7</calculatedColumnFormula>
    </tableColumn>
    <tableColumn id="12" name="Jrvar">
      <calculatedColumnFormula>BM7*BG7*BG7+BN7*BH7*BH7+2*BG7*BH7*BO7</calculatedColumnFormula>
    </tableColumn>
    <tableColumn id="13" name="Jrvol" dataDxfId="101" dataCellStyle="Percent">
      <calculatedColumnFormula>SQRT(BP7)</calculatedColumnFormula>
    </tableColumn>
  </tableColumns>
  <tableStyleInfo name="TableStyleMedium3" showFirstColumn="0" showLastColumn="0" showRowStripes="1" showColumnStripes="0"/>
</table>
</file>

<file path=xl/tables/table20.xml><?xml version="1.0" encoding="utf-8"?>
<table xmlns="http://schemas.openxmlformats.org/spreadsheetml/2006/main" id="21" name="Table21" displayName="Table21" ref="BS1:BW5" totalsRowCount="1">
  <autoFilter ref="BS1:BW4"/>
  <tableColumns count="5">
    <tableColumn id="1" name="Security" totalsRowLabel="Total"/>
    <tableColumn id="2" name="Ret" dataDxfId="100" totalsRowDxfId="99" dataCellStyle="Percent"/>
    <tableColumn id="3" name="Invested" totalsRowFunction="sum" totalsRowDxfId="98" dataCellStyle="Currency"/>
    <tableColumn id="5" name="Wt" dataDxfId="97" totalsRowDxfId="96" dataCellStyle="Comma" totalsRowCellStyle="Comma">
      <calculatedColumnFormula>BU2/BU$5</calculatedColumnFormula>
    </tableColumn>
    <tableColumn id="6" name="WtdRet" totalsRowFunction="sum" dataDxfId="95" totalsRowDxfId="94" dataCellStyle="Percent" totalsRowCellStyle="Percent">
      <calculatedColumnFormula>BT2*BV2</calculatedColumnFormula>
    </tableColumn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id="22" name="Table12141723" displayName="Table12141723" ref="V17:AN21" totalsRowCount="1">
  <autoFilter ref="V17:AN20"/>
  <tableColumns count="19">
    <tableColumn id="2" name="Prob" totalsRowFunction="sum" totalsRowDxfId="93" dataCellStyle="Comma"/>
    <tableColumn id="3" name="ARet " dataDxfId="92" totalsRowDxfId="91" dataCellStyle="Percent"/>
    <tableColumn id="4" name="Bret" dataDxfId="90" totalsRowDxfId="89" dataCellStyle="Percent"/>
    <tableColumn id="5" name="Cret" dataDxfId="88" totalsRowDxfId="87" dataCellStyle="Percent"/>
    <tableColumn id="6" name="Awted" totalsRowFunction="sum" dataDxfId="86" totalsRowDxfId="85" dataCellStyle="Percent">
      <calculatedColumnFormula>W18*$V18</calculatedColumnFormula>
    </tableColumn>
    <tableColumn id="7" name="Bwted" totalsRowFunction="sum" dataDxfId="84" totalsRowDxfId="83" dataCellStyle="Percent">
      <calculatedColumnFormula>X18*$V18</calculatedColumnFormula>
    </tableColumn>
    <tableColumn id="8" name="Cwted" totalsRowFunction="sum" dataDxfId="82" totalsRowDxfId="81" dataCellStyle="Percent">
      <calculatedColumnFormula>Y18*$V18</calculatedColumnFormula>
    </tableColumn>
    <tableColumn id="15" name="Avar" totalsRowFunction="sum" dataDxfId="80" totalsRowDxfId="79" dataCellStyle="Percent">
      <calculatedColumnFormula>$V18*POWER(W18-Z$21,2)</calculatedColumnFormula>
    </tableColumn>
    <tableColumn id="14" name="Bvar" totalsRowFunction="sum" dataDxfId="78" totalsRowDxfId="77" dataCellStyle="Percent">
      <calculatedColumnFormula>$V18*POWER(X18-AA$21,2)</calculatedColumnFormula>
    </tableColumn>
    <tableColumn id="1" name="Cvar" totalsRowFunction="sum" dataDxfId="76" totalsRowDxfId="75" dataCellStyle="Percent">
      <calculatedColumnFormula>$V18*POWER(Y18-AB$21,2)</calculatedColumnFormula>
    </tableColumn>
    <tableColumn id="9" name="MixA" dataDxfId="74" totalsRowDxfId="73" dataCellStyle="Percent">
      <calculatedColumnFormula>0.6</calculatedColumnFormula>
    </tableColumn>
    <tableColumn id="10" name="MixB" dataDxfId="72" totalsRowDxfId="71" dataCellStyle="Percent">
      <calculatedColumnFormula>0.4</calculatedColumnFormula>
    </tableColumn>
    <tableColumn id="11" name="MixC" dataDxfId="70" totalsRowDxfId="69" dataCellStyle="Percent">
      <calculatedColumnFormula>1-AF18-AG18</calculatedColumnFormula>
    </tableColumn>
    <tableColumn id="12" name="MixRet" dataDxfId="68" totalsRowDxfId="67" dataCellStyle="Percent">
      <calculatedColumnFormula>W18*AF$18+X18*AG$18+Y18*AH$18</calculatedColumnFormula>
    </tableColumn>
    <tableColumn id="13" name="MixWted" totalsRowFunction="sum" dataDxfId="66" totalsRowDxfId="65" dataCellStyle="Percent">
      <calculatedColumnFormula>AI18*$V18</calculatedColumnFormula>
    </tableColumn>
    <tableColumn id="16" name="MixVar" totalsRowFunction="sum" dataDxfId="64" totalsRowDxfId="63" dataCellStyle="Percent">
      <calculatedColumnFormula>$V18*POWER(AI18-AJ$21,2)</calculatedColumnFormula>
    </tableColumn>
    <tableColumn id="17" name="Abcov" totalsRowFunction="sum" dataDxfId="62" totalsRowDxfId="61" dataCellStyle="Comma">
      <calculatedColumnFormula>$V18*(W18-Z$21)*(X18-AA$21)</calculatedColumnFormula>
    </tableColumn>
    <tableColumn id="18" name="Accov" totalsRowFunction="sum" dataDxfId="60" totalsRowDxfId="59" dataCellStyle="Comma">
      <calculatedColumnFormula>$V18*(W18-Z$21)*(Y18-AB$21)</calculatedColumnFormula>
    </tableColumn>
    <tableColumn id="19" name="Bccov" totalsRowFunction="sum" dataDxfId="58" totalsRowDxfId="57" dataCellStyle="Comma">
      <calculatedColumnFormula>$V18*(X18-AA$21)*(Y18-AB$21)</calculatedColumnFormula>
    </tableColumn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id="20" name="Table20" displayName="Table20" ref="U1:X3" totalsRowShown="0">
  <autoFilter ref="U1:X3"/>
  <tableColumns count="4">
    <tableColumn id="1" name="Stat"/>
    <tableColumn id="2" name="A"/>
    <tableColumn id="3" name="B"/>
    <tableColumn id="4" name="C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id="24" name="Table24" displayName="Table24" ref="A2:B3" headerRowCount="0" totalsRowShown="0">
  <tableColumns count="2">
    <tableColumn id="1" name="Column1"/>
    <tableColumn id="2" name="Column2" dataDxfId="56" dataCellStyle="Comma"/>
  </tableColumns>
  <tableStyleInfo name="TableStyleMedium2" showFirstColumn="1" showLastColumn="0" showRowStripes="1" showColumnStripes="0"/>
</table>
</file>

<file path=xl/tables/table24.xml><?xml version="1.0" encoding="utf-8"?>
<table xmlns="http://schemas.openxmlformats.org/spreadsheetml/2006/main" id="25" name="Table26" displayName="Table26" ref="A4:E7" totalsRowShown="0">
  <autoFilter ref="A4:E7"/>
  <tableColumns count="5">
    <tableColumn id="1" name="Investment"/>
    <tableColumn id="2" name="Ret" dataDxfId="55" dataCellStyle="Percent"/>
    <tableColumn id="3" name="SD" dataDxfId="54" dataCellStyle="Percent"/>
    <tableColumn id="4" name="Var" dataDxfId="53" dataCellStyle="Comma">
      <calculatedColumnFormula>C5*C5</calculatedColumnFormula>
    </tableColumn>
    <tableColumn id="5" name="Utility" dataDxfId="52" dataCellStyle="Comma">
      <calculatedColumnFormula>B5-0.5*$B$2*D5</calculatedColumnFormula>
    </tableColumn>
  </tableColumns>
  <tableStyleInfo name="TableStyleMedium3" showFirstColumn="0" showLastColumn="0" showRowStripes="1" showColumnStripes="0"/>
</table>
</file>

<file path=xl/tables/table25.xml><?xml version="1.0" encoding="utf-8"?>
<table xmlns="http://schemas.openxmlformats.org/spreadsheetml/2006/main" id="26" name="Table2627" displayName="Table2627" ref="A9:E11" totalsRowShown="0">
  <autoFilter ref="A9:E11"/>
  <tableColumns count="5">
    <tableColumn id="1" name="Investment"/>
    <tableColumn id="2" name="Ret" dataDxfId="51" dataCellStyle="Percent"/>
    <tableColumn id="3" name="SD" dataDxfId="50" dataCellStyle="Percent"/>
    <tableColumn id="4" name="Var" dataDxfId="49" dataCellStyle="Comma">
      <calculatedColumnFormula>C10*C10</calculatedColumnFormula>
    </tableColumn>
    <tableColumn id="5" name="Utility" dataDxfId="48" dataCellStyle="Comma">
      <calculatedColumnFormula>B10-0.5*$B$2*D10</calculatedColumnFormula>
    </tableColumn>
  </tableColumns>
  <tableStyleInfo name="TableStyleMedium3" showFirstColumn="0" showLastColumn="0" showRowStripes="1" showColumnStripes="0"/>
</table>
</file>

<file path=xl/tables/table26.xml><?xml version="1.0" encoding="utf-8"?>
<table xmlns="http://schemas.openxmlformats.org/spreadsheetml/2006/main" id="27" name="Table27" displayName="Table27" ref="G4:N6" totalsRowShown="0">
  <autoFilter ref="G4:N6"/>
  <tableColumns count="8">
    <tableColumn id="1" name="Investment"/>
    <tableColumn id="2" name="W1" dataCellStyle="Currency"/>
    <tableColumn id="3" name="W2" dataCellStyle="Currency"/>
    <tableColumn id="4" name="P1" dataDxfId="47" dataCellStyle="Comma"/>
    <tableColumn id="5" name="P2" dataDxfId="46" dataCellStyle="Comma">
      <calculatedColumnFormula>1-J5</calculatedColumnFormula>
    </tableColumn>
    <tableColumn id="6" name="U1" dataDxfId="45">
      <calculatedColumnFormula>LN(H5)</calculatedColumnFormula>
    </tableColumn>
    <tableColumn id="7" name="U2">
      <calculatedColumnFormula>LN(I5)</calculatedColumnFormula>
    </tableColumn>
    <tableColumn id="8" name="EU" dataDxfId="44">
      <calculatedColumnFormula>J5*L5+K5*M5</calculatedColumnFormula>
    </tableColumn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id="23" name="Table2624" displayName="Table2624" ref="A13:E16" totalsRowShown="0">
  <autoFilter ref="A13:E16"/>
  <tableColumns count="5">
    <tableColumn id="1" name="Investment"/>
    <tableColumn id="2" name="Ret" dataDxfId="43" dataCellStyle="Percent"/>
    <tableColumn id="3" name="SD" dataDxfId="42" dataCellStyle="Percent"/>
    <tableColumn id="4" name="Var" dataDxfId="41" dataCellStyle="Comma">
      <calculatedColumnFormula>C14*C14</calculatedColumnFormula>
    </tableColumn>
    <tableColumn id="5" name="Utility" dataDxfId="40" dataCellStyle="Comma">
      <calculatedColumnFormula>B14-0.5*$B$2*D14</calculatedColumnFormula>
    </tableColumn>
  </tableColumns>
  <tableStyleInfo name="TableStyleMedium3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1:D3" totalsRowShown="0">
  <autoFilter ref="A1:D3"/>
  <tableColumns count="4">
    <tableColumn id="1" name="ExpRet" dataDxfId="39" dataCellStyle="Percent"/>
    <tableColumn id="2" name="SD" dataDxfId="38" dataCellStyle="Percent"/>
    <tableColumn id="3" name="RiskFreeRate" dataDxfId="37" dataCellStyle="Percent"/>
    <tableColumn id="4" name="SharpeRatio" dataDxfId="36">
      <calculatedColumnFormula>(A2-C2)/B2</calculatedColumnFormula>
    </tableColumn>
  </tableColumns>
  <tableStyleInfo name="TableStyleMedium3" showFirstColumn="0" showLastColumn="0" showRowStripes="1" showColumnStripes="0"/>
</table>
</file>

<file path=xl/tables/table29.xml><?xml version="1.0" encoding="utf-8"?>
<table xmlns="http://schemas.openxmlformats.org/spreadsheetml/2006/main" id="29" name="Table29" displayName="Table29" ref="F1:K4" totalsRowShown="0" headerRowDxfId="35" dataDxfId="34" headerRowCellStyle="Percent" dataCellStyle="Percent">
  <autoFilter ref="F1:K4"/>
  <tableColumns count="6">
    <tableColumn id="1" name="ExpExcessRet" dataDxfId="33" dataCellStyle="Percent"/>
    <tableColumn id="2" name="SD" dataDxfId="32" dataCellStyle="Percent"/>
    <tableColumn id="3" name="RiskFreeRate" dataDxfId="31" dataCellStyle="Percent"/>
    <tableColumn id="4" name="A" dataDxfId="30" dataCellStyle="Percent"/>
    <tableColumn id="5" name="Var" dataDxfId="29" dataCellStyle="Percent">
      <calculatedColumnFormula>G2*G2</calculatedColumnFormula>
    </tableColumn>
    <tableColumn id="6" name="w" dataDxfId="28" dataCellStyle="Percent">
      <calculatedColumnFormula>F2/(I2*J2)</calculatedColumnFormula>
    </tableColumn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id="30" name="Table30" displayName="Table30" ref="M1:P2" totalsRowShown="0">
  <autoFilter ref="M1:P2"/>
  <tableColumns count="4">
    <tableColumn id="1" name="RiskyRet" dataDxfId="27" dataCellStyle="Percent"/>
    <tableColumn id="2" name="RiskFreeRet" dataDxfId="26" dataCellStyle="Percent"/>
    <tableColumn id="3" name="TargetRet" dataDxfId="25" dataCellStyle="Percent"/>
    <tableColumn id="4" name="wRisky" dataDxfId="24" dataCellStyle="Comma">
      <calculatedColumnFormula>(O2-N2)/(M2-N2)</calculatedColumnFormula>
    </tableColumn>
  </tableColumns>
  <tableStyleInfo name="TableStyleMedium3" showFirstColumn="0" showLastColumn="0" showRowStripes="1" showColumnStripes="0"/>
</table>
</file>

<file path=xl/tables/table31.xml><?xml version="1.0" encoding="utf-8"?>
<table xmlns="http://schemas.openxmlformats.org/spreadsheetml/2006/main" id="31" name="Table31" displayName="Table31" ref="R1:T3" totalsRowShown="0">
  <autoFilter ref="R1:T3"/>
  <tableColumns count="3">
    <tableColumn id="1" name="RiskySD" dataDxfId="23" dataCellStyle="Percent"/>
    <tableColumn id="2" name="TargetSD" dataDxfId="22" dataCellStyle="Percent"/>
    <tableColumn id="3" name="wRisky" dataDxfId="21" dataCellStyle="Percent">
      <calculatedColumnFormula>S2/R2</calculatedColumnFormula>
    </tableColumn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id="32" name="Table32" displayName="Table32" ref="V1:AA2" totalsRowShown="0">
  <autoFilter ref="V1:AA2"/>
  <tableColumns count="6">
    <tableColumn id="1" name="riskySD" dataDxfId="20" dataCellStyle="Percent"/>
    <tableColumn id="2" name="riskyRet" dataDxfId="19" dataCellStyle="Percent"/>
    <tableColumn id="3" name="riskFreeRet" dataDxfId="18" dataCellStyle="Percent"/>
    <tableColumn id="4" name="targSD" dataDxfId="17" dataCellStyle="Percent"/>
    <tableColumn id="5" name="riskyWt" dataDxfId="16" dataCellStyle="Comma">
      <calculatedColumnFormula>Y2/V2</calculatedColumnFormula>
    </tableColumn>
    <tableColumn id="6" name="pfRet" dataDxfId="15" dataCellStyle="Percent">
      <calculatedColumnFormula>Z2*W2+(1-Z2)*X2</calculatedColumnFormula>
    </tableColumn>
  </tableColumns>
  <tableStyleInfo name="TableStyleMedium3" showFirstColumn="0" showLastColumn="0" showRowStripes="1" showColumnStripes="0"/>
</table>
</file>

<file path=xl/tables/table33.xml><?xml version="1.0" encoding="utf-8"?>
<table xmlns="http://schemas.openxmlformats.org/spreadsheetml/2006/main" id="33" name="Table33" displayName="Table33" ref="A1:F2" totalsRowShown="0">
  <autoFilter ref="A1:F2"/>
  <tableColumns count="6">
    <tableColumn id="1" name="DivInv" dataDxfId="14" dataCellStyle="Currency"/>
    <tableColumn id="2" name="FelixInv" dataDxfId="13" dataCellStyle="Currency"/>
    <tableColumn id="3" name="Total" dataDxfId="12" dataCellStyle="Currency">
      <calculatedColumnFormula>A2+B2</calculatedColumnFormula>
    </tableColumn>
    <tableColumn id="4" name="DivWt" dataDxfId="11" dataCellStyle="Comma">
      <calculatedColumnFormula>A2/C2</calculatedColumnFormula>
    </tableColumn>
    <tableColumn id="5" name="FelixWt" dataDxfId="10" dataCellStyle="Comma">
      <calculatedColumnFormula>B2/C2</calculatedColumnFormula>
    </tableColumn>
    <tableColumn id="6" name="TotWt" dataDxfId="9" dataCellStyle="Comma">
      <calculatedColumnFormula>D2+E2</calculatedColumnFormula>
    </tableColumn>
  </tableColumns>
  <tableStyleInfo name="TableStyleMedium3" showFirstColumn="0" showLastColumn="0" showRowStripes="1" showColumnStripes="0"/>
</table>
</file>

<file path=xl/tables/table34.xml><?xml version="1.0" encoding="utf-8"?>
<table xmlns="http://schemas.openxmlformats.org/spreadsheetml/2006/main" id="34" name="Table34" displayName="Table34" ref="H1:K3" totalsRowShown="0">
  <autoFilter ref="H1:K3"/>
  <tableColumns count="4">
    <tableColumn id="1" name="Desc"/>
    <tableColumn id="2" name="Ret" dataDxfId="8" dataCellStyle="Percent"/>
    <tableColumn id="3" name="SD" dataDxfId="4" dataCellStyle="Percent"/>
    <tableColumn id="4" name="Var" dataDxfId="3" dataCellStyle="Comma">
      <calculatedColumnFormula>J2*J2</calculatedColumnFormula>
    </tableColumn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id="35" name="Table35" displayName="Table35" ref="M1:M2" totalsRowShown="0" headerRowDxfId="6" dataDxfId="5" headerRowCellStyle="Percent" dataCellStyle="Percent">
  <autoFilter ref="M1:M2"/>
  <tableColumns count="1">
    <tableColumn id="1" name="pfRet" dataDxfId="7" dataCellStyle="Percent">
      <calculatedColumnFormula>D2*I2+E2*I3</calculatedColumnFormula>
    </tableColumn>
  </tableColumns>
  <tableStyleInfo name="TableStyleMedium3" showFirstColumn="0" showLastColumn="0" showRowStripes="1" showColumnStripes="0"/>
</table>
</file>

<file path=xl/tables/table36.xml><?xml version="1.0" encoding="utf-8"?>
<table xmlns="http://schemas.openxmlformats.org/spreadsheetml/2006/main" id="36" name="Table36" displayName="Table36" ref="O1:P2" totalsRowShown="0" dataDxfId="0" dataCellStyle="Comma">
  <autoFilter ref="O1:P2"/>
  <tableColumns count="2">
    <tableColumn id="1" name="Corr" dataDxfId="2" dataCellStyle="Comma"/>
    <tableColumn id="2" name="Cov" dataDxfId="1" dataCellStyle="Comma">
      <calculatedColumnFormula>O2*J2*J3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10" Type="http://schemas.openxmlformats.org/officeDocument/2006/relationships/table" Target="../tables/table21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table" Target="../tables/table24.xml"/><Relationship Id="rId1" Type="http://schemas.openxmlformats.org/officeDocument/2006/relationships/table" Target="../tables/table23.xml"/><Relationship Id="rId5" Type="http://schemas.openxmlformats.org/officeDocument/2006/relationships/table" Target="../tables/table27.xml"/><Relationship Id="rId4" Type="http://schemas.openxmlformats.org/officeDocument/2006/relationships/table" Target="../tables/table2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0.xml"/><Relationship Id="rId2" Type="http://schemas.openxmlformats.org/officeDocument/2006/relationships/table" Target="../tables/table29.xml"/><Relationship Id="rId1" Type="http://schemas.openxmlformats.org/officeDocument/2006/relationships/table" Target="../tables/table28.xml"/><Relationship Id="rId5" Type="http://schemas.openxmlformats.org/officeDocument/2006/relationships/table" Target="../tables/table32.xml"/><Relationship Id="rId4" Type="http://schemas.openxmlformats.org/officeDocument/2006/relationships/table" Target="../tables/table3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5.xml"/><Relationship Id="rId2" Type="http://schemas.openxmlformats.org/officeDocument/2006/relationships/table" Target="../tables/table34.xml"/><Relationship Id="rId1" Type="http://schemas.openxmlformats.org/officeDocument/2006/relationships/table" Target="../tables/table33.xml"/><Relationship Id="rId4" Type="http://schemas.openxmlformats.org/officeDocument/2006/relationships/table" Target="../tables/table3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opLeftCell="K24" workbookViewId="0">
      <selection activeCell="T40" sqref="T40"/>
    </sheetView>
  </sheetViews>
  <sheetFormatPr defaultRowHeight="15.6" x14ac:dyDescent="0.3"/>
  <cols>
    <col min="1" max="2" width="9.81640625" style="1" bestFit="1" customWidth="1"/>
    <col min="3" max="3" width="13.6328125" style="1" bestFit="1" customWidth="1"/>
    <col min="4" max="4" width="11.6328125" style="2" bestFit="1" customWidth="1"/>
    <col min="6" max="6" width="9.08984375" customWidth="1"/>
    <col min="7" max="7" width="8.6328125" style="2" bestFit="1" customWidth="1"/>
    <col min="8" max="8" width="10.6328125" style="2" bestFit="1" customWidth="1"/>
    <col min="9" max="9" width="10.6328125" style="4" bestFit="1" customWidth="1"/>
    <col min="10" max="10" width="12.6328125" style="2" bestFit="1" customWidth="1"/>
    <col min="11" max="11" width="9.6328125" bestFit="1" customWidth="1"/>
    <col min="12" max="12" width="11.6328125" bestFit="1" customWidth="1"/>
    <col min="14" max="14" width="9.81640625" bestFit="1" customWidth="1"/>
    <col min="15" max="15" width="15.7265625" style="3" bestFit="1" customWidth="1"/>
    <col min="16" max="16" width="14.7265625" style="1" bestFit="1" customWidth="1"/>
    <col min="17" max="17" width="12.6328125" style="1" bestFit="1" customWidth="1"/>
    <col min="18" max="18" width="7.81640625" style="2" bestFit="1" customWidth="1"/>
    <col min="19" max="19" width="10.6328125" style="2" bestFit="1" customWidth="1"/>
    <col min="20" max="21" width="8.7265625" style="4"/>
    <col min="22" max="22" width="8.7265625" style="2"/>
  </cols>
  <sheetData>
    <row r="1" spans="1:22" x14ac:dyDescent="0.3">
      <c r="A1" s="1" t="s">
        <v>0</v>
      </c>
      <c r="B1" s="1" t="s">
        <v>1</v>
      </c>
      <c r="C1" s="1" t="s">
        <v>2</v>
      </c>
      <c r="D1" s="2" t="s">
        <v>3</v>
      </c>
      <c r="F1" t="s">
        <v>4</v>
      </c>
      <c r="G1" s="2" t="s">
        <v>5</v>
      </c>
      <c r="H1" s="2" t="s">
        <v>6</v>
      </c>
      <c r="I1" s="4" t="s">
        <v>7</v>
      </c>
      <c r="J1" s="2" t="s">
        <v>8</v>
      </c>
      <c r="K1" t="s">
        <v>9</v>
      </c>
      <c r="L1" t="s">
        <v>21</v>
      </c>
      <c r="N1" t="s">
        <v>10</v>
      </c>
      <c r="O1" s="3" t="s">
        <v>11</v>
      </c>
      <c r="P1" s="1" t="s">
        <v>12</v>
      </c>
      <c r="Q1" s="1" t="s">
        <v>13</v>
      </c>
      <c r="R1" s="2" t="s">
        <v>14</v>
      </c>
      <c r="S1" s="2" t="s">
        <v>19</v>
      </c>
    </row>
    <row r="2" spans="1:22" x14ac:dyDescent="0.3">
      <c r="A2" s="1">
        <v>100</v>
      </c>
      <c r="B2" s="1">
        <v>105</v>
      </c>
      <c r="C2" s="1">
        <v>5</v>
      </c>
      <c r="D2" s="2">
        <f>($B2+$C2)/$A2-1</f>
        <v>0.10000000000000009</v>
      </c>
      <c r="F2">
        <v>1</v>
      </c>
      <c r="G2" s="2">
        <v>-0.11890000000000001</v>
      </c>
      <c r="H2" s="2">
        <f t="shared" ref="H2:H6" si="0">1+$G2</f>
        <v>0.88109999999999999</v>
      </c>
      <c r="I2" s="4">
        <f>PRODUCT($H$2:$H2)</f>
        <v>0.88109999999999999</v>
      </c>
      <c r="J2" s="2">
        <f t="shared" ref="J2:J6" si="1">$I2-1</f>
        <v>-0.11890000000000001</v>
      </c>
      <c r="K2" s="2">
        <f>GEOMEAN($H$2:$H2)</f>
        <v>0.88109999999999999</v>
      </c>
      <c r="L2" s="2">
        <f t="shared" ref="L2:L6" si="2">$K2-1</f>
        <v>-0.11890000000000001</v>
      </c>
      <c r="N2" t="s">
        <v>15</v>
      </c>
      <c r="O2" s="3">
        <v>0.25</v>
      </c>
      <c r="P2" s="1">
        <v>126.5</v>
      </c>
      <c r="Q2" s="1">
        <v>4.5</v>
      </c>
      <c r="R2" s="2">
        <f t="shared" ref="R2:R5" si="3">($P2+$Q2)/100-1</f>
        <v>0.31000000000000005</v>
      </c>
      <c r="S2" s="2">
        <f t="shared" ref="S2:S5" si="4">$O2*$R2</f>
        <v>7.7500000000000013E-2</v>
      </c>
    </row>
    <row r="3" spans="1:22" x14ac:dyDescent="0.3">
      <c r="F3">
        <v>2</v>
      </c>
      <c r="G3" s="2">
        <v>-0.221</v>
      </c>
      <c r="H3" s="2">
        <f t="shared" si="0"/>
        <v>0.77900000000000003</v>
      </c>
      <c r="I3" s="4">
        <f>PRODUCT($H$2:$H3)</f>
        <v>0.68637690000000007</v>
      </c>
      <c r="J3" s="2">
        <f t="shared" si="1"/>
        <v>-0.31362309999999993</v>
      </c>
      <c r="K3" s="2">
        <f>GEOMEAN($H$2:$H3)</f>
        <v>0.82847866598965603</v>
      </c>
      <c r="L3" s="2">
        <f t="shared" si="2"/>
        <v>-0.17152133401034397</v>
      </c>
      <c r="N3" t="s">
        <v>16</v>
      </c>
      <c r="O3" s="3">
        <v>0.45</v>
      </c>
      <c r="P3" s="1">
        <v>110</v>
      </c>
      <c r="Q3" s="1">
        <v>4</v>
      </c>
      <c r="R3" s="2">
        <f t="shared" si="3"/>
        <v>0.1399999999999999</v>
      </c>
      <c r="S3" s="2">
        <f t="shared" si="4"/>
        <v>6.2999999999999959E-2</v>
      </c>
    </row>
    <row r="4" spans="1:22" x14ac:dyDescent="0.3">
      <c r="F4">
        <v>3</v>
      </c>
      <c r="G4" s="2">
        <v>0.28689999999999999</v>
      </c>
      <c r="H4" s="2">
        <f t="shared" si="0"/>
        <v>1.2868999999999999</v>
      </c>
      <c r="I4" s="4">
        <f>PRODUCT($H$2:$H4)</f>
        <v>0.88329843261000007</v>
      </c>
      <c r="J4" s="2">
        <f t="shared" si="1"/>
        <v>-0.11670156738999993</v>
      </c>
      <c r="K4" s="2">
        <f>GEOMEAN($H$2:$H4)</f>
        <v>0.95947976464616169</v>
      </c>
      <c r="L4" s="2">
        <f t="shared" si="2"/>
        <v>-4.0520235353838308E-2</v>
      </c>
      <c r="N4" t="s">
        <v>17</v>
      </c>
      <c r="O4" s="3">
        <v>0.25</v>
      </c>
      <c r="P4" s="1">
        <v>89.75</v>
      </c>
      <c r="Q4" s="1">
        <v>3.5</v>
      </c>
      <c r="R4" s="2">
        <f t="shared" si="3"/>
        <v>-6.7500000000000004E-2</v>
      </c>
      <c r="S4" s="2">
        <f t="shared" si="4"/>
        <v>-1.6875000000000001E-2</v>
      </c>
    </row>
    <row r="5" spans="1:22" x14ac:dyDescent="0.3">
      <c r="F5">
        <v>4</v>
      </c>
      <c r="G5" s="2">
        <v>0.10879999999999999</v>
      </c>
      <c r="H5" s="2">
        <f t="shared" si="0"/>
        <v>1.1088</v>
      </c>
      <c r="I5" s="4">
        <f>PRODUCT($H$2:$H5)</f>
        <v>0.97940130207796805</v>
      </c>
      <c r="J5" s="2">
        <f t="shared" si="1"/>
        <v>-2.059869792203195E-2</v>
      </c>
      <c r="K5" s="2">
        <f>GEOMEAN($H$2:$H5)</f>
        <v>0.99481006194595845</v>
      </c>
      <c r="L5" s="2">
        <f t="shared" si="2"/>
        <v>-5.1899380540415541E-3</v>
      </c>
      <c r="N5" t="s">
        <v>18</v>
      </c>
      <c r="O5" s="3">
        <v>0.05</v>
      </c>
      <c r="P5" s="1">
        <v>46</v>
      </c>
      <c r="Q5" s="1">
        <v>2</v>
      </c>
      <c r="R5" s="2">
        <f t="shared" si="3"/>
        <v>-0.52</v>
      </c>
      <c r="S5" s="2">
        <f t="shared" si="4"/>
        <v>-2.6000000000000002E-2</v>
      </c>
    </row>
    <row r="6" spans="1:22" x14ac:dyDescent="0.3">
      <c r="F6">
        <v>5</v>
      </c>
      <c r="G6" s="2">
        <v>4.9099999999999998E-2</v>
      </c>
      <c r="H6" s="2">
        <f t="shared" si="0"/>
        <v>1.0490999999999999</v>
      </c>
      <c r="I6" s="4">
        <f>PRODUCT($H$2:$H6)</f>
        <v>1.0274899060099962</v>
      </c>
      <c r="J6" s="2">
        <f t="shared" si="1"/>
        <v>2.7489906009996234E-2</v>
      </c>
      <c r="K6" s="2">
        <f>GEOMEAN($H$2:$H6)</f>
        <v>1.0054385039627223</v>
      </c>
      <c r="L6" s="2">
        <f t="shared" si="2"/>
        <v>5.4385039627222742E-3</v>
      </c>
      <c r="N6" t="s">
        <v>20</v>
      </c>
      <c r="O6" s="5"/>
      <c r="P6" s="5"/>
      <c r="Q6" s="5"/>
      <c r="R6" s="5"/>
      <c r="S6" s="2">
        <f>SUBTOTAL(109,Table3[Weighted])</f>
        <v>9.7624999999999962E-2</v>
      </c>
    </row>
    <row r="7" spans="1:22" x14ac:dyDescent="0.3">
      <c r="F7" t="s">
        <v>22</v>
      </c>
      <c r="G7" s="6">
        <f>SUBTOTAL(101,Table2[Return])</f>
        <v>2.0979999999999999E-2</v>
      </c>
      <c r="H7" s="5"/>
      <c r="I7" s="5"/>
      <c r="J7" s="5"/>
      <c r="K7" s="5"/>
      <c r="L7" s="6"/>
    </row>
    <row r="9" spans="1:22" x14ac:dyDescent="0.3">
      <c r="F9" t="s">
        <v>4</v>
      </c>
      <c r="G9" s="2" t="s">
        <v>5</v>
      </c>
      <c r="H9" s="2" t="s">
        <v>6</v>
      </c>
      <c r="I9" s="4" t="s">
        <v>7</v>
      </c>
      <c r="J9" s="2" t="s">
        <v>8</v>
      </c>
      <c r="K9" t="s">
        <v>9</v>
      </c>
      <c r="L9" t="s">
        <v>21</v>
      </c>
      <c r="O9" s="3" t="s">
        <v>11</v>
      </c>
      <c r="P9" s="1" t="s">
        <v>12</v>
      </c>
      <c r="Q9" s="1" t="s">
        <v>13</v>
      </c>
      <c r="R9" s="2" t="s">
        <v>14</v>
      </c>
      <c r="S9" s="2" t="s">
        <v>19</v>
      </c>
      <c r="T9" s="4" t="s">
        <v>24</v>
      </c>
      <c r="U9" s="4" t="s">
        <v>25</v>
      </c>
      <c r="V9" s="2" t="s">
        <v>26</v>
      </c>
    </row>
    <row r="10" spans="1:22" x14ac:dyDescent="0.3">
      <c r="F10">
        <v>1</v>
      </c>
      <c r="G10" s="2">
        <v>-0.1</v>
      </c>
      <c r="H10" s="2">
        <f t="shared" ref="H10:H12" si="5">1+$G10</f>
        <v>0.9</v>
      </c>
      <c r="I10" s="4">
        <f>PRODUCT($H$10:$H10)</f>
        <v>0.9</v>
      </c>
      <c r="J10" s="2">
        <f t="shared" ref="J10:J12" si="6">$I10-1</f>
        <v>-9.9999999999999978E-2</v>
      </c>
      <c r="K10" s="2">
        <f>GEOMEAN($H$10:$H10)</f>
        <v>0.9</v>
      </c>
      <c r="L10" s="2">
        <f t="shared" ref="L10:L12" si="7">$K10-1</f>
        <v>-9.9999999999999978E-2</v>
      </c>
      <c r="O10" s="3">
        <v>0.25</v>
      </c>
      <c r="P10" s="1">
        <v>140</v>
      </c>
      <c r="Q10" s="1">
        <v>0</v>
      </c>
      <c r="R10" s="2">
        <f>($P10+$Q10)/100-1</f>
        <v>0.39999999999999991</v>
      </c>
      <c r="S10" s="2">
        <f>$O10*$R10</f>
        <v>9.9999999999999978E-2</v>
      </c>
      <c r="T10" s="4">
        <f t="shared" ref="T10:T12" si="8">POWER($R10-$S$13,2)</f>
        <v>8.9999999999999927E-2</v>
      </c>
      <c r="U10" s="4">
        <f t="shared" ref="U10:U12" si="9">$T10*$O10</f>
        <v>2.2499999999999982E-2</v>
      </c>
    </row>
    <row r="11" spans="1:22" x14ac:dyDescent="0.3">
      <c r="F11">
        <v>2</v>
      </c>
      <c r="G11" s="2">
        <v>0.2</v>
      </c>
      <c r="H11" s="2">
        <f t="shared" si="5"/>
        <v>1.2</v>
      </c>
      <c r="I11" s="4">
        <f>PRODUCT($H$10:$H11)</f>
        <v>1.08</v>
      </c>
      <c r="J11" s="2">
        <f t="shared" si="6"/>
        <v>8.0000000000000071E-2</v>
      </c>
      <c r="K11" s="2">
        <f>GEOMEAN($H$10:$H11)</f>
        <v>1.0392304845413265</v>
      </c>
      <c r="L11" s="2">
        <f t="shared" si="7"/>
        <v>3.9230484541326494E-2</v>
      </c>
      <c r="O11" s="3">
        <v>0.5</v>
      </c>
      <c r="P11" s="1">
        <v>110</v>
      </c>
      <c r="Q11" s="1">
        <v>0</v>
      </c>
      <c r="R11" s="2">
        <f>($P11+$Q11)/100-1</f>
        <v>0.10000000000000009</v>
      </c>
      <c r="S11" s="2">
        <f>$O11*$R11</f>
        <v>5.0000000000000044E-2</v>
      </c>
      <c r="T11" s="4">
        <f t="shared" si="8"/>
        <v>3.0814879110195774E-33</v>
      </c>
      <c r="U11" s="4">
        <f t="shared" si="9"/>
        <v>1.5407439555097887E-33</v>
      </c>
    </row>
    <row r="12" spans="1:22" x14ac:dyDescent="0.3">
      <c r="F12">
        <v>3</v>
      </c>
      <c r="G12" s="2">
        <v>0.3</v>
      </c>
      <c r="H12" s="2">
        <f t="shared" si="5"/>
        <v>1.3</v>
      </c>
      <c r="I12" s="4">
        <f>PRODUCT($H$10:$H12)</f>
        <v>1.4040000000000001</v>
      </c>
      <c r="J12" s="2">
        <f t="shared" si="6"/>
        <v>0.40400000000000014</v>
      </c>
      <c r="K12" s="2">
        <f>GEOMEAN($H$10:$H12)</f>
        <v>1.1197533470451746</v>
      </c>
      <c r="L12" s="2">
        <f t="shared" si="7"/>
        <v>0.1197533470451746</v>
      </c>
      <c r="O12" s="3">
        <v>0.25</v>
      </c>
      <c r="P12" s="1">
        <v>80</v>
      </c>
      <c r="Q12" s="1">
        <v>0</v>
      </c>
      <c r="R12" s="2">
        <f>($P12+$Q12)/100-1</f>
        <v>-0.19999999999999996</v>
      </c>
      <c r="S12" s="2">
        <f>$O12*$R12</f>
        <v>-4.9999999999999989E-2</v>
      </c>
      <c r="T12" s="4">
        <f t="shared" si="8"/>
        <v>0.09</v>
      </c>
      <c r="U12" s="4">
        <f t="shared" si="9"/>
        <v>2.2499999999999999E-2</v>
      </c>
    </row>
    <row r="13" spans="1:22" x14ac:dyDescent="0.3">
      <c r="F13" t="s">
        <v>22</v>
      </c>
      <c r="G13" s="6">
        <f>SUBTOTAL(101,Table25[Return])</f>
        <v>0.13333333333333333</v>
      </c>
      <c r="H13" s="5"/>
      <c r="I13" s="5"/>
      <c r="J13" s="5"/>
      <c r="K13" s="5"/>
      <c r="L13" s="6"/>
      <c r="O13" s="5" t="s">
        <v>23</v>
      </c>
      <c r="P13" s="5"/>
      <c r="Q13" s="5"/>
      <c r="R13" s="5"/>
      <c r="S13" s="2">
        <f>SUBTOTAL(109,Table37[Weighted])</f>
        <v>0.10000000000000003</v>
      </c>
      <c r="U13" s="4">
        <f>SUBTOTAL(109,Table37[WtdVar])</f>
        <v>4.4999999999999984E-2</v>
      </c>
      <c r="V13" s="2">
        <f>SQRT($U13)</f>
        <v>0.21213203435596423</v>
      </c>
    </row>
    <row r="15" spans="1:22" x14ac:dyDescent="0.3">
      <c r="F15" t="s">
        <v>4</v>
      </c>
      <c r="G15" s="2" t="s">
        <v>5</v>
      </c>
      <c r="H15" s="2" t="s">
        <v>6</v>
      </c>
      <c r="I15" s="4" t="s">
        <v>7</v>
      </c>
      <c r="J15" s="2" t="s">
        <v>8</v>
      </c>
      <c r="K15" t="s">
        <v>9</v>
      </c>
      <c r="L15" t="s">
        <v>21</v>
      </c>
    </row>
    <row r="16" spans="1:22" x14ac:dyDescent="0.3">
      <c r="F16">
        <v>1</v>
      </c>
      <c r="G16" s="2">
        <v>0.12</v>
      </c>
      <c r="H16" s="2">
        <f t="shared" ref="H16:H18" si="10">1+$G16</f>
        <v>1.1200000000000001</v>
      </c>
      <c r="I16" s="4">
        <f>PRODUCT($H$16:$H16)</f>
        <v>1.1200000000000001</v>
      </c>
      <c r="J16" s="2">
        <f t="shared" ref="J16:J18" si="11">$I16-1</f>
        <v>0.12000000000000011</v>
      </c>
      <c r="K16" s="2">
        <f>GEOMEAN($H$16:$H16)</f>
        <v>1.1200000000000001</v>
      </c>
      <c r="L16" s="2">
        <f t="shared" ref="L16:L18" si="12">$K16-1</f>
        <v>0.12000000000000011</v>
      </c>
      <c r="O16" s="3" t="s">
        <v>11</v>
      </c>
      <c r="P16" s="1" t="s">
        <v>12</v>
      </c>
      <c r="Q16" s="1" t="s">
        <v>13</v>
      </c>
      <c r="R16" s="2" t="s">
        <v>14</v>
      </c>
      <c r="S16" s="2" t="s">
        <v>19</v>
      </c>
      <c r="T16" s="4" t="s">
        <v>24</v>
      </c>
      <c r="U16" s="4" t="s">
        <v>25</v>
      </c>
      <c r="V16" s="2" t="s">
        <v>26</v>
      </c>
    </row>
    <row r="17" spans="6:22" x14ac:dyDescent="0.3">
      <c r="F17">
        <v>2</v>
      </c>
      <c r="G17" s="2">
        <v>-0.1</v>
      </c>
      <c r="H17" s="2">
        <f t="shared" si="10"/>
        <v>0.9</v>
      </c>
      <c r="I17" s="4">
        <f>PRODUCT($H$16:$H17)</f>
        <v>1.0080000000000002</v>
      </c>
      <c r="J17" s="2">
        <f t="shared" si="11"/>
        <v>8.0000000000002292E-3</v>
      </c>
      <c r="K17" s="2">
        <f>GEOMEAN($H$16:$H17)</f>
        <v>1.0039920318408908</v>
      </c>
      <c r="L17" s="2">
        <f t="shared" si="12"/>
        <v>3.9920318408908084E-3</v>
      </c>
      <c r="O17" s="3">
        <v>0.3</v>
      </c>
      <c r="P17" s="1">
        <v>110</v>
      </c>
      <c r="Q17" s="1">
        <v>0</v>
      </c>
      <c r="R17" s="2">
        <f>($P17+$Q17)/100-1</f>
        <v>0.10000000000000009</v>
      </c>
      <c r="S17" s="2">
        <f>$O17*$R17</f>
        <v>3.0000000000000027E-2</v>
      </c>
      <c r="T17" s="4">
        <f t="shared" ref="T17:T19" si="13">POWER($R17-$S$20,2)</f>
        <v>1.5999999999999983E-3</v>
      </c>
      <c r="U17" s="4">
        <f t="shared" ref="U17:U19" si="14">$T17*$O17</f>
        <v>4.7999999999999947E-4</v>
      </c>
    </row>
    <row r="18" spans="6:22" x14ac:dyDescent="0.3">
      <c r="F18">
        <v>3</v>
      </c>
      <c r="G18" s="2">
        <v>0.05</v>
      </c>
      <c r="H18" s="2">
        <f t="shared" si="10"/>
        <v>1.05</v>
      </c>
      <c r="I18" s="4">
        <f>PRODUCT($H$16:$H18)</f>
        <v>1.0584000000000002</v>
      </c>
      <c r="J18" s="2">
        <f t="shared" si="11"/>
        <v>5.840000000000023E-2</v>
      </c>
      <c r="K18" s="2">
        <f>GEOMEAN($H$16:$H18)</f>
        <v>1.0190995513450865</v>
      </c>
      <c r="L18" s="2">
        <f t="shared" si="12"/>
        <v>1.9099551345086452E-2</v>
      </c>
      <c r="O18" s="3">
        <v>0.4</v>
      </c>
      <c r="P18" s="1">
        <v>105</v>
      </c>
      <c r="Q18" s="1">
        <v>0</v>
      </c>
      <c r="R18" s="2">
        <f>($P18+$Q18)/100-1</f>
        <v>5.0000000000000044E-2</v>
      </c>
      <c r="S18" s="2">
        <f>$O18*$R18</f>
        <v>2.0000000000000018E-2</v>
      </c>
      <c r="T18" s="4">
        <f t="shared" si="13"/>
        <v>8.1000000000000048E-3</v>
      </c>
      <c r="U18" s="4">
        <f t="shared" si="14"/>
        <v>3.240000000000002E-3</v>
      </c>
    </row>
    <row r="19" spans="6:22" x14ac:dyDescent="0.3">
      <c r="F19" t="s">
        <v>22</v>
      </c>
      <c r="G19" s="6">
        <f>SUBTOTAL(101,Table256[Return])</f>
        <v>2.3333333333333331E-2</v>
      </c>
      <c r="H19" s="5"/>
      <c r="I19" s="5"/>
      <c r="J19" s="5"/>
      <c r="K19" s="5"/>
      <c r="L19" s="6"/>
      <c r="O19" s="3">
        <v>0.3</v>
      </c>
      <c r="P19" s="1">
        <v>130</v>
      </c>
      <c r="Q19" s="1">
        <v>0</v>
      </c>
      <c r="R19" s="2">
        <f>($P19+$Q19)/100-1</f>
        <v>0.30000000000000004</v>
      </c>
      <c r="S19" s="2">
        <f>$O19*$R19</f>
        <v>9.0000000000000011E-2</v>
      </c>
      <c r="T19" s="4">
        <f t="shared" si="13"/>
        <v>2.5599999999999991E-2</v>
      </c>
      <c r="U19" s="4">
        <f t="shared" si="14"/>
        <v>7.6799999999999967E-3</v>
      </c>
    </row>
    <row r="20" spans="6:22" x14ac:dyDescent="0.3">
      <c r="O20" s="5" t="s">
        <v>23</v>
      </c>
      <c r="P20" s="5"/>
      <c r="Q20" s="5"/>
      <c r="R20" s="5"/>
      <c r="S20" s="2">
        <f>SUBTOTAL(109,Table378[Weighted])</f>
        <v>0.14000000000000007</v>
      </c>
      <c r="U20" s="4">
        <f>SUBTOTAL(109,Table378[WtdVar])</f>
        <v>1.1399999999999999E-2</v>
      </c>
      <c r="V20" s="2">
        <f>SQRT($U20)</f>
        <v>0.10677078252031311</v>
      </c>
    </row>
    <row r="23" spans="6:22" x14ac:dyDescent="0.3">
      <c r="F23" t="s">
        <v>4</v>
      </c>
      <c r="G23" s="2" t="s">
        <v>5</v>
      </c>
      <c r="H23" s="2" t="s">
        <v>6</v>
      </c>
      <c r="I23" s="4" t="s">
        <v>7</v>
      </c>
      <c r="J23" s="2" t="s">
        <v>8</v>
      </c>
      <c r="K23" t="s">
        <v>9</v>
      </c>
      <c r="L23" t="s">
        <v>21</v>
      </c>
      <c r="O23" s="3" t="s">
        <v>11</v>
      </c>
      <c r="P23" s="1" t="s">
        <v>12</v>
      </c>
      <c r="Q23" s="1" t="s">
        <v>13</v>
      </c>
      <c r="R23" s="2" t="s">
        <v>14</v>
      </c>
      <c r="S23" s="2" t="s">
        <v>19</v>
      </c>
      <c r="T23" s="4" t="s">
        <v>24</v>
      </c>
      <c r="U23" s="4" t="s">
        <v>25</v>
      </c>
      <c r="V23" s="2" t="s">
        <v>26</v>
      </c>
    </row>
    <row r="24" spans="6:22" x14ac:dyDescent="0.3">
      <c r="F24">
        <v>1</v>
      </c>
      <c r="G24" s="2">
        <v>-0.1</v>
      </c>
      <c r="H24" s="2">
        <f t="shared" ref="H24:H26" si="15">1+$G24</f>
        <v>0.9</v>
      </c>
      <c r="I24" s="4">
        <f>PRODUCT($H$24:$H24)</f>
        <v>0.9</v>
      </c>
      <c r="J24" s="2">
        <f t="shared" ref="J24:J26" si="16">$I24-1</f>
        <v>-9.9999999999999978E-2</v>
      </c>
      <c r="K24" s="2">
        <f>GEOMEAN($H$24:$H24)</f>
        <v>0.9</v>
      </c>
      <c r="L24" s="2">
        <f t="shared" ref="L24:L26" si="17">$K24-1</f>
        <v>-9.9999999999999978E-2</v>
      </c>
      <c r="O24" s="3">
        <v>0.4</v>
      </c>
      <c r="P24" s="1">
        <v>110</v>
      </c>
      <c r="Q24" s="1">
        <v>0</v>
      </c>
      <c r="R24" s="2">
        <f>($P24+$Q24)/100-1</f>
        <v>0.10000000000000009</v>
      </c>
      <c r="S24" s="2">
        <f>$O24*$R24</f>
        <v>4.0000000000000036E-2</v>
      </c>
      <c r="T24" s="4">
        <f t="shared" ref="T24:T26" si="18">POWER($R24-$S$27,2)</f>
        <v>1.4399999999999972E-2</v>
      </c>
      <c r="U24" s="4">
        <f t="shared" ref="U24:U26" si="19">$T24*$O24</f>
        <v>5.7599999999999891E-3</v>
      </c>
    </row>
    <row r="25" spans="6:22" x14ac:dyDescent="0.3">
      <c r="F25">
        <v>2</v>
      </c>
      <c r="G25" s="2">
        <v>-0.2</v>
      </c>
      <c r="H25" s="2">
        <f t="shared" si="15"/>
        <v>0.8</v>
      </c>
      <c r="I25" s="4">
        <f>PRODUCT($H$24:$H25)</f>
        <v>0.72000000000000008</v>
      </c>
      <c r="J25" s="2">
        <f t="shared" si="16"/>
        <v>-0.27999999999999992</v>
      </c>
      <c r="K25" s="2">
        <f>GEOMEAN($H$24:$H25)</f>
        <v>0.84852813742385713</v>
      </c>
      <c r="L25" s="2">
        <f t="shared" si="17"/>
        <v>-0.15147186257614287</v>
      </c>
      <c r="O25" s="3">
        <v>0.3</v>
      </c>
      <c r="P25" s="1">
        <v>140</v>
      </c>
      <c r="Q25" s="1">
        <v>0</v>
      </c>
      <c r="R25" s="2">
        <f>($P25+$Q25)/100-1</f>
        <v>0.39999999999999991</v>
      </c>
      <c r="S25" s="2">
        <f>$O25*$R25</f>
        <v>0.11999999999999997</v>
      </c>
      <c r="T25" s="4">
        <f t="shared" si="18"/>
        <v>3.2399999999999977E-2</v>
      </c>
      <c r="U25" s="4">
        <f t="shared" si="19"/>
        <v>9.7199999999999925E-3</v>
      </c>
    </row>
    <row r="26" spans="6:22" x14ac:dyDescent="0.3">
      <c r="F26">
        <v>3</v>
      </c>
      <c r="G26" s="2">
        <v>0.3</v>
      </c>
      <c r="H26" s="2">
        <f t="shared" si="15"/>
        <v>1.3</v>
      </c>
      <c r="I26" s="4">
        <f>PRODUCT($H$24:$H26)</f>
        <v>0.93600000000000017</v>
      </c>
      <c r="J26" s="2">
        <f t="shared" si="16"/>
        <v>-6.3999999999999835E-2</v>
      </c>
      <c r="K26" s="2">
        <f>GEOMEAN($H$24:$H26)</f>
        <v>0.97819464930174971</v>
      </c>
      <c r="L26" s="2">
        <f t="shared" si="17"/>
        <v>-2.1805350698250292E-2</v>
      </c>
      <c r="O26" s="3">
        <v>0.3</v>
      </c>
      <c r="P26" s="1">
        <v>120</v>
      </c>
      <c r="Q26" s="1">
        <v>0</v>
      </c>
      <c r="R26" s="2">
        <f>($P26+$Q26)/100-1</f>
        <v>0.19999999999999996</v>
      </c>
      <c r="S26" s="2">
        <f>$O26*$R26</f>
        <v>5.9999999999999984E-2</v>
      </c>
      <c r="T26" s="4">
        <f t="shared" si="18"/>
        <v>4.0000000000000072E-4</v>
      </c>
      <c r="U26" s="4">
        <f t="shared" si="19"/>
        <v>1.2000000000000021E-4</v>
      </c>
    </row>
    <row r="27" spans="6:22" x14ac:dyDescent="0.3">
      <c r="F27">
        <v>4</v>
      </c>
      <c r="G27" s="2">
        <v>0.2</v>
      </c>
      <c r="H27" s="2">
        <f>1+$G27</f>
        <v>1.2</v>
      </c>
      <c r="I27" s="4">
        <f>PRODUCT($H$24:$H27)</f>
        <v>1.1232000000000002</v>
      </c>
      <c r="J27" s="7">
        <f>$I27-1</f>
        <v>0.1232000000000002</v>
      </c>
      <c r="K27" s="2">
        <f>GEOMEAN($H$24:$H27)</f>
        <v>1.0294713711217722</v>
      </c>
      <c r="L27" s="2">
        <f>$K27-1</f>
        <v>2.9471371121772227E-2</v>
      </c>
      <c r="O27" s="5" t="s">
        <v>23</v>
      </c>
      <c r="P27" s="5"/>
      <c r="Q27" s="5"/>
      <c r="R27" s="5"/>
      <c r="S27" s="2">
        <f>SUBTOTAL(109,Table3789[Weighted])</f>
        <v>0.21999999999999997</v>
      </c>
      <c r="U27" s="4">
        <f>SUBTOTAL(109,Table3789[WtdVar])</f>
        <v>1.5599999999999982E-2</v>
      </c>
      <c r="V27" s="2">
        <f>SQRT($U27)</f>
        <v>0.12489995996796789</v>
      </c>
    </row>
    <row r="28" spans="6:22" x14ac:dyDescent="0.3">
      <c r="F28">
        <v>5</v>
      </c>
      <c r="G28" s="2">
        <v>0.15</v>
      </c>
      <c r="H28" s="2">
        <f>1+$G28</f>
        <v>1.1499999999999999</v>
      </c>
      <c r="I28" s="4">
        <f>PRODUCT($H$24:$H28)</f>
        <v>1.2916800000000002</v>
      </c>
      <c r="J28" s="7">
        <f>$I28-1</f>
        <v>0.29168000000000016</v>
      </c>
      <c r="K28" s="2">
        <f>GEOMEAN($H$24:$H28)</f>
        <v>1.0525215267484762</v>
      </c>
      <c r="L28" s="2">
        <f>$K28-1</f>
        <v>5.252152674847621E-2</v>
      </c>
    </row>
    <row r="29" spans="6:22" x14ac:dyDescent="0.3">
      <c r="F29" t="s">
        <v>22</v>
      </c>
      <c r="G29" s="6">
        <f>SUBTOTAL(101,Table25610[Return])</f>
        <v>6.9999999999999993E-2</v>
      </c>
      <c r="H29" s="5"/>
      <c r="I29" s="5"/>
      <c r="J29" s="5"/>
      <c r="K29" s="5"/>
      <c r="L29" s="6"/>
    </row>
    <row r="31" spans="6:22" x14ac:dyDescent="0.3">
      <c r="N31" t="s">
        <v>10</v>
      </c>
      <c r="O31" s="3" t="s">
        <v>11</v>
      </c>
      <c r="P31" s="1" t="s">
        <v>12</v>
      </c>
      <c r="Q31" s="1" t="s">
        <v>13</v>
      </c>
      <c r="R31" s="2" t="s">
        <v>14</v>
      </c>
      <c r="S31" s="2" t="s">
        <v>19</v>
      </c>
    </row>
    <row r="32" spans="6:22" x14ac:dyDescent="0.3">
      <c r="N32" t="s">
        <v>18</v>
      </c>
      <c r="O32" s="3">
        <v>0.25</v>
      </c>
      <c r="P32" s="1">
        <v>160</v>
      </c>
      <c r="Q32" s="1">
        <v>5</v>
      </c>
      <c r="R32" s="2">
        <f t="shared" ref="R32:R35" si="20">($P32+$Q32)/160-1</f>
        <v>3.125E-2</v>
      </c>
      <c r="S32" s="2">
        <f t="shared" ref="S32:S35" si="21">$O32*$R32</f>
        <v>7.8125E-3</v>
      </c>
    </row>
    <row r="33" spans="14:22" x14ac:dyDescent="0.3">
      <c r="N33" t="s">
        <v>17</v>
      </c>
      <c r="O33" s="3">
        <v>0.4</v>
      </c>
      <c r="P33" s="1">
        <v>150</v>
      </c>
      <c r="Q33" s="1">
        <v>10</v>
      </c>
      <c r="R33" s="2">
        <f t="shared" si="20"/>
        <v>0</v>
      </c>
      <c r="S33" s="2">
        <f t="shared" si="21"/>
        <v>0</v>
      </c>
    </row>
    <row r="34" spans="14:22" x14ac:dyDescent="0.3">
      <c r="N34" t="s">
        <v>16</v>
      </c>
      <c r="O34" s="3">
        <v>0.3</v>
      </c>
      <c r="P34" s="1">
        <v>160</v>
      </c>
      <c r="Q34" s="1">
        <v>20</v>
      </c>
      <c r="R34" s="2">
        <f t="shared" si="20"/>
        <v>0.125</v>
      </c>
      <c r="S34" s="2">
        <f t="shared" si="21"/>
        <v>3.7499999999999999E-2</v>
      </c>
    </row>
    <row r="35" spans="14:22" x14ac:dyDescent="0.3">
      <c r="N35" t="s">
        <v>15</v>
      </c>
      <c r="O35" s="3">
        <v>0.05</v>
      </c>
      <c r="P35" s="1">
        <v>200</v>
      </c>
      <c r="Q35" s="1">
        <v>30</v>
      </c>
      <c r="R35" s="2">
        <f t="shared" si="20"/>
        <v>0.4375</v>
      </c>
      <c r="S35" s="2">
        <f t="shared" si="21"/>
        <v>2.1875000000000002E-2</v>
      </c>
    </row>
    <row r="36" spans="14:22" x14ac:dyDescent="0.3">
      <c r="N36" t="s">
        <v>20</v>
      </c>
      <c r="O36" s="5"/>
      <c r="P36" s="5"/>
      <c r="Q36" s="5"/>
      <c r="R36" s="5"/>
      <c r="S36" s="2">
        <f>SUBTOTAL(109,Table311[Weighted])</f>
        <v>6.7187499999999997E-2</v>
      </c>
    </row>
    <row r="38" spans="14:22" x14ac:dyDescent="0.3">
      <c r="O38" s="3" t="s">
        <v>11</v>
      </c>
      <c r="P38" s="1" t="s">
        <v>12</v>
      </c>
      <c r="Q38" s="1" t="s">
        <v>13</v>
      </c>
      <c r="R38" s="2" t="s">
        <v>14</v>
      </c>
      <c r="S38" s="2" t="s">
        <v>19</v>
      </c>
      <c r="T38" s="4" t="s">
        <v>24</v>
      </c>
      <c r="U38" s="4" t="s">
        <v>25</v>
      </c>
      <c r="V38" s="2" t="s">
        <v>26</v>
      </c>
    </row>
    <row r="39" spans="14:22" x14ac:dyDescent="0.3">
      <c r="O39" s="3">
        <v>0.6</v>
      </c>
      <c r="P39" s="1">
        <v>150</v>
      </c>
      <c r="Q39" s="1">
        <v>0</v>
      </c>
      <c r="R39" s="2">
        <f>($P39+$Q39)/100-1</f>
        <v>0.5</v>
      </c>
      <c r="S39" s="2">
        <f>$O39*$R39</f>
        <v>0.3</v>
      </c>
      <c r="T39" s="4">
        <f t="shared" ref="T39:T40" si="22">POWER($R39-$S$41,2)</f>
        <v>0.10240000000000005</v>
      </c>
      <c r="U39" s="4">
        <f t="shared" ref="U39:U40" si="23">$T39*$O39</f>
        <v>6.1440000000000022E-2</v>
      </c>
    </row>
    <row r="40" spans="14:22" x14ac:dyDescent="0.3">
      <c r="O40" s="3">
        <v>0.4</v>
      </c>
      <c r="P40" s="1">
        <v>70</v>
      </c>
      <c r="Q40" s="1">
        <v>0</v>
      </c>
      <c r="R40" s="2">
        <f>($P40+$Q40)/100-1</f>
        <v>-0.30000000000000004</v>
      </c>
      <c r="S40" s="2">
        <f>$O40*$R40</f>
        <v>-0.12000000000000002</v>
      </c>
      <c r="T40" s="4">
        <f t="shared" si="22"/>
        <v>0.23039999999999999</v>
      </c>
      <c r="U40" s="4">
        <f t="shared" si="23"/>
        <v>9.2160000000000006E-2</v>
      </c>
    </row>
    <row r="41" spans="14:22" x14ac:dyDescent="0.3">
      <c r="O41" s="5" t="s">
        <v>23</v>
      </c>
      <c r="P41" s="5"/>
      <c r="Q41" s="5"/>
      <c r="R41" s="5"/>
      <c r="S41" s="2">
        <f>SUBTOTAL(109,Table378912[Weighted])</f>
        <v>0.17999999999999997</v>
      </c>
      <c r="U41" s="4">
        <f>SUBTOTAL(109,Table378912[WtdVar])</f>
        <v>0.15360000000000001</v>
      </c>
      <c r="V41" s="2">
        <f>SQRT($U41)</f>
        <v>0.39191835884530851</v>
      </c>
    </row>
  </sheetData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2"/>
  <sheetViews>
    <sheetView topLeftCell="BO1" workbookViewId="0">
      <selection activeCell="BY1" sqref="BY1"/>
    </sheetView>
  </sheetViews>
  <sheetFormatPr defaultRowHeight="15.6" x14ac:dyDescent="0.3"/>
  <cols>
    <col min="1" max="1" width="10.81640625" bestFit="1" customWidth="1"/>
    <col min="2" max="2" width="8.6328125" style="3" bestFit="1" customWidth="1"/>
    <col min="3" max="3" width="8.6328125" style="2" bestFit="1" customWidth="1"/>
    <col min="4" max="4" width="9.6328125" style="2" bestFit="1" customWidth="1"/>
    <col min="5" max="5" width="8.6328125" style="2" bestFit="1" customWidth="1"/>
    <col min="6" max="6" width="7.6328125" style="2" bestFit="1" customWidth="1"/>
    <col min="7" max="8" width="9.6328125" bestFit="1" customWidth="1"/>
    <col min="9" max="10" width="6.6328125" style="2" bestFit="1" customWidth="1"/>
    <col min="11" max="11" width="6.6328125" bestFit="1" customWidth="1"/>
    <col min="12" max="12" width="6.81640625" bestFit="1" customWidth="1"/>
    <col min="13" max="13" width="8.6328125" bestFit="1" customWidth="1"/>
    <col min="14" max="15" width="8.6328125" style="2" bestFit="1" customWidth="1"/>
    <col min="16" max="16" width="9.6328125" bestFit="1" customWidth="1"/>
    <col min="17" max="17" width="8.6328125" style="15" bestFit="1" customWidth="1"/>
    <col min="18" max="20" width="9.81640625" style="18" bestFit="1" customWidth="1"/>
    <col min="21" max="22" width="8.6328125" bestFit="1" customWidth="1"/>
    <col min="23" max="23" width="7.81640625" bestFit="1" customWidth="1"/>
    <col min="24" max="25" width="6.81640625" bestFit="1" customWidth="1"/>
    <col min="26" max="27" width="7.6328125" bestFit="1" customWidth="1"/>
    <col min="28" max="28" width="7.6328125" style="2" bestFit="1" customWidth="1"/>
    <col min="29" max="29" width="8.81640625" style="15" bestFit="1" customWidth="1"/>
    <col min="30" max="30" width="10" style="15" customWidth="1"/>
    <col min="31" max="31" width="7.81640625" style="16" bestFit="1" customWidth="1"/>
    <col min="32" max="33" width="6.81640625" bestFit="1" customWidth="1"/>
    <col min="34" max="34" width="7.6328125" bestFit="1" customWidth="1"/>
    <col min="35" max="35" width="8.6328125" style="2" bestFit="1" customWidth="1"/>
    <col min="36" max="36" width="9.6328125" style="3" bestFit="1" customWidth="1"/>
    <col min="37" max="37" width="9.6328125" style="3" customWidth="1"/>
    <col min="38" max="38" width="9.6328125" style="18" customWidth="1"/>
    <col min="39" max="40" width="9.6328125" style="17" customWidth="1"/>
    <col min="41" max="41" width="8.6328125" style="2" bestFit="1" customWidth="1"/>
    <col min="42" max="42" width="7.6328125" bestFit="1" customWidth="1"/>
    <col min="43" max="43" width="8.6328125" style="1" bestFit="1" customWidth="1"/>
    <col min="44" max="44" width="6.81640625" style="1" bestFit="1" customWidth="1"/>
    <col min="45" max="45" width="8.6328125" style="2" bestFit="1" customWidth="1"/>
    <col min="46" max="46" width="9.6328125" style="2" bestFit="1" customWidth="1"/>
    <col min="47" max="48" width="13.90625" bestFit="1" customWidth="1"/>
    <col min="49" max="49" width="9.6328125" bestFit="1" customWidth="1"/>
    <col min="50" max="50" width="5.81640625" bestFit="1" customWidth="1"/>
    <col min="51" max="51" width="13.90625" style="2" bestFit="1" customWidth="1"/>
    <col min="52" max="52" width="13.6328125" bestFit="1" customWidth="1"/>
    <col min="53" max="53" width="11.81640625" bestFit="1" customWidth="1"/>
    <col min="54" max="54" width="12.90625" bestFit="1" customWidth="1"/>
    <col min="55" max="55" width="9.6328125" bestFit="1" customWidth="1"/>
    <col min="57" max="58" width="8.7265625" style="2"/>
    <col min="61" max="61" width="8.7265625" style="2"/>
    <col min="64" max="64" width="8.7265625" style="23"/>
    <col min="65" max="66" width="8.7265625" style="24"/>
    <col min="69" max="69" width="8.7265625" style="2"/>
    <col min="71" max="71" width="10.36328125" customWidth="1"/>
    <col min="72" max="72" width="8.7265625" style="2"/>
    <col min="73" max="73" width="14.6328125" style="1" customWidth="1"/>
    <col min="74" max="74" width="8.7265625" style="3"/>
    <col min="75" max="75" width="8.7265625" style="2"/>
  </cols>
  <sheetData>
    <row r="1" spans="1:75" x14ac:dyDescent="0.3">
      <c r="A1" t="s">
        <v>10</v>
      </c>
      <c r="B1" s="3" t="s">
        <v>27</v>
      </c>
      <c r="C1" s="2" t="s">
        <v>28</v>
      </c>
      <c r="D1" s="2" t="s">
        <v>29</v>
      </c>
      <c r="E1" s="2" t="s">
        <v>30</v>
      </c>
      <c r="F1" s="2" t="s">
        <v>35</v>
      </c>
      <c r="G1" s="2" t="s">
        <v>36</v>
      </c>
      <c r="H1" s="2" t="s">
        <v>37</v>
      </c>
      <c r="I1" s="2" t="s">
        <v>67</v>
      </c>
      <c r="J1" s="2" t="s">
        <v>68</v>
      </c>
      <c r="K1" s="2" t="s">
        <v>69</v>
      </c>
      <c r="L1" t="s">
        <v>38</v>
      </c>
      <c r="M1" t="s">
        <v>39</v>
      </c>
      <c r="N1" t="s">
        <v>40</v>
      </c>
      <c r="O1" s="2" t="s">
        <v>41</v>
      </c>
      <c r="P1" s="12" t="s">
        <v>42</v>
      </c>
      <c r="Q1" s="15" t="s">
        <v>71</v>
      </c>
      <c r="R1" s="18" t="s">
        <v>72</v>
      </c>
      <c r="S1" s="18" t="s">
        <v>73</v>
      </c>
      <c r="T1" s="18" t="s">
        <v>74</v>
      </c>
      <c r="V1" s="3" t="s">
        <v>27</v>
      </c>
      <c r="W1" s="2" t="s">
        <v>43</v>
      </c>
      <c r="X1" s="2" t="s">
        <v>45</v>
      </c>
      <c r="Y1" s="2" t="s">
        <v>47</v>
      </c>
      <c r="Z1" s="2" t="s">
        <v>44</v>
      </c>
      <c r="AA1" s="2" t="s">
        <v>46</v>
      </c>
      <c r="AB1" s="2" t="s">
        <v>48</v>
      </c>
      <c r="AC1" s="15" t="s">
        <v>75</v>
      </c>
      <c r="AD1" s="15" t="s">
        <v>76</v>
      </c>
      <c r="AE1" s="15" t="s">
        <v>77</v>
      </c>
      <c r="AF1" s="2" t="s">
        <v>49</v>
      </c>
      <c r="AG1" s="2" t="s">
        <v>51</v>
      </c>
      <c r="AH1" s="2" t="s">
        <v>50</v>
      </c>
      <c r="AI1" s="2" t="s">
        <v>41</v>
      </c>
      <c r="AJ1" s="12" t="s">
        <v>42</v>
      </c>
      <c r="AK1" s="12" t="s">
        <v>71</v>
      </c>
      <c r="AL1" s="18" t="s">
        <v>78</v>
      </c>
      <c r="AM1" s="17" t="s">
        <v>79</v>
      </c>
      <c r="AN1" s="17" t="s">
        <v>80</v>
      </c>
      <c r="AO1"/>
      <c r="AP1" t="s">
        <v>52</v>
      </c>
      <c r="AQ1" s="2" t="s">
        <v>53</v>
      </c>
      <c r="AR1" s="3" t="s">
        <v>54</v>
      </c>
      <c r="AS1" s="2" t="s">
        <v>55</v>
      </c>
      <c r="AT1"/>
      <c r="AU1" s="1" t="s">
        <v>60</v>
      </c>
      <c r="AV1" s="1" t="s">
        <v>59</v>
      </c>
      <c r="AW1" s="2" t="s">
        <v>61</v>
      </c>
      <c r="AX1" s="2" t="s">
        <v>14</v>
      </c>
      <c r="AY1" t="s">
        <v>62</v>
      </c>
      <c r="AZ1" t="s">
        <v>64</v>
      </c>
      <c r="BA1" t="s">
        <v>65</v>
      </c>
      <c r="BB1" t="s">
        <v>63</v>
      </c>
      <c r="BC1" s="2" t="s">
        <v>66</v>
      </c>
      <c r="BE1" s="2" t="s">
        <v>81</v>
      </c>
      <c r="BF1" s="2" t="s">
        <v>82</v>
      </c>
      <c r="BG1" t="s">
        <v>83</v>
      </c>
      <c r="BH1" t="s">
        <v>84</v>
      </c>
      <c r="BI1" s="2" t="s">
        <v>53</v>
      </c>
      <c r="BJ1" t="s">
        <v>85</v>
      </c>
      <c r="BK1" t="s">
        <v>86</v>
      </c>
      <c r="BL1" s="23" t="s">
        <v>87</v>
      </c>
      <c r="BM1" s="24" t="s">
        <v>88</v>
      </c>
      <c r="BN1" s="24" t="s">
        <v>89</v>
      </c>
      <c r="BO1" t="s">
        <v>90</v>
      </c>
      <c r="BP1" t="s">
        <v>91</v>
      </c>
      <c r="BQ1" s="2" t="s">
        <v>92</v>
      </c>
      <c r="BS1" t="s">
        <v>126</v>
      </c>
      <c r="BT1" s="2" t="s">
        <v>14</v>
      </c>
      <c r="BU1" s="1" t="s">
        <v>127</v>
      </c>
      <c r="BV1" s="3" t="s">
        <v>54</v>
      </c>
      <c r="BW1" s="2" t="s">
        <v>55</v>
      </c>
    </row>
    <row r="2" spans="1:75" x14ac:dyDescent="0.3">
      <c r="A2" t="s">
        <v>31</v>
      </c>
      <c r="B2" s="3">
        <v>0.1</v>
      </c>
      <c r="C2" s="2">
        <v>0.06</v>
      </c>
      <c r="D2" s="2">
        <v>4.4999999999999998E-2</v>
      </c>
      <c r="E2" s="2">
        <v>2.5000000000000001E-2</v>
      </c>
      <c r="F2" s="2">
        <f t="shared" ref="F2:F5" si="0">C2*$B2</f>
        <v>6.0000000000000001E-3</v>
      </c>
      <c r="G2" s="2">
        <f t="shared" ref="G2:H5" si="1">D2*$B2</f>
        <v>4.4999999999999997E-3</v>
      </c>
      <c r="H2" s="2">
        <f t="shared" si="1"/>
        <v>2.5000000000000005E-3</v>
      </c>
      <c r="I2" s="2">
        <f t="shared" ref="I2:K5" si="2">$B2*POWER(C2-F$6,2)</f>
        <v>5.7600000000000004E-5</v>
      </c>
      <c r="J2" s="2">
        <f t="shared" si="2"/>
        <v>7.2249999999999893E-6</v>
      </c>
      <c r="K2" s="2">
        <f t="shared" si="2"/>
        <v>2.0250000000000005E-6</v>
      </c>
      <c r="L2" s="2">
        <f t="shared" ref="L2:L5" si="3">1/2</f>
        <v>0.5</v>
      </c>
      <c r="M2" s="2">
        <f t="shared" ref="M2:M5" si="4">1/2</f>
        <v>0.5</v>
      </c>
      <c r="N2" s="2">
        <f t="shared" ref="N2:N5" si="5">1-L2-M2</f>
        <v>0</v>
      </c>
      <c r="O2" s="2">
        <f t="shared" ref="O2:O5" si="6">C2*L$2+D2*M$2+E2*N$2</f>
        <v>5.2499999999999998E-2</v>
      </c>
      <c r="P2" s="12">
        <f t="shared" ref="P2:P5" si="7">O2*$B2</f>
        <v>5.2500000000000003E-3</v>
      </c>
      <c r="Q2" s="15">
        <f t="shared" ref="Q2:Q5" si="8">$B2*POWER(O2-$P$6, 2)</f>
        <v>2.6406249999999981E-5</v>
      </c>
      <c r="R2" s="18">
        <f t="shared" ref="R2:R5" si="9">$B2*(D2-G$6)*(E2-H$6)</f>
        <v>-3.8249999999999981E-6</v>
      </c>
      <c r="S2" s="18">
        <f t="shared" ref="S2:S5" si="10">$B2*(C2-F$6)*(E2-H$6)</f>
        <v>-1.0800000000000002E-5</v>
      </c>
      <c r="T2" s="18">
        <f t="shared" ref="T2:T5" si="11">$B2*(C2-F$6)*(D2-G$6)</f>
        <v>2.0399999999999988E-5</v>
      </c>
      <c r="V2" s="3">
        <v>0.3</v>
      </c>
      <c r="W2" s="2">
        <v>-0.2</v>
      </c>
      <c r="X2" s="2">
        <v>-0.05</v>
      </c>
      <c r="Y2" s="2">
        <v>0.05</v>
      </c>
      <c r="Z2" s="2">
        <f t="shared" ref="Z2:AB4" si="12">W2*$V2</f>
        <v>-0.06</v>
      </c>
      <c r="AA2" s="2">
        <f t="shared" si="12"/>
        <v>-1.4999999999999999E-2</v>
      </c>
      <c r="AB2" s="2">
        <f t="shared" si="12"/>
        <v>1.4999999999999999E-2</v>
      </c>
      <c r="AC2" s="15">
        <f t="shared" ref="AC2:AC4" si="13">$V2*POWER(W2-Z$5,2)</f>
        <v>2.3520000000000003E-2</v>
      </c>
      <c r="AD2" s="15">
        <f t="shared" ref="AD2:AD4" si="14">$V2*POWER(X2-AA$5,2)</f>
        <v>4.3200000000000009E-3</v>
      </c>
      <c r="AE2" s="15">
        <f t="shared" ref="AE2:AE4" si="15">$V2*POWER(Y2-AB$5,2)</f>
        <v>8.6700000000000007E-5</v>
      </c>
      <c r="AF2" s="2">
        <f t="shared" ref="AF2:AF4" si="16">1/2</f>
        <v>0.5</v>
      </c>
      <c r="AG2" s="2">
        <f>0</f>
        <v>0</v>
      </c>
      <c r="AH2" s="2">
        <f t="shared" ref="AH2:AH4" si="17">1-AF2-AG2</f>
        <v>0.5</v>
      </c>
      <c r="AI2" s="2">
        <f t="shared" ref="AI2:AI4" si="18">W2*AF$2+X2*AG$2+Y2*AH$2</f>
        <v>-7.5000000000000011E-2</v>
      </c>
      <c r="AJ2" s="12">
        <f>AI2*$V2</f>
        <v>-2.2500000000000003E-2</v>
      </c>
      <c r="AK2" s="2">
        <f t="shared" ref="AK2:AK4" si="19">$V2*POWER(AI2-AJ$5,2)</f>
        <v>5.1876750000000001E-3</v>
      </c>
      <c r="AL2" s="18">
        <f t="shared" ref="AL2:AL4" si="20">$V2*(W2-Z$5)*(X2-AA$5)</f>
        <v>1.0080000000000002E-2</v>
      </c>
      <c r="AM2" s="17">
        <f t="shared" ref="AM2:AM4" si="21">$V2*(W2-Z$5)*(Y2-AB$5)</f>
        <v>-1.4280000000000002E-3</v>
      </c>
      <c r="AN2" s="17">
        <f t="shared" ref="AN2:AN4" si="22">$V2*(X2-AA$5)*(Y2-AB$5)</f>
        <v>-6.1200000000000013E-4</v>
      </c>
      <c r="AO2"/>
      <c r="AP2" t="s">
        <v>56</v>
      </c>
      <c r="AQ2" s="2">
        <v>0.2</v>
      </c>
      <c r="AR2" s="3">
        <v>0.5</v>
      </c>
      <c r="AS2" s="2">
        <f t="shared" ref="AS2:AS4" si="23">AQ2*AR2</f>
        <v>0.1</v>
      </c>
      <c r="AT2"/>
      <c r="AU2" s="1">
        <v>300000</v>
      </c>
      <c r="AV2" s="1">
        <v>120000</v>
      </c>
      <c r="AW2" s="2">
        <v>0.05</v>
      </c>
      <c r="AX2" s="2">
        <v>0.08</v>
      </c>
      <c r="AY2" s="14">
        <f>AU2+AV2</f>
        <v>420000</v>
      </c>
      <c r="AZ2" s="14">
        <f>AY2*AX2</f>
        <v>33600</v>
      </c>
      <c r="BA2" s="14">
        <f>AV2*AW2</f>
        <v>6000</v>
      </c>
      <c r="BB2" s="14">
        <f>AZ2-BA2</f>
        <v>27600</v>
      </c>
      <c r="BC2" s="2">
        <f>BB2/AU2</f>
        <v>9.1999999999999998E-2</v>
      </c>
      <c r="BE2" s="2">
        <v>0.12</v>
      </c>
      <c r="BF2" s="2">
        <v>0.18</v>
      </c>
      <c r="BG2">
        <v>0.3</v>
      </c>
      <c r="BH2">
        <f>1-BG2</f>
        <v>0.7</v>
      </c>
      <c r="BI2" s="2">
        <f>BE2*BG2+BF2*BH2</f>
        <v>0.16200000000000001</v>
      </c>
      <c r="BJ2" s="2">
        <v>0.09</v>
      </c>
      <c r="BK2" s="2">
        <v>0.25</v>
      </c>
      <c r="BL2" s="23">
        <v>0.2</v>
      </c>
      <c r="BM2" s="25">
        <f>POWER(BJ2,2)</f>
        <v>8.0999999999999996E-3</v>
      </c>
      <c r="BN2" s="25">
        <f>POWER(BK2,2)</f>
        <v>6.25E-2</v>
      </c>
      <c r="BO2">
        <f>BL2*BJ2*BK2</f>
        <v>4.4999999999999997E-3</v>
      </c>
      <c r="BP2">
        <f>BM2*BG2*BG2+BN2*BH2*BH2+2*BG2*BH2*BO2</f>
        <v>3.3243999999999996E-2</v>
      </c>
      <c r="BQ2" s="2">
        <f>SQRT(BP2)</f>
        <v>0.1823293722909175</v>
      </c>
      <c r="BS2" t="s">
        <v>56</v>
      </c>
      <c r="BT2" s="2">
        <v>0.155</v>
      </c>
      <c r="BU2" s="1">
        <v>50000</v>
      </c>
      <c r="BV2" s="3">
        <f t="shared" ref="BV2:BV4" si="24">BU2/BU$5</f>
        <v>0.5</v>
      </c>
      <c r="BW2" s="2">
        <f t="shared" ref="BW2:BW4" si="25">BT2*BV2</f>
        <v>7.7499999999999999E-2</v>
      </c>
    </row>
    <row r="3" spans="1:75" x14ac:dyDescent="0.3">
      <c r="A3" t="s">
        <v>32</v>
      </c>
      <c r="B3" s="3">
        <v>0.4</v>
      </c>
      <c r="C3" s="2">
        <v>7.4999999999999997E-2</v>
      </c>
      <c r="D3" s="2">
        <v>5.5E-2</v>
      </c>
      <c r="E3" s="2">
        <v>-5.0000000000000001E-3</v>
      </c>
      <c r="F3" s="2">
        <f t="shared" si="0"/>
        <v>0.03</v>
      </c>
      <c r="G3" s="2">
        <f t="shared" si="1"/>
        <v>2.2000000000000002E-2</v>
      </c>
      <c r="H3" s="2">
        <f t="shared" si="1"/>
        <v>-2E-3</v>
      </c>
      <c r="I3" s="2">
        <f t="shared" si="2"/>
        <v>6.0840000000000004E-4</v>
      </c>
      <c r="J3" s="2">
        <f t="shared" si="2"/>
        <v>1.3689999999999994E-4</v>
      </c>
      <c r="K3" s="2">
        <f t="shared" si="2"/>
        <v>4.7610000000000008E-4</v>
      </c>
      <c r="L3" s="2">
        <f t="shared" si="3"/>
        <v>0.5</v>
      </c>
      <c r="M3" s="2">
        <f t="shared" si="4"/>
        <v>0.5</v>
      </c>
      <c r="N3" s="2">
        <f t="shared" si="5"/>
        <v>0</v>
      </c>
      <c r="O3" s="2">
        <f t="shared" si="6"/>
        <v>6.5000000000000002E-2</v>
      </c>
      <c r="P3" s="12">
        <f t="shared" si="7"/>
        <v>2.6000000000000002E-2</v>
      </c>
      <c r="Q3" s="15">
        <f t="shared" si="8"/>
        <v>3.3062499999999997E-4</v>
      </c>
      <c r="R3" s="18">
        <f t="shared" si="9"/>
        <v>-2.5529999999999997E-4</v>
      </c>
      <c r="S3" s="18">
        <f t="shared" si="10"/>
        <v>-5.3820000000000007E-4</v>
      </c>
      <c r="T3" s="18">
        <f t="shared" si="11"/>
        <v>2.8859999999999997E-4</v>
      </c>
      <c r="V3" s="3">
        <v>0.4</v>
      </c>
      <c r="W3" s="2">
        <v>0.05</v>
      </c>
      <c r="X3" s="2">
        <v>0.1</v>
      </c>
      <c r="Y3" s="2">
        <v>0.03</v>
      </c>
      <c r="Z3" s="2">
        <f t="shared" si="12"/>
        <v>2.0000000000000004E-2</v>
      </c>
      <c r="AA3" s="2">
        <f t="shared" si="12"/>
        <v>4.0000000000000008E-2</v>
      </c>
      <c r="AB3" s="2">
        <f t="shared" si="12"/>
        <v>1.2E-2</v>
      </c>
      <c r="AC3" s="15">
        <f t="shared" si="13"/>
        <v>3.6000000000000002E-4</v>
      </c>
      <c r="AD3" s="15">
        <f t="shared" si="14"/>
        <v>3.6000000000000002E-4</v>
      </c>
      <c r="AE3" s="15">
        <f t="shared" si="15"/>
        <v>3.6000000000000062E-6</v>
      </c>
      <c r="AF3" s="2">
        <f t="shared" si="16"/>
        <v>0.5</v>
      </c>
      <c r="AG3" s="2">
        <f>0</f>
        <v>0</v>
      </c>
      <c r="AH3" s="2">
        <f t="shared" si="17"/>
        <v>0.5</v>
      </c>
      <c r="AI3" s="2">
        <f t="shared" si="18"/>
        <v>0.04</v>
      </c>
      <c r="AJ3" s="12">
        <f>AI3*$V3</f>
        <v>1.6E-2</v>
      </c>
      <c r="AK3" s="2">
        <f t="shared" si="19"/>
        <v>1.0889999999999994E-4</v>
      </c>
      <c r="AL3" s="18">
        <f t="shared" si="20"/>
        <v>-3.5999999999999997E-4</v>
      </c>
      <c r="AM3" s="17">
        <f t="shared" si="21"/>
        <v>3.6000000000000035E-5</v>
      </c>
      <c r="AN3" s="17">
        <f t="shared" si="22"/>
        <v>-3.6000000000000035E-5</v>
      </c>
      <c r="AO3"/>
      <c r="AP3" t="s">
        <v>57</v>
      </c>
      <c r="AQ3" s="2">
        <v>0.15</v>
      </c>
      <c r="AR3" s="3">
        <v>0.25</v>
      </c>
      <c r="AS3" s="2">
        <f t="shared" si="23"/>
        <v>3.7499999999999999E-2</v>
      </c>
      <c r="AT3"/>
      <c r="AU3" s="1"/>
      <c r="AV3" s="1"/>
      <c r="AW3" s="2"/>
      <c r="AX3" s="2"/>
      <c r="AY3"/>
      <c r="BC3" s="2"/>
      <c r="BS3" t="s">
        <v>57</v>
      </c>
      <c r="BT3" s="2">
        <v>0.14499999999999999</v>
      </c>
      <c r="BU3" s="1">
        <v>25000</v>
      </c>
      <c r="BV3" s="3">
        <f t="shared" si="24"/>
        <v>0.25</v>
      </c>
      <c r="BW3" s="2">
        <f t="shared" si="25"/>
        <v>3.6249999999999998E-2</v>
      </c>
    </row>
    <row r="4" spans="1:75" x14ac:dyDescent="0.3">
      <c r="A4" t="s">
        <v>33</v>
      </c>
      <c r="B4" s="3">
        <v>0.3</v>
      </c>
      <c r="C4" s="2">
        <v>0.02</v>
      </c>
      <c r="D4" s="2">
        <v>0.04</v>
      </c>
      <c r="E4" s="2">
        <v>0.01</v>
      </c>
      <c r="F4" s="2">
        <f t="shared" si="0"/>
        <v>6.0000000000000001E-3</v>
      </c>
      <c r="G4" s="2">
        <f t="shared" si="1"/>
        <v>1.2E-2</v>
      </c>
      <c r="H4" s="2">
        <f t="shared" si="1"/>
        <v>3.0000000000000001E-3</v>
      </c>
      <c r="I4" s="2">
        <f t="shared" si="2"/>
        <v>7.6799999999999956E-5</v>
      </c>
      <c r="J4" s="2">
        <f t="shared" si="2"/>
        <v>3.6749999999999915E-6</v>
      </c>
      <c r="K4" s="2">
        <f t="shared" si="2"/>
        <v>1.1407500000000002E-4</v>
      </c>
      <c r="L4" s="2">
        <f t="shared" si="3"/>
        <v>0.5</v>
      </c>
      <c r="M4" s="2">
        <f t="shared" si="4"/>
        <v>0.5</v>
      </c>
      <c r="N4" s="2">
        <f t="shared" si="5"/>
        <v>0</v>
      </c>
      <c r="O4" s="2">
        <f t="shared" si="6"/>
        <v>0.03</v>
      </c>
      <c r="P4" s="12">
        <f t="shared" si="7"/>
        <v>8.9999999999999993E-3</v>
      </c>
      <c r="Q4" s="15">
        <f t="shared" si="8"/>
        <v>1.1718750000000021E-5</v>
      </c>
      <c r="R4" s="18">
        <f t="shared" si="9"/>
        <v>-2.0474999999999983E-5</v>
      </c>
      <c r="S4" s="18">
        <f t="shared" si="10"/>
        <v>9.3599999999999985E-5</v>
      </c>
      <c r="T4" s="18">
        <f t="shared" si="11"/>
        <v>-1.6799999999999978E-5</v>
      </c>
      <c r="V4" s="3">
        <v>0.3</v>
      </c>
      <c r="W4" s="2">
        <v>0.4</v>
      </c>
      <c r="X4" s="2">
        <v>0.15</v>
      </c>
      <c r="Y4" s="2">
        <v>0.02</v>
      </c>
      <c r="Z4" s="2">
        <f t="shared" si="12"/>
        <v>0.12</v>
      </c>
      <c r="AA4" s="2">
        <f t="shared" si="12"/>
        <v>4.4999999999999998E-2</v>
      </c>
      <c r="AB4" s="2">
        <f t="shared" si="12"/>
        <v>6.0000000000000001E-3</v>
      </c>
      <c r="AC4" s="15">
        <f t="shared" si="13"/>
        <v>3.0720000000000001E-2</v>
      </c>
      <c r="AD4" s="15">
        <f t="shared" si="14"/>
        <v>1.9199999999999992E-3</v>
      </c>
      <c r="AE4" s="15">
        <f t="shared" si="15"/>
        <v>5.0700000000000013E-5</v>
      </c>
      <c r="AF4" s="2">
        <f t="shared" si="16"/>
        <v>0.5</v>
      </c>
      <c r="AG4" s="2">
        <f>0</f>
        <v>0</v>
      </c>
      <c r="AH4" s="2">
        <f t="shared" si="17"/>
        <v>0.5</v>
      </c>
      <c r="AI4" s="2">
        <f t="shared" si="18"/>
        <v>0.21000000000000002</v>
      </c>
      <c r="AJ4" s="12">
        <f>AI4*$V4</f>
        <v>6.3E-2</v>
      </c>
      <c r="AK4" s="2">
        <f t="shared" si="19"/>
        <v>7.0686750000000017E-3</v>
      </c>
      <c r="AL4" s="18">
        <f t="shared" si="20"/>
        <v>7.6799999999999993E-3</v>
      </c>
      <c r="AM4" s="17">
        <f t="shared" si="21"/>
        <v>-1.2480000000000002E-3</v>
      </c>
      <c r="AN4" s="17">
        <f t="shared" si="22"/>
        <v>-3.1199999999999999E-4</v>
      </c>
      <c r="AO4"/>
      <c r="AP4" t="s">
        <v>58</v>
      </c>
      <c r="AQ4" s="2">
        <v>0.17</v>
      </c>
      <c r="AR4" s="3">
        <v>0.25</v>
      </c>
      <c r="AS4" s="2">
        <f t="shared" si="23"/>
        <v>4.2500000000000003E-2</v>
      </c>
      <c r="AT4"/>
      <c r="AU4" s="1"/>
      <c r="AV4" s="1"/>
      <c r="AW4" s="2"/>
      <c r="AX4" s="2"/>
      <c r="AY4"/>
      <c r="BC4" s="2"/>
      <c r="BS4" t="s">
        <v>58</v>
      </c>
      <c r="BT4" s="2">
        <v>4.5999999999999999E-2</v>
      </c>
      <c r="BU4" s="1">
        <v>25000</v>
      </c>
      <c r="BV4" s="3">
        <f t="shared" si="24"/>
        <v>0.25</v>
      </c>
      <c r="BW4" s="2">
        <f t="shared" si="25"/>
        <v>1.15E-2</v>
      </c>
    </row>
    <row r="5" spans="1:75" x14ac:dyDescent="0.3">
      <c r="A5" t="s">
        <v>34</v>
      </c>
      <c r="B5" s="3">
        <v>0.2</v>
      </c>
      <c r="C5" s="2">
        <v>-0.03</v>
      </c>
      <c r="D5" s="2">
        <v>-0.01</v>
      </c>
      <c r="E5" s="2">
        <v>0.13</v>
      </c>
      <c r="F5" s="2">
        <f t="shared" si="0"/>
        <v>-6.0000000000000001E-3</v>
      </c>
      <c r="G5" s="2">
        <f t="shared" si="1"/>
        <v>-2E-3</v>
      </c>
      <c r="H5" s="2">
        <f t="shared" si="1"/>
        <v>2.6000000000000002E-2</v>
      </c>
      <c r="I5" s="2">
        <f t="shared" si="2"/>
        <v>8.7120000000000014E-4</v>
      </c>
      <c r="J5" s="2">
        <f t="shared" si="2"/>
        <v>4.3245000000000013E-4</v>
      </c>
      <c r="K5" s="2">
        <f t="shared" si="2"/>
        <v>2.0200500000000002E-3</v>
      </c>
      <c r="L5" s="2">
        <f t="shared" si="3"/>
        <v>0.5</v>
      </c>
      <c r="M5" s="2">
        <f t="shared" si="4"/>
        <v>0.5</v>
      </c>
      <c r="N5" s="2">
        <f t="shared" si="5"/>
        <v>0</v>
      </c>
      <c r="O5" s="2">
        <f t="shared" si="6"/>
        <v>-0.02</v>
      </c>
      <c r="P5" s="12">
        <f t="shared" si="7"/>
        <v>-4.0000000000000001E-3</v>
      </c>
      <c r="Q5" s="15">
        <f t="shared" si="8"/>
        <v>6.3281250000000024E-4</v>
      </c>
      <c r="R5" s="18">
        <f t="shared" si="9"/>
        <v>-9.3465000000000019E-4</v>
      </c>
      <c r="S5" s="18">
        <f t="shared" si="10"/>
        <v>-1.3266000000000003E-3</v>
      </c>
      <c r="T5" s="18">
        <f t="shared" si="11"/>
        <v>6.1380000000000017E-4</v>
      </c>
      <c r="V5" s="9">
        <f>SUBTOTAL(109,Table1214[Prob])</f>
        <v>1</v>
      </c>
      <c r="W5" s="8"/>
      <c r="X5" s="8"/>
      <c r="Y5" s="8"/>
      <c r="Z5" s="8">
        <f>SUBTOTAL(109,Table1214[Awted])</f>
        <v>0.08</v>
      </c>
      <c r="AA5" s="8">
        <f>SUBTOTAL(109,Table1214[Bwted])</f>
        <v>7.0000000000000007E-2</v>
      </c>
      <c r="AB5" s="8">
        <f>SUBTOTAL(109,Table1214[Cwted])</f>
        <v>3.3000000000000002E-2</v>
      </c>
      <c r="AC5" s="20">
        <f>SUBTOTAL(109,Table1214[Avar])</f>
        <v>5.4600000000000003E-2</v>
      </c>
      <c r="AD5" s="20">
        <f>SUBTOTAL(109,Table1214[Bvar])</f>
        <v>6.6E-3</v>
      </c>
      <c r="AE5" s="20">
        <f>SUBTOTAL(109,Table1214[Cvar])</f>
        <v>1.4100000000000001E-4</v>
      </c>
      <c r="AF5" s="8"/>
      <c r="AG5" s="8"/>
      <c r="AH5" s="8"/>
      <c r="AI5" s="8"/>
      <c r="AJ5" s="13">
        <f>SUBTOTAL(109,Table1214[MixWted])</f>
        <v>5.6499999999999995E-2</v>
      </c>
      <c r="AK5" s="8">
        <f>SUBTOTAL(109,Table1214[MixVar])</f>
        <v>1.2365250000000001E-2</v>
      </c>
      <c r="AL5" s="22">
        <f>SUBTOTAL(109,Table1214[Abcov])</f>
        <v>1.7400000000000002E-2</v>
      </c>
      <c r="AM5" s="21">
        <f>SUBTOTAL(109,Table1214[Accov])</f>
        <v>-2.6400000000000004E-3</v>
      </c>
      <c r="AN5" s="21">
        <f>SUBTOTAL(109,Table1214[Bccov])</f>
        <v>-9.6000000000000013E-4</v>
      </c>
      <c r="AO5"/>
      <c r="AP5" t="s">
        <v>20</v>
      </c>
      <c r="AQ5" s="2"/>
      <c r="AR5" s="3"/>
      <c r="AS5" s="11">
        <f>SUBTOTAL(109,Table14[WtdRet])</f>
        <v>0.18000000000000002</v>
      </c>
      <c r="AT5"/>
      <c r="AU5" s="1"/>
      <c r="AV5" s="1"/>
      <c r="AW5" s="2"/>
      <c r="AX5" s="2"/>
      <c r="AY5"/>
      <c r="BC5" s="2"/>
      <c r="BS5" t="s">
        <v>20</v>
      </c>
      <c r="BT5" s="5"/>
      <c r="BU5" s="14">
        <f>SUBTOTAL(109,Table21[Invested])</f>
        <v>100000</v>
      </c>
      <c r="BW5" s="11">
        <f>SUBTOTAL(109,Table21[WtdRet])</f>
        <v>0.12525</v>
      </c>
    </row>
    <row r="6" spans="1:75" x14ac:dyDescent="0.3">
      <c r="A6" t="s">
        <v>22</v>
      </c>
      <c r="B6" s="9">
        <f>SUBTOTAL(109,Table12[Prob])</f>
        <v>1</v>
      </c>
      <c r="C6" s="8"/>
      <c r="D6" s="8"/>
      <c r="E6" s="8"/>
      <c r="F6" s="8">
        <f>SUBTOTAL(109,Table12[Twted])</f>
        <v>3.5999999999999997E-2</v>
      </c>
      <c r="G6" s="8">
        <f>SUBTOTAL(109,Table12[WMTwted])</f>
        <v>3.6500000000000005E-2</v>
      </c>
      <c r="H6" s="8">
        <f>SUBTOTAL(109,Table12[PFZwted])</f>
        <v>2.9500000000000002E-2</v>
      </c>
      <c r="I6" s="8">
        <f>SUBTOTAL(109,Table12[Tvar])</f>
        <v>1.614E-3</v>
      </c>
      <c r="J6" s="8">
        <f>SUBTOTAL(109,Table12[Wvar])</f>
        <v>5.8025000000000004E-4</v>
      </c>
      <c r="K6" s="8">
        <f>SUBTOTAL(109,Table12[Pvar])</f>
        <v>2.6122500000000004E-3</v>
      </c>
      <c r="L6" s="10"/>
      <c r="M6" s="10"/>
      <c r="N6"/>
      <c r="O6" s="8"/>
      <c r="P6" s="13">
        <f>SUBTOTAL(109,Table12[MixWted])</f>
        <v>3.6250000000000004E-2</v>
      </c>
      <c r="Q6" s="15">
        <f>SUBTOTAL(109,Table12[MixVar])</f>
        <v>1.0015625000000003E-3</v>
      </c>
      <c r="R6" s="18">
        <f>SUBTOTAL(109,Table12[Wpcov])</f>
        <v>-1.2142500000000001E-3</v>
      </c>
      <c r="S6" s="19">
        <f>SUBTOTAL(109,Table12[Tpcov])</f>
        <v>-1.7820000000000004E-3</v>
      </c>
      <c r="T6" s="19">
        <f>SUBTOTAL(109,Table12[Twcov])</f>
        <v>9.0600000000000012E-4</v>
      </c>
      <c r="AB6"/>
      <c r="AC6" s="15">
        <f>SQRT(AC5)</f>
        <v>0.23366642891095846</v>
      </c>
      <c r="AD6" s="15">
        <f t="shared" ref="AD6:AE6" si="26">SQRT(AD5)</f>
        <v>8.1240384046359609E-2</v>
      </c>
      <c r="AE6" s="15">
        <f t="shared" si="26"/>
        <v>1.1874342087037918E-2</v>
      </c>
      <c r="AJ6" s="2"/>
      <c r="AK6" s="2">
        <f>SQRT(AK5)</f>
        <v>0.11119914568017149</v>
      </c>
      <c r="AL6" s="18">
        <f>AL5/($AC6*$AD6)</f>
        <v>0.91660233479947029</v>
      </c>
      <c r="AM6" s="17">
        <f>AM5/($AC6*$AE6)</f>
        <v>-0.95147646239880679</v>
      </c>
      <c r="AN6" s="17">
        <f>AN5/($AE6*$AD6)</f>
        <v>-0.99515266171379657</v>
      </c>
      <c r="AO6" s="3"/>
      <c r="AP6" s="2"/>
      <c r="AQ6"/>
      <c r="AS6" s="1"/>
      <c r="AU6" s="2"/>
      <c r="AY6"/>
      <c r="AZ6" s="2"/>
      <c r="BE6" s="2" t="s">
        <v>81</v>
      </c>
      <c r="BF6" s="2" t="s">
        <v>82</v>
      </c>
      <c r="BG6" t="s">
        <v>83</v>
      </c>
      <c r="BH6" t="s">
        <v>84</v>
      </c>
      <c r="BI6" s="2" t="s">
        <v>53</v>
      </c>
      <c r="BJ6" t="s">
        <v>85</v>
      </c>
      <c r="BK6" t="s">
        <v>86</v>
      </c>
      <c r="BL6" s="23" t="s">
        <v>87</v>
      </c>
      <c r="BM6" s="24" t="s">
        <v>88</v>
      </c>
      <c r="BN6" s="24" t="s">
        <v>89</v>
      </c>
      <c r="BO6" t="s">
        <v>90</v>
      </c>
      <c r="BP6" t="s">
        <v>91</v>
      </c>
      <c r="BQ6" s="2" t="s">
        <v>92</v>
      </c>
    </row>
    <row r="7" spans="1:75" x14ac:dyDescent="0.3">
      <c r="A7" t="s">
        <v>70</v>
      </c>
      <c r="I7" s="2">
        <f>SQRT(I6)</f>
        <v>4.0174618853201331E-2</v>
      </c>
      <c r="J7" s="2">
        <f>SQRT(J6)</f>
        <v>2.4088378940891809E-2</v>
      </c>
      <c r="K7" s="2">
        <f>SQRT(K6)</f>
        <v>5.1110175112202463E-2</v>
      </c>
      <c r="Q7" s="15">
        <f>SQRT(Q6)</f>
        <v>3.1647472252930409E-2</v>
      </c>
      <c r="R7" s="18">
        <f>R6/($J7*$K7)</f>
        <v>-0.9862639718229288</v>
      </c>
      <c r="S7" s="18">
        <f>S6/($I7*$K7)</f>
        <v>-0.86785778896609023</v>
      </c>
      <c r="T7" s="18">
        <f>T6/($I7*$J7)</f>
        <v>0.93620047668219752</v>
      </c>
      <c r="AB7"/>
      <c r="AE7" s="15"/>
      <c r="AJ7" s="2"/>
      <c r="AK7" s="2"/>
      <c r="AO7" s="3"/>
      <c r="AP7" s="2"/>
      <c r="AQ7"/>
      <c r="AS7" s="1"/>
      <c r="AU7" s="2"/>
      <c r="AY7"/>
      <c r="AZ7" s="2"/>
      <c r="BE7" s="2">
        <v>3.5999999999999997E-2</v>
      </c>
      <c r="BF7" s="2">
        <v>2.9499999999999998E-2</v>
      </c>
      <c r="BG7">
        <f>1/2</f>
        <v>0.5</v>
      </c>
      <c r="BH7">
        <f>1-BG7</f>
        <v>0.5</v>
      </c>
      <c r="BI7" s="2">
        <f>BE7*BG7+BF7*BH7</f>
        <v>3.2750000000000001E-2</v>
      </c>
      <c r="BJ7" s="2">
        <v>4.02E-2</v>
      </c>
      <c r="BK7" s="2">
        <v>5.11E-2</v>
      </c>
      <c r="BL7" s="23">
        <v>-0.86799999999999999</v>
      </c>
      <c r="BM7" s="25">
        <f>POWER(BJ7,2)</f>
        <v>1.61604E-3</v>
      </c>
      <c r="BN7" s="25">
        <f>POWER(BK7,2)</f>
        <v>2.6112100000000001E-3</v>
      </c>
      <c r="BO7">
        <f>BL7*BJ7*BK7</f>
        <v>-1.7830629599999998E-3</v>
      </c>
      <c r="BP7">
        <f>BM7*BG7*BG7+BN7*BH7*BH7+2*BG7*BH7*BO7</f>
        <v>1.6528102000000012E-4</v>
      </c>
      <c r="BQ7" s="2">
        <f>SQRT(BP7)</f>
        <v>1.2856166613730553E-2</v>
      </c>
    </row>
    <row r="8" spans="1:75" x14ac:dyDescent="0.3">
      <c r="AP8" t="s">
        <v>52</v>
      </c>
      <c r="AQ8" s="2" t="s">
        <v>53</v>
      </c>
      <c r="AR8" s="3" t="s">
        <v>54</v>
      </c>
      <c r="AS8" s="2" t="s">
        <v>55</v>
      </c>
    </row>
    <row r="9" spans="1:75" x14ac:dyDescent="0.3">
      <c r="V9" s="3" t="s">
        <v>27</v>
      </c>
      <c r="W9" s="2" t="s">
        <v>43</v>
      </c>
      <c r="X9" s="2" t="s">
        <v>45</v>
      </c>
      <c r="Y9" s="2" t="s">
        <v>47</v>
      </c>
      <c r="Z9" s="2" t="s">
        <v>44</v>
      </c>
      <c r="AA9" s="2" t="s">
        <v>46</v>
      </c>
      <c r="AB9" s="2" t="s">
        <v>48</v>
      </c>
      <c r="AC9" s="15" t="s">
        <v>75</v>
      </c>
      <c r="AD9" s="15" t="s">
        <v>76</v>
      </c>
      <c r="AE9" s="15" t="s">
        <v>77</v>
      </c>
      <c r="AF9" s="2" t="s">
        <v>49</v>
      </c>
      <c r="AG9" s="2" t="s">
        <v>51</v>
      </c>
      <c r="AH9" s="2" t="s">
        <v>50</v>
      </c>
      <c r="AI9" s="2" t="s">
        <v>41</v>
      </c>
      <c r="AJ9" s="12" t="s">
        <v>42</v>
      </c>
      <c r="AK9" s="12" t="s">
        <v>71</v>
      </c>
      <c r="AL9" s="18" t="s">
        <v>78</v>
      </c>
      <c r="AM9" s="17" t="s">
        <v>79</v>
      </c>
      <c r="AN9" s="17" t="s">
        <v>80</v>
      </c>
      <c r="AP9" t="s">
        <v>56</v>
      </c>
      <c r="AQ9" s="2">
        <v>0.2</v>
      </c>
      <c r="AR9" s="3">
        <v>0.4</v>
      </c>
      <c r="AS9" s="2">
        <f t="shared" ref="AS9:AS11" si="27">AQ9*AR9</f>
        <v>8.0000000000000016E-2</v>
      </c>
    </row>
    <row r="10" spans="1:75" x14ac:dyDescent="0.3">
      <c r="V10" s="3">
        <v>0.3</v>
      </c>
      <c r="W10" s="2">
        <v>-0.1</v>
      </c>
      <c r="X10" s="2">
        <v>0.1</v>
      </c>
      <c r="Y10" s="2">
        <v>0.05</v>
      </c>
      <c r="Z10" s="2">
        <f t="shared" ref="Z10:Z12" si="28">W10*$V10</f>
        <v>-0.03</v>
      </c>
      <c r="AA10" s="2">
        <f t="shared" ref="AA10:AA12" si="29">X10*$V10</f>
        <v>0.03</v>
      </c>
      <c r="AB10" s="2">
        <f t="shared" ref="AB10:AB12" si="30">Y10*$V10</f>
        <v>1.4999999999999999E-2</v>
      </c>
      <c r="AC10" s="15">
        <f t="shared" ref="AC10:AC12" si="31">$V10*POWER(W10-Z$13,2)</f>
        <v>9.7199999999999995E-3</v>
      </c>
      <c r="AD10" s="15">
        <f t="shared" ref="AD10:AD12" si="32">$V10*POWER(X10-AA$13,2)</f>
        <v>3.0000000000000005E-3</v>
      </c>
      <c r="AE10" s="15">
        <f t="shared" ref="AE10:AE12" si="33">$V10*POWER(Y10-AB$13,2)</f>
        <v>8.6700000000000007E-5</v>
      </c>
      <c r="AF10" s="2">
        <f t="shared" ref="AF10:AF12" si="34">1/2</f>
        <v>0.5</v>
      </c>
      <c r="AG10" s="2">
        <f>0</f>
        <v>0</v>
      </c>
      <c r="AH10" s="2">
        <f t="shared" ref="AH10:AH12" si="35">1-AF10-AG10</f>
        <v>0.5</v>
      </c>
      <c r="AI10" s="2">
        <f t="shared" ref="AI10:AI12" si="36">W10*AF$2+X10*AG$2+Y10*AH$2</f>
        <v>-2.5000000000000001E-2</v>
      </c>
      <c r="AJ10" s="12">
        <f>AI10*$V10</f>
        <v>-7.4999999999999997E-3</v>
      </c>
      <c r="AK10" s="2">
        <f t="shared" ref="AK10:AK12" si="37">$V10*POWER(AI10-AJ$13,2)</f>
        <v>1.9926750000000002E-3</v>
      </c>
      <c r="AL10" s="18">
        <f t="shared" ref="AL10:AL12" si="38">$V10*(W10-Z$13)*(X10-AA$13)</f>
        <v>5.4000000000000003E-3</v>
      </c>
      <c r="AM10" s="17">
        <f t="shared" ref="AM10:AM12" si="39">$V10*(W10-Z$13)*(Y10-AB$13)</f>
        <v>-9.1800000000000009E-4</v>
      </c>
      <c r="AN10" s="17">
        <f t="shared" ref="AN10:AN12" si="40">$V10*(X10-AA$13)*(Y10-AB$13)</f>
        <v>-5.1000000000000004E-4</v>
      </c>
      <c r="AP10" t="s">
        <v>57</v>
      </c>
      <c r="AQ10" s="2">
        <v>0.15</v>
      </c>
      <c r="AR10" s="3">
        <v>0.2</v>
      </c>
      <c r="AS10" s="2">
        <f t="shared" si="27"/>
        <v>0.03</v>
      </c>
    </row>
    <row r="11" spans="1:75" x14ac:dyDescent="0.3">
      <c r="V11" s="3">
        <v>0.4</v>
      </c>
      <c r="W11" s="2">
        <v>0.05</v>
      </c>
      <c r="X11" s="2">
        <v>0.2</v>
      </c>
      <c r="Y11" s="2">
        <v>0.03</v>
      </c>
      <c r="Z11" s="2">
        <f t="shared" si="28"/>
        <v>2.0000000000000004E-2</v>
      </c>
      <c r="AA11" s="2">
        <f t="shared" si="29"/>
        <v>8.0000000000000016E-2</v>
      </c>
      <c r="AB11" s="2">
        <f t="shared" si="30"/>
        <v>1.2E-2</v>
      </c>
      <c r="AC11" s="15">
        <f t="shared" si="31"/>
        <v>3.6000000000000002E-4</v>
      </c>
      <c r="AD11" s="15">
        <f t="shared" si="32"/>
        <v>0</v>
      </c>
      <c r="AE11" s="15">
        <f t="shared" si="33"/>
        <v>3.6000000000000062E-6</v>
      </c>
      <c r="AF11" s="2">
        <f t="shared" si="34"/>
        <v>0.5</v>
      </c>
      <c r="AG11" s="2">
        <f>0</f>
        <v>0</v>
      </c>
      <c r="AH11" s="2">
        <f t="shared" si="35"/>
        <v>0.5</v>
      </c>
      <c r="AI11" s="2">
        <f t="shared" si="36"/>
        <v>0.04</v>
      </c>
      <c r="AJ11" s="12">
        <f>AI11*$V11</f>
        <v>1.6E-2</v>
      </c>
      <c r="AK11" s="2">
        <f t="shared" si="37"/>
        <v>1.0890000000000002E-4</v>
      </c>
      <c r="AL11" s="18">
        <f t="shared" si="38"/>
        <v>0</v>
      </c>
      <c r="AM11" s="17">
        <f t="shared" si="39"/>
        <v>3.6000000000000035E-5</v>
      </c>
      <c r="AN11" s="17">
        <f t="shared" si="40"/>
        <v>0</v>
      </c>
      <c r="AP11" t="s">
        <v>58</v>
      </c>
      <c r="AQ11" s="2">
        <v>0.17</v>
      </c>
      <c r="AR11" s="3">
        <v>0.4</v>
      </c>
      <c r="AS11" s="2">
        <f t="shared" si="27"/>
        <v>6.8000000000000005E-2</v>
      </c>
    </row>
    <row r="12" spans="1:75" x14ac:dyDescent="0.3">
      <c r="V12" s="3">
        <v>0.3</v>
      </c>
      <c r="W12" s="2">
        <v>0.3</v>
      </c>
      <c r="X12" s="2">
        <v>0.3</v>
      </c>
      <c r="Y12" s="2">
        <v>0.02</v>
      </c>
      <c r="Z12" s="2">
        <f t="shared" si="28"/>
        <v>0.09</v>
      </c>
      <c r="AA12" s="2">
        <f t="shared" si="29"/>
        <v>0.09</v>
      </c>
      <c r="AB12" s="2">
        <f t="shared" si="30"/>
        <v>6.0000000000000001E-3</v>
      </c>
      <c r="AC12" s="15">
        <f t="shared" si="31"/>
        <v>1.4519999999999996E-2</v>
      </c>
      <c r="AD12" s="15">
        <f t="shared" si="32"/>
        <v>2.9999999999999983E-3</v>
      </c>
      <c r="AE12" s="15">
        <f t="shared" si="33"/>
        <v>5.0700000000000013E-5</v>
      </c>
      <c r="AF12" s="2">
        <f t="shared" si="34"/>
        <v>0.5</v>
      </c>
      <c r="AG12" s="2">
        <f>0</f>
        <v>0</v>
      </c>
      <c r="AH12" s="2">
        <f t="shared" si="35"/>
        <v>0.5</v>
      </c>
      <c r="AI12" s="2">
        <f t="shared" si="36"/>
        <v>0.16</v>
      </c>
      <c r="AJ12" s="12">
        <f>AI12*$V12</f>
        <v>4.8000000000000001E-2</v>
      </c>
      <c r="AK12" s="2">
        <f t="shared" si="37"/>
        <v>3.2136750000000005E-3</v>
      </c>
      <c r="AL12" s="18">
        <f t="shared" si="38"/>
        <v>6.5999999999999974E-3</v>
      </c>
      <c r="AM12" s="17">
        <f t="shared" si="39"/>
        <v>-8.5799999999999993E-4</v>
      </c>
      <c r="AN12" s="17">
        <f t="shared" si="40"/>
        <v>-3.8999999999999994E-4</v>
      </c>
      <c r="AP12" t="s">
        <v>20</v>
      </c>
      <c r="AQ12" s="2"/>
      <c r="AR12" s="3"/>
      <c r="AS12" s="11">
        <f>SUBTOTAL(109,Table1416[WtdRet])</f>
        <v>0.17800000000000002</v>
      </c>
    </row>
    <row r="13" spans="1:75" x14ac:dyDescent="0.3">
      <c r="V13" s="9">
        <f>SUBTOTAL(109,Table121417[Prob])</f>
        <v>1</v>
      </c>
      <c r="W13" s="8"/>
      <c r="X13" s="8"/>
      <c r="Y13" s="8"/>
      <c r="Z13" s="8">
        <f>SUBTOTAL(109,Table121417[Awted])</f>
        <v>0.08</v>
      </c>
      <c r="AA13" s="8">
        <f>SUBTOTAL(109,Table121417[Bwted])</f>
        <v>0.2</v>
      </c>
      <c r="AB13" s="8">
        <f>SUBTOTAL(109,Table121417[Cwted])</f>
        <v>3.3000000000000002E-2</v>
      </c>
      <c r="AC13" s="20">
        <f>SUBTOTAL(109,Table121417[Avar])</f>
        <v>2.4599999999999997E-2</v>
      </c>
      <c r="AD13" s="20">
        <f>SUBTOTAL(109,Table121417[Bvar])</f>
        <v>5.9999999999999984E-3</v>
      </c>
      <c r="AE13" s="20">
        <f>SUBTOTAL(109,Table121417[Cvar])</f>
        <v>1.4100000000000001E-4</v>
      </c>
      <c r="AF13" s="8"/>
      <c r="AG13" s="8"/>
      <c r="AH13" s="8"/>
      <c r="AI13" s="8"/>
      <c r="AJ13" s="13">
        <f>SUBTOTAL(109,Table121417[MixWted])</f>
        <v>5.6500000000000002E-2</v>
      </c>
      <c r="AK13" s="8">
        <f>SUBTOTAL(109,Table121417[MixVar])</f>
        <v>5.3152500000000005E-3</v>
      </c>
      <c r="AL13" s="22">
        <f>SUBTOTAL(109,Table121417[Abcov])</f>
        <v>1.1999999999999997E-2</v>
      </c>
      <c r="AM13" s="21">
        <f>SUBTOTAL(109,Table121417[Accov])</f>
        <v>-1.74E-3</v>
      </c>
      <c r="AN13" s="21">
        <f>SUBTOTAL(109,Table121417[Bccov])</f>
        <v>-8.9999999999999998E-4</v>
      </c>
    </row>
    <row r="14" spans="1:75" x14ac:dyDescent="0.3">
      <c r="AB14"/>
      <c r="AC14" s="15">
        <f>SQRT(AC13)</f>
        <v>0.15684387141358122</v>
      </c>
      <c r="AD14" s="15">
        <f t="shared" ref="AD14:AE14" si="41">SQRT(AD13)</f>
        <v>7.7459666924148324E-2</v>
      </c>
      <c r="AE14" s="15">
        <f t="shared" si="41"/>
        <v>1.1874342087037918E-2</v>
      </c>
      <c r="AJ14" s="2"/>
      <c r="AK14" s="2">
        <f>SQRT(AK13)</f>
        <v>7.2905761089230803E-2</v>
      </c>
      <c r="AL14" s="18">
        <f>AL13/($AC14*$AD14)</f>
        <v>0.98772959664958959</v>
      </c>
      <c r="AM14" s="17">
        <f>AM13/($AC14*$AE14)</f>
        <v>-0.93426942949640668</v>
      </c>
      <c r="AN14" s="17">
        <f>AN13/($AE14*$AD14)</f>
        <v>-0.97849210958016342</v>
      </c>
    </row>
    <row r="17" spans="22:41" x14ac:dyDescent="0.3">
      <c r="V17" s="3" t="s">
        <v>27</v>
      </c>
      <c r="W17" s="2" t="s">
        <v>43</v>
      </c>
      <c r="X17" s="2" t="s">
        <v>45</v>
      </c>
      <c r="Y17" s="2" t="s">
        <v>47</v>
      </c>
      <c r="Z17" s="2" t="s">
        <v>44</v>
      </c>
      <c r="AA17" s="2" t="s">
        <v>46</v>
      </c>
      <c r="AB17" s="2" t="s">
        <v>48</v>
      </c>
      <c r="AC17" s="15" t="s">
        <v>75</v>
      </c>
      <c r="AD17" s="15" t="s">
        <v>76</v>
      </c>
      <c r="AE17" s="15" t="s">
        <v>77</v>
      </c>
      <c r="AF17" s="2" t="s">
        <v>49</v>
      </c>
      <c r="AG17" s="2" t="s">
        <v>51</v>
      </c>
      <c r="AH17" s="2" t="s">
        <v>50</v>
      </c>
      <c r="AI17" s="2" t="s">
        <v>41</v>
      </c>
      <c r="AJ17" s="12" t="s">
        <v>42</v>
      </c>
      <c r="AK17" s="12" t="s">
        <v>71</v>
      </c>
      <c r="AL17" s="18" t="s">
        <v>78</v>
      </c>
      <c r="AM17" s="17" t="s">
        <v>79</v>
      </c>
      <c r="AN17" s="17" t="s">
        <v>80</v>
      </c>
      <c r="AO17" s="11"/>
    </row>
    <row r="18" spans="22:41" x14ac:dyDescent="0.3">
      <c r="V18" s="3">
        <v>0.3</v>
      </c>
      <c r="W18" s="2">
        <v>0.1</v>
      </c>
      <c r="X18" s="2">
        <v>-0.05</v>
      </c>
      <c r="Y18" s="2">
        <v>-0.03</v>
      </c>
      <c r="Z18" s="2">
        <f t="shared" ref="Z18:Z20" si="42">W18*$V18</f>
        <v>0.03</v>
      </c>
      <c r="AA18" s="2">
        <f t="shared" ref="AA18:AA20" si="43">X18*$V18</f>
        <v>-1.4999999999999999E-2</v>
      </c>
      <c r="AB18" s="2">
        <f t="shared" ref="AB18:AB20" si="44">Y18*$V18</f>
        <v>-8.9999999999999993E-3</v>
      </c>
      <c r="AC18" s="15">
        <f t="shared" ref="AC18:AC20" si="45">$V18*POWER(W18-Z$21,2)</f>
        <v>9.0749999999999978E-4</v>
      </c>
      <c r="AD18" s="15">
        <f t="shared" ref="AD18:AD20" si="46">$V18*POWER(X18-AA$21,2)</f>
        <v>1.1407500000000001E-2</v>
      </c>
      <c r="AE18" s="15">
        <f t="shared" ref="AE18:AE20" si="47">$V18*POWER(Y18-AB$21,2)</f>
        <v>1.7327999999999998E-3</v>
      </c>
      <c r="AF18" s="2">
        <f t="shared" ref="AF18:AF20" si="48">0.6</f>
        <v>0.6</v>
      </c>
      <c r="AG18" s="2">
        <f t="shared" ref="AG18:AG20" si="49">0.4</f>
        <v>0.4</v>
      </c>
      <c r="AH18" s="2">
        <f t="shared" ref="AH18:AH20" si="50">1-AF18-AG18</f>
        <v>0</v>
      </c>
      <c r="AI18" s="2">
        <f t="shared" ref="AI18:AI20" si="51">W18*AF$18+X18*AG$18+Y18*AH$18</f>
        <v>3.9999999999999994E-2</v>
      </c>
      <c r="AJ18" s="12">
        <f>AI18*$V18</f>
        <v>1.1999999999999999E-2</v>
      </c>
      <c r="AK18" s="2">
        <f t="shared" ref="AK18:AK20" si="52">$V18*POWER(AI18-AJ$21,2)</f>
        <v>3.6963000000000022E-3</v>
      </c>
      <c r="AL18" s="18">
        <f t="shared" ref="AL18:AL20" si="53">$V18*(W18-Z$21)*(X18-AA$21)</f>
        <v>3.2174999999999994E-3</v>
      </c>
      <c r="AM18" s="17">
        <f t="shared" ref="AM18:AM20" si="54">$V18*(W18-Z$21)*(Y18-AB$21)</f>
        <v>1.2539999999999997E-3</v>
      </c>
      <c r="AN18" s="17">
        <f t="shared" ref="AN18:AN20" si="55">$V18*(X18-AA$21)*(Y18-AB$21)</f>
        <v>4.4459999999999994E-3</v>
      </c>
    </row>
    <row r="19" spans="22:41" x14ac:dyDescent="0.3">
      <c r="V19" s="3">
        <v>0.5</v>
      </c>
      <c r="W19" s="2">
        <v>0.15</v>
      </c>
      <c r="X19" s="2">
        <v>0.2</v>
      </c>
      <c r="Y19" s="2">
        <v>0.05</v>
      </c>
      <c r="Z19" s="2">
        <f t="shared" si="42"/>
        <v>7.4999999999999997E-2</v>
      </c>
      <c r="AA19" s="2">
        <f t="shared" si="43"/>
        <v>0.1</v>
      </c>
      <c r="AB19" s="2">
        <f t="shared" si="44"/>
        <v>2.5000000000000001E-2</v>
      </c>
      <c r="AC19" s="15">
        <f t="shared" si="45"/>
        <v>1.2500000000000023E-5</v>
      </c>
      <c r="AD19" s="15">
        <f t="shared" si="46"/>
        <v>1.5124999999999997E-3</v>
      </c>
      <c r="AE19" s="15">
        <f t="shared" si="47"/>
        <v>8.0000000000000149E-6</v>
      </c>
      <c r="AF19" s="2">
        <f t="shared" si="48"/>
        <v>0.6</v>
      </c>
      <c r="AG19" s="2">
        <f t="shared" si="49"/>
        <v>0.4</v>
      </c>
      <c r="AH19" s="2">
        <f t="shared" si="50"/>
        <v>0</v>
      </c>
      <c r="AI19" s="2">
        <f t="shared" si="51"/>
        <v>0.17</v>
      </c>
      <c r="AJ19" s="12">
        <f>AI19*$V19</f>
        <v>8.5000000000000006E-2</v>
      </c>
      <c r="AK19" s="2">
        <f t="shared" si="52"/>
        <v>1.8049999999999981E-4</v>
      </c>
      <c r="AL19" s="18">
        <f t="shared" si="53"/>
        <v>-1.3750000000000012E-4</v>
      </c>
      <c r="AM19" s="17">
        <f t="shared" si="54"/>
        <v>-1.0000000000000018E-5</v>
      </c>
      <c r="AN19" s="17">
        <f t="shared" si="55"/>
        <v>1.1000000000000009E-4</v>
      </c>
    </row>
    <row r="20" spans="22:41" x14ac:dyDescent="0.3">
      <c r="V20" s="3">
        <v>0.2</v>
      </c>
      <c r="W20" s="2">
        <v>0.25</v>
      </c>
      <c r="X20" s="2">
        <v>0.3</v>
      </c>
      <c r="Y20" s="2">
        <v>0.15</v>
      </c>
      <c r="Z20" s="2">
        <f t="shared" si="42"/>
        <v>0.05</v>
      </c>
      <c r="AA20" s="2">
        <f t="shared" si="43"/>
        <v>0.06</v>
      </c>
      <c r="AB20" s="2">
        <f t="shared" si="44"/>
        <v>0.03</v>
      </c>
      <c r="AC20" s="15">
        <f t="shared" si="45"/>
        <v>1.8050000000000002E-3</v>
      </c>
      <c r="AD20" s="15">
        <f t="shared" si="46"/>
        <v>4.8049999999999985E-3</v>
      </c>
      <c r="AE20" s="15">
        <f t="shared" si="47"/>
        <v>2.1632000000000001E-3</v>
      </c>
      <c r="AF20" s="2">
        <f t="shared" si="48"/>
        <v>0.6</v>
      </c>
      <c r="AG20" s="2">
        <f t="shared" si="49"/>
        <v>0.4</v>
      </c>
      <c r="AH20" s="2">
        <f t="shared" si="50"/>
        <v>0</v>
      </c>
      <c r="AI20" s="2">
        <f t="shared" si="51"/>
        <v>0.27</v>
      </c>
      <c r="AJ20" s="12">
        <f>AI20*$V20</f>
        <v>5.4000000000000006E-2</v>
      </c>
      <c r="AK20" s="2">
        <f t="shared" si="52"/>
        <v>2.8322E-3</v>
      </c>
      <c r="AL20" s="18">
        <f t="shared" si="53"/>
        <v>2.9449999999999997E-3</v>
      </c>
      <c r="AM20" s="17">
        <f t="shared" si="54"/>
        <v>1.9760000000000003E-3</v>
      </c>
      <c r="AN20" s="17">
        <f t="shared" si="55"/>
        <v>3.2239999999999994E-3</v>
      </c>
    </row>
    <row r="21" spans="22:41" x14ac:dyDescent="0.3">
      <c r="V21" s="9">
        <f>SUBTOTAL(109,Table12141723[Prob])</f>
        <v>1</v>
      </c>
      <c r="W21" s="8"/>
      <c r="X21" s="8"/>
      <c r="Y21" s="8"/>
      <c r="Z21" s="8">
        <f>SUBTOTAL(109,Table12141723[Awted])</f>
        <v>0.155</v>
      </c>
      <c r="AA21" s="8">
        <f>SUBTOTAL(109,Table12141723[Bwted])</f>
        <v>0.14500000000000002</v>
      </c>
      <c r="AB21" s="8">
        <f>SUBTOTAL(109,Table12141723[Cwted])</f>
        <v>4.5999999999999999E-2</v>
      </c>
      <c r="AC21" s="20">
        <f>SUBTOTAL(109,Table12141723[Avar])</f>
        <v>2.725E-3</v>
      </c>
      <c r="AD21" s="20">
        <f>SUBTOTAL(109,Table12141723[Bvar])</f>
        <v>1.7724999999999998E-2</v>
      </c>
      <c r="AE21" s="20">
        <f>SUBTOTAL(109,Table12141723[Cvar])</f>
        <v>3.9039999999999999E-3</v>
      </c>
      <c r="AF21" s="8"/>
      <c r="AG21" s="8"/>
      <c r="AH21" s="8"/>
      <c r="AI21" s="8"/>
      <c r="AJ21" s="13">
        <f>SUBTOTAL(109,Table12141723[MixWted])</f>
        <v>0.15100000000000002</v>
      </c>
      <c r="AK21" s="8">
        <f>SUBTOTAL(109,Table12141723[MixVar])</f>
        <v>6.7090000000000014E-3</v>
      </c>
      <c r="AL21" s="22">
        <f>SUBTOTAL(109,Table12141723[Abcov])</f>
        <v>6.0249999999999991E-3</v>
      </c>
      <c r="AM21" s="21">
        <f>SUBTOTAL(109,Table12141723[Accov])</f>
        <v>3.2199999999999998E-3</v>
      </c>
      <c r="AN21" s="21">
        <f>SUBTOTAL(109,Table12141723[Bccov])</f>
        <v>7.7799999999999987E-3</v>
      </c>
    </row>
    <row r="22" spans="22:41" x14ac:dyDescent="0.3">
      <c r="AB22"/>
      <c r="AC22" s="15">
        <f>SQRT(AC21)</f>
        <v>5.2201532544552752E-2</v>
      </c>
      <c r="AD22" s="15">
        <f t="shared" ref="AD22:AE22" si="56">SQRT(AD21)</f>
        <v>0.13313526955694346</v>
      </c>
      <c r="AE22" s="15">
        <f t="shared" si="56"/>
        <v>6.2481997407253236E-2</v>
      </c>
      <c r="AJ22" s="2"/>
      <c r="AK22" s="2">
        <f>SQRT(AK21)</f>
        <v>8.1908485518900911E-2</v>
      </c>
      <c r="AL22" s="18">
        <f>AL21/($AC22*$AD22)</f>
        <v>0.86692330103994797</v>
      </c>
      <c r="AM22" s="17">
        <f>AM21/($AC22*$AE22)</f>
        <v>0.98722856707333029</v>
      </c>
      <c r="AN22" s="17">
        <f>AN21/($AE22*$AD22)</f>
        <v>0.93525829893996992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"/>
  <sheetViews>
    <sheetView topLeftCell="A2" workbookViewId="0">
      <selection activeCell="H23" sqref="H23"/>
    </sheetView>
  </sheetViews>
  <sheetFormatPr defaultRowHeight="15.6" x14ac:dyDescent="0.3"/>
  <cols>
    <col min="3" max="12" width="8.7265625" customWidth="1"/>
    <col min="17" max="17" width="9.36328125" customWidth="1"/>
  </cols>
  <sheetData>
    <row r="1" spans="1:34" x14ac:dyDescent="0.3">
      <c r="C1">
        <v>8.0999999999999996E-3</v>
      </c>
      <c r="D1">
        <v>6.25E-2</v>
      </c>
      <c r="E1">
        <v>4.4999999999999997E-3</v>
      </c>
      <c r="U1" t="s">
        <v>100</v>
      </c>
      <c r="V1" t="s">
        <v>56</v>
      </c>
      <c r="W1" t="s">
        <v>57</v>
      </c>
      <c r="X1" t="s">
        <v>58</v>
      </c>
    </row>
    <row r="2" spans="1:34" x14ac:dyDescent="0.3">
      <c r="U2" t="s">
        <v>98</v>
      </c>
      <c r="V2">
        <v>3.9719078326249692E-3</v>
      </c>
      <c r="W2">
        <v>5.5960905683716177E-3</v>
      </c>
      <c r="X2">
        <v>2.7660733123236771E-2</v>
      </c>
    </row>
    <row r="3" spans="1:34" x14ac:dyDescent="0.3">
      <c r="A3" s="26">
        <v>0.3</v>
      </c>
      <c r="B3" s="26">
        <f>1-A3</f>
        <v>0.7</v>
      </c>
      <c r="C3" s="26"/>
      <c r="D3" s="26">
        <v>8.0999999999999996E-3</v>
      </c>
      <c r="E3" s="26">
        <v>4.4999999999999997E-3</v>
      </c>
      <c r="F3" s="26"/>
      <c r="G3" s="26">
        <f t="array" ref="G3:H3">MMULT(A3:B3,D3:E4)</f>
        <v>5.5799999999999999E-3</v>
      </c>
      <c r="H3" s="26">
        <v>4.5099999999999994E-2</v>
      </c>
      <c r="I3" s="26"/>
      <c r="J3" s="26">
        <v>0.3</v>
      </c>
      <c r="K3" s="26"/>
      <c r="L3" s="26">
        <f>MMULT(G3:H3,J3:J4)</f>
        <v>3.3243999999999996E-2</v>
      </c>
      <c r="U3" t="s">
        <v>99</v>
      </c>
      <c r="V3">
        <v>1.2091049929214015E-4</v>
      </c>
      <c r="W3">
        <v>1.6402684376599999E-3</v>
      </c>
      <c r="X3">
        <v>2.8466688522198349E-4</v>
      </c>
    </row>
    <row r="4" spans="1:34" x14ac:dyDescent="0.3">
      <c r="A4" s="26"/>
      <c r="B4" s="26"/>
      <c r="C4" s="26"/>
      <c r="D4" s="26">
        <v>4.4999999999999997E-3</v>
      </c>
      <c r="E4" s="26">
        <v>6.25E-2</v>
      </c>
      <c r="F4" s="26"/>
      <c r="G4" s="26"/>
      <c r="H4" s="26"/>
      <c r="I4" s="26"/>
      <c r="J4" s="26">
        <f>1-J3</f>
        <v>0.7</v>
      </c>
      <c r="K4" s="26"/>
      <c r="L4" s="26"/>
      <c r="Q4" t="s">
        <v>106</v>
      </c>
      <c r="R4" t="s">
        <v>107</v>
      </c>
      <c r="S4" t="s">
        <v>108</v>
      </c>
      <c r="V4" t="s">
        <v>56</v>
      </c>
      <c r="W4" t="s">
        <v>57</v>
      </c>
      <c r="X4" t="s">
        <v>58</v>
      </c>
    </row>
    <row r="5" spans="1:34" x14ac:dyDescent="0.3">
      <c r="Q5" s="31">
        <v>0.5</v>
      </c>
      <c r="R5" s="31">
        <v>0.3</v>
      </c>
      <c r="S5" s="31">
        <f>1-Q5-R5</f>
        <v>0.2</v>
      </c>
      <c r="U5" t="s">
        <v>56</v>
      </c>
      <c r="V5">
        <v>3.9719078326249692E-3</v>
      </c>
      <c r="W5" s="28">
        <v>2.8466688522198349E-4</v>
      </c>
      <c r="X5" s="27">
        <v>1.6402684376599999E-3</v>
      </c>
      <c r="Z5">
        <f t="array" ref="Z5:AB5">MMULT(Q5:S5,V5:X7)</f>
        <v>2.3994076694110796E-3</v>
      </c>
      <c r="AA5">
        <v>1.845342712980905E-3</v>
      </c>
      <c r="AB5">
        <v>6.3885539932649962E-3</v>
      </c>
      <c r="AD5">
        <f>Q5</f>
        <v>0.5</v>
      </c>
      <c r="AF5" s="29">
        <f>MMULT(Z5:AB5,AD5:AD7)</f>
        <v>3.0310174472528107E-3</v>
      </c>
      <c r="AH5" s="29">
        <f>SQRT(AF5)</f>
        <v>5.505467688809744E-2</v>
      </c>
    </row>
    <row r="6" spans="1:34" x14ac:dyDescent="0.3">
      <c r="A6" t="s">
        <v>93</v>
      </c>
      <c r="D6" t="s">
        <v>94</v>
      </c>
      <c r="G6" t="s">
        <v>95</v>
      </c>
      <c r="J6" t="s">
        <v>96</v>
      </c>
      <c r="L6" t="s">
        <v>97</v>
      </c>
      <c r="U6" t="s">
        <v>57</v>
      </c>
      <c r="V6" s="28">
        <v>2.8466688522198349E-4</v>
      </c>
      <c r="W6">
        <v>5.5960905683716177E-3</v>
      </c>
      <c r="X6" s="27">
        <v>1.2091049929214015E-4</v>
      </c>
      <c r="AD6">
        <f>R5</f>
        <v>0.3</v>
      </c>
      <c r="AF6" s="29"/>
      <c r="AH6" s="29"/>
    </row>
    <row r="7" spans="1:34" x14ac:dyDescent="0.3">
      <c r="U7" t="s">
        <v>58</v>
      </c>
      <c r="V7" s="27">
        <v>1.6402684376599999E-3</v>
      </c>
      <c r="W7" s="27">
        <v>1.2091049929214015E-4</v>
      </c>
      <c r="X7">
        <v>2.7660733123236771E-2</v>
      </c>
      <c r="AD7">
        <f>S5</f>
        <v>0.2</v>
      </c>
      <c r="AF7" s="29"/>
      <c r="AH7" s="29"/>
    </row>
    <row r="8" spans="1:34" x14ac:dyDescent="0.3">
      <c r="AF8" s="29"/>
      <c r="AH8" s="29"/>
    </row>
    <row r="9" spans="1:34" x14ac:dyDescent="0.3">
      <c r="Q9" t="s">
        <v>93</v>
      </c>
      <c r="V9" t="s">
        <v>101</v>
      </c>
      <c r="Z9" t="s">
        <v>102</v>
      </c>
      <c r="AF9" s="29" t="s">
        <v>97</v>
      </c>
      <c r="AH9" s="29" t="s">
        <v>103</v>
      </c>
    </row>
    <row r="10" spans="1:34" x14ac:dyDescent="0.3">
      <c r="AF10">
        <f>AH5</f>
        <v>5.505467688809744E-2</v>
      </c>
    </row>
    <row r="11" spans="1:34" x14ac:dyDescent="0.3">
      <c r="U11" t="s">
        <v>104</v>
      </c>
      <c r="V11">
        <v>1.5727947576369881E-2</v>
      </c>
      <c r="W11">
        <v>1.7634858180810627E-2</v>
      </c>
      <c r="X11">
        <v>4.8766842283450816E-2</v>
      </c>
      <c r="Z11">
        <f>Q5*V11</f>
        <v>7.8639737881849407E-3</v>
      </c>
      <c r="AA11">
        <f t="shared" ref="AA11:AB11" si="0">R5*W11</f>
        <v>5.2904574542431875E-3</v>
      </c>
      <c r="AB11">
        <f t="shared" si="0"/>
        <v>9.7533684566901632E-3</v>
      </c>
      <c r="AE11" s="29" t="s">
        <v>105</v>
      </c>
      <c r="AF11" s="30">
        <f>SUM(Z11:AB11)</f>
        <v>2.2907799699118291E-2</v>
      </c>
    </row>
    <row r="14" spans="1:34" x14ac:dyDescent="0.3">
      <c r="A14" t="s">
        <v>109</v>
      </c>
      <c r="B14" t="s">
        <v>110</v>
      </c>
      <c r="D14" t="s">
        <v>109</v>
      </c>
      <c r="E14" t="s">
        <v>110</v>
      </c>
    </row>
    <row r="15" spans="1:34" x14ac:dyDescent="0.3">
      <c r="A15" s="26">
        <v>0.95</v>
      </c>
      <c r="B15" s="26">
        <f>1-A15</f>
        <v>5.0000000000000044E-2</v>
      </c>
      <c r="C15" s="26" t="s">
        <v>109</v>
      </c>
      <c r="D15" s="26">
        <v>5.9048999999999997E-2</v>
      </c>
      <c r="E15" s="26">
        <v>1.999680534E-2</v>
      </c>
      <c r="F15" s="26"/>
      <c r="G15" s="26">
        <f t="array" ref="G15:H15">MMULT(A15:B15,D15:E16)</f>
        <v>5.7096390266999995E-2</v>
      </c>
      <c r="H15" s="26">
        <v>2.1637367073000003E-2</v>
      </c>
      <c r="I15" s="26"/>
      <c r="J15" s="26">
        <f>A15</f>
        <v>0.95</v>
      </c>
      <c r="K15" s="26"/>
      <c r="L15" s="26">
        <f>MMULT(G15:H15,J15:J16)</f>
        <v>5.532343910729999E-2</v>
      </c>
      <c r="M15">
        <f>A15*D21+B15*D22</f>
        <v>0.15844000000000003</v>
      </c>
      <c r="N15">
        <f>SQRT(L15)</f>
        <v>0.23520935165783691</v>
      </c>
    </row>
    <row r="16" spans="1:34" x14ac:dyDescent="0.3">
      <c r="A16" s="26"/>
      <c r="B16" s="26"/>
      <c r="C16" s="26" t="s">
        <v>110</v>
      </c>
      <c r="D16" s="26">
        <v>1.999680534E-2</v>
      </c>
      <c r="E16" s="26">
        <v>5.2808040000000001E-2</v>
      </c>
      <c r="F16" s="26"/>
      <c r="G16" s="26"/>
      <c r="H16" s="26"/>
      <c r="I16" s="26"/>
      <c r="J16" s="26">
        <f>B15</f>
        <v>5.0000000000000044E-2</v>
      </c>
      <c r="K16" s="26"/>
      <c r="L16" s="26"/>
    </row>
    <row r="18" spans="1:14" x14ac:dyDescent="0.3">
      <c r="A18" t="s">
        <v>93</v>
      </c>
      <c r="D18" t="s">
        <v>94</v>
      </c>
      <c r="G18" t="s">
        <v>95</v>
      </c>
      <c r="J18" t="s">
        <v>96</v>
      </c>
      <c r="L18" t="s">
        <v>97</v>
      </c>
      <c r="M18" t="s">
        <v>14</v>
      </c>
      <c r="N18" t="s">
        <v>112</v>
      </c>
    </row>
    <row r="20" spans="1:14" x14ac:dyDescent="0.3">
      <c r="A20" t="s">
        <v>111</v>
      </c>
      <c r="B20" t="s">
        <v>70</v>
      </c>
      <c r="C20" t="s">
        <v>24</v>
      </c>
      <c r="D20" t="s">
        <v>14</v>
      </c>
      <c r="E20" t="s">
        <v>115</v>
      </c>
      <c r="F20" t="s">
        <v>116</v>
      </c>
      <c r="G20" t="s">
        <v>117</v>
      </c>
      <c r="H20" t="s">
        <v>118</v>
      </c>
    </row>
    <row r="21" spans="1:14" x14ac:dyDescent="0.3">
      <c r="A21" t="s">
        <v>109</v>
      </c>
      <c r="B21">
        <v>0.24299999999999999</v>
      </c>
      <c r="C21">
        <f>B21*B21</f>
        <v>5.9048999999999997E-2</v>
      </c>
      <c r="D21">
        <v>0.15890000000000001</v>
      </c>
      <c r="E21">
        <v>0.35809999999999997</v>
      </c>
      <c r="F21">
        <f>E21*$B21*$B22</f>
        <v>1.999680534E-2</v>
      </c>
      <c r="G21">
        <v>0.5</v>
      </c>
      <c r="H21">
        <f>G21*$B21*$B22</f>
        <v>2.79207E-2</v>
      </c>
    </row>
    <row r="22" spans="1:14" x14ac:dyDescent="0.3">
      <c r="A22" t="s">
        <v>110</v>
      </c>
      <c r="B22">
        <v>0.2298</v>
      </c>
      <c r="C22">
        <f>B22*B22</f>
        <v>5.2808040000000001E-2</v>
      </c>
      <c r="D22">
        <v>0.1497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02"/>
  <sheetViews>
    <sheetView topLeftCell="K1" workbookViewId="0">
      <selection activeCell="T2" sqref="T2"/>
    </sheetView>
  </sheetViews>
  <sheetFormatPr defaultRowHeight="15.6" x14ac:dyDescent="0.3"/>
  <sheetData>
    <row r="1" spans="1:113" x14ac:dyDescent="0.3">
      <c r="A1" t="s">
        <v>109</v>
      </c>
      <c r="B1" t="s">
        <v>110</v>
      </c>
      <c r="E1" t="s">
        <v>109</v>
      </c>
      <c r="F1" t="s">
        <v>110</v>
      </c>
      <c r="K1" t="s">
        <v>109</v>
      </c>
      <c r="L1" t="s">
        <v>110</v>
      </c>
      <c r="N1" t="s">
        <v>24</v>
      </c>
      <c r="O1" t="s">
        <v>113</v>
      </c>
      <c r="P1" t="s">
        <v>81</v>
      </c>
      <c r="Q1" t="s">
        <v>114</v>
      </c>
      <c r="R1" t="s">
        <v>70</v>
      </c>
    </row>
    <row r="2" spans="1:113" x14ac:dyDescent="0.3">
      <c r="A2" s="26">
        <v>1</v>
      </c>
      <c r="B2" s="26">
        <f>1-A2</f>
        <v>0</v>
      </c>
      <c r="C2" s="26"/>
      <c r="D2" s="26" t="s">
        <v>109</v>
      </c>
      <c r="E2" s="26">
        <v>5.9048999999999997E-2</v>
      </c>
      <c r="F2" s="26">
        <v>1.999680534E-2</v>
      </c>
      <c r="G2" s="26"/>
      <c r="H2" s="26">
        <f t="array" ref="H2:I102">MMULT(A2:B102,E2:F3)</f>
        <v>5.9048999999999997E-2</v>
      </c>
      <c r="I2" s="26">
        <v>1.999680534E-2</v>
      </c>
      <c r="J2" s="26"/>
      <c r="K2" s="26">
        <f>A2</f>
        <v>1</v>
      </c>
      <c r="L2" s="26">
        <f>B2</f>
        <v>0</v>
      </c>
      <c r="M2" s="26"/>
      <c r="N2" s="26">
        <f>H2*K2+I2*L2</f>
        <v>5.9048999999999997E-2</v>
      </c>
      <c r="O2" s="26">
        <v>0.15890000000000001</v>
      </c>
      <c r="P2" s="26">
        <v>0.1497</v>
      </c>
      <c r="Q2" s="32">
        <f>K2*O$2+L2*P$2</f>
        <v>0.15890000000000001</v>
      </c>
      <c r="R2" s="32">
        <f>SQRT(N2)</f>
        <v>0.24299999999999999</v>
      </c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I2" s="26"/>
    </row>
    <row r="3" spans="1:113" x14ac:dyDescent="0.3">
      <c r="A3" s="26">
        <v>0.99</v>
      </c>
      <c r="B3" s="26">
        <f>1-A3</f>
        <v>1.0000000000000009E-2</v>
      </c>
      <c r="C3" s="26"/>
      <c r="D3" s="26" t="s">
        <v>110</v>
      </c>
      <c r="E3" s="26">
        <v>1.999680534E-2</v>
      </c>
      <c r="F3" s="26">
        <v>5.2808040000000001E-2</v>
      </c>
      <c r="G3" s="26"/>
      <c r="H3" s="26">
        <v>5.86584780534E-2</v>
      </c>
      <c r="I3" s="26">
        <v>2.03249176866E-2</v>
      </c>
      <c r="J3" s="26"/>
      <c r="K3" s="26">
        <f t="shared" ref="K3:K66" si="0">A3</f>
        <v>0.99</v>
      </c>
      <c r="L3" s="26">
        <f t="shared" ref="L3:L66" si="1">B3</f>
        <v>1.0000000000000009E-2</v>
      </c>
      <c r="M3" s="26"/>
      <c r="N3" s="26">
        <f t="shared" ref="N3:N66" si="2">H3*K3+I3*L3</f>
        <v>5.8275142449732004E-2</v>
      </c>
      <c r="O3" s="26"/>
      <c r="P3" s="26"/>
      <c r="Q3" s="32">
        <f t="shared" ref="Q3:Q66" si="3">K3*O$2+L3*P$2</f>
        <v>0.158808</v>
      </c>
      <c r="R3" s="32">
        <f t="shared" ref="R3:R66" si="4">SQRT(N3)</f>
        <v>0.24140244913780806</v>
      </c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I3" s="26"/>
    </row>
    <row r="4" spans="1:113" x14ac:dyDescent="0.3">
      <c r="A4" s="26">
        <v>0.98</v>
      </c>
      <c r="B4" s="26">
        <f t="shared" ref="B4:B67" si="5">1-A4</f>
        <v>2.0000000000000018E-2</v>
      </c>
      <c r="C4" s="26"/>
      <c r="H4" s="26">
        <v>5.8267956106800002E-2</v>
      </c>
      <c r="I4" s="26">
        <v>2.0653030033200001E-2</v>
      </c>
      <c r="K4" s="26">
        <f t="shared" si="0"/>
        <v>0.98</v>
      </c>
      <c r="L4" s="26">
        <f t="shared" si="1"/>
        <v>2.0000000000000018E-2</v>
      </c>
      <c r="N4" s="26">
        <f t="shared" si="2"/>
        <v>5.7515657585327999E-2</v>
      </c>
      <c r="Q4" s="32">
        <f t="shared" si="3"/>
        <v>0.158716</v>
      </c>
      <c r="R4" s="32">
        <f t="shared" si="4"/>
        <v>0.23982422226565855</v>
      </c>
      <c r="DI4" s="26"/>
    </row>
    <row r="5" spans="1:113" x14ac:dyDescent="0.3">
      <c r="A5" s="26">
        <v>0.97</v>
      </c>
      <c r="B5" s="26">
        <f t="shared" si="5"/>
        <v>3.0000000000000027E-2</v>
      </c>
      <c r="C5" s="26"/>
      <c r="H5" s="26">
        <v>5.7877434160199991E-2</v>
      </c>
      <c r="I5" s="26">
        <v>2.0981142379800002E-2</v>
      </c>
      <c r="K5" s="26">
        <f t="shared" si="0"/>
        <v>0.97</v>
      </c>
      <c r="L5" s="26">
        <f t="shared" si="1"/>
        <v>3.0000000000000027E-2</v>
      </c>
      <c r="N5" s="26">
        <f t="shared" si="2"/>
        <v>5.6770545406787991E-2</v>
      </c>
      <c r="Q5" s="32">
        <f t="shared" si="3"/>
        <v>0.15862400000000001</v>
      </c>
      <c r="R5" s="32">
        <f t="shared" si="4"/>
        <v>0.23826570337920644</v>
      </c>
      <c r="DI5" s="26"/>
    </row>
    <row r="6" spans="1:113" x14ac:dyDescent="0.3">
      <c r="A6" s="26">
        <v>0.96</v>
      </c>
      <c r="B6" s="26">
        <f t="shared" si="5"/>
        <v>4.0000000000000036E-2</v>
      </c>
      <c r="C6" s="26"/>
      <c r="H6" s="26">
        <v>5.7486912213599993E-2</v>
      </c>
      <c r="I6" s="26">
        <v>2.1309254726399999E-2</v>
      </c>
      <c r="K6" s="26">
        <f t="shared" si="0"/>
        <v>0.96</v>
      </c>
      <c r="L6" s="26">
        <f t="shared" si="1"/>
        <v>4.0000000000000036E-2</v>
      </c>
      <c r="N6" s="26">
        <f t="shared" si="2"/>
        <v>5.6039805914111993E-2</v>
      </c>
      <c r="Q6" s="32">
        <f t="shared" si="3"/>
        <v>0.15853200000000001</v>
      </c>
      <c r="R6" s="32">
        <f t="shared" si="4"/>
        <v>0.23672728172754401</v>
      </c>
      <c r="DI6" s="26"/>
    </row>
    <row r="7" spans="1:113" x14ac:dyDescent="0.3">
      <c r="A7" s="26">
        <v>0.95</v>
      </c>
      <c r="B7" s="26">
        <f t="shared" si="5"/>
        <v>5.0000000000000044E-2</v>
      </c>
      <c r="C7" s="26"/>
      <c r="H7" s="26">
        <v>5.7096390266999995E-2</v>
      </c>
      <c r="I7" s="26">
        <v>2.1637367073000003E-2</v>
      </c>
      <c r="K7" s="26">
        <f t="shared" si="0"/>
        <v>0.95</v>
      </c>
      <c r="L7" s="26">
        <f t="shared" si="1"/>
        <v>5.0000000000000044E-2</v>
      </c>
      <c r="N7" s="26">
        <f t="shared" si="2"/>
        <v>5.532343910729999E-2</v>
      </c>
      <c r="Q7" s="32">
        <f t="shared" si="3"/>
        <v>0.15844000000000003</v>
      </c>
      <c r="R7" s="32">
        <f t="shared" si="4"/>
        <v>0.23520935165783691</v>
      </c>
      <c r="DI7" s="26"/>
    </row>
    <row r="8" spans="1:113" x14ac:dyDescent="0.3">
      <c r="A8" s="26">
        <v>0.94</v>
      </c>
      <c r="B8" s="26">
        <f t="shared" si="5"/>
        <v>6.0000000000000053E-2</v>
      </c>
      <c r="C8" s="26"/>
      <c r="H8" s="26">
        <v>5.6705868320399998E-2</v>
      </c>
      <c r="I8" s="26">
        <v>2.19654794196E-2</v>
      </c>
      <c r="K8" s="26">
        <f t="shared" si="0"/>
        <v>0.94</v>
      </c>
      <c r="L8" s="26">
        <f t="shared" si="1"/>
        <v>6.0000000000000053E-2</v>
      </c>
      <c r="N8" s="26">
        <f t="shared" si="2"/>
        <v>5.4621444986351998E-2</v>
      </c>
      <c r="Q8" s="32">
        <f t="shared" si="3"/>
        <v>0.15834800000000002</v>
      </c>
      <c r="R8" s="32">
        <f t="shared" si="4"/>
        <v>0.23371231244064142</v>
      </c>
      <c r="DI8" s="26"/>
    </row>
    <row r="9" spans="1:113" x14ac:dyDescent="0.3">
      <c r="A9" s="26">
        <v>0.93</v>
      </c>
      <c r="B9" s="26">
        <f t="shared" si="5"/>
        <v>6.9999999999999951E-2</v>
      </c>
      <c r="C9" s="26"/>
      <c r="H9" s="26">
        <v>5.63153463738E-2</v>
      </c>
      <c r="I9" s="26">
        <v>2.2293591766199997E-2</v>
      </c>
      <c r="K9" s="26">
        <f t="shared" si="0"/>
        <v>0.93</v>
      </c>
      <c r="L9" s="26">
        <f t="shared" si="1"/>
        <v>6.9999999999999951E-2</v>
      </c>
      <c r="N9" s="26">
        <f t="shared" si="2"/>
        <v>5.3933823551268002E-2</v>
      </c>
      <c r="Q9" s="32">
        <f t="shared" si="3"/>
        <v>0.15825600000000001</v>
      </c>
      <c r="R9" s="32">
        <f t="shared" si="4"/>
        <v>0.2322365680750299</v>
      </c>
      <c r="DI9" s="26"/>
    </row>
    <row r="10" spans="1:113" x14ac:dyDescent="0.3">
      <c r="A10" s="26">
        <v>0.92</v>
      </c>
      <c r="B10" s="26">
        <f t="shared" si="5"/>
        <v>7.999999999999996E-2</v>
      </c>
      <c r="C10" s="26"/>
      <c r="H10" s="26">
        <v>5.5924824427199996E-2</v>
      </c>
      <c r="I10" s="26">
        <v>2.2621704112799998E-2</v>
      </c>
      <c r="K10" s="26">
        <f t="shared" si="0"/>
        <v>0.92</v>
      </c>
      <c r="L10" s="26">
        <f t="shared" si="1"/>
        <v>7.999999999999996E-2</v>
      </c>
      <c r="N10" s="26">
        <f t="shared" si="2"/>
        <v>5.3260574802048002E-2</v>
      </c>
      <c r="Q10" s="32">
        <f t="shared" si="3"/>
        <v>0.158164</v>
      </c>
      <c r="R10" s="32">
        <f t="shared" si="4"/>
        <v>0.23078252707267075</v>
      </c>
      <c r="DI10" s="26"/>
    </row>
    <row r="11" spans="1:113" x14ac:dyDescent="0.3">
      <c r="A11" s="26">
        <v>0.91</v>
      </c>
      <c r="B11" s="26">
        <f t="shared" si="5"/>
        <v>8.9999999999999969E-2</v>
      </c>
      <c r="C11" s="26"/>
      <c r="H11" s="26">
        <v>5.5534302480599998E-2</v>
      </c>
      <c r="I11" s="26">
        <v>2.2949816459399999E-2</v>
      </c>
      <c r="K11" s="26">
        <f t="shared" si="0"/>
        <v>0.91</v>
      </c>
      <c r="L11" s="26">
        <f t="shared" si="1"/>
        <v>8.9999999999999969E-2</v>
      </c>
      <c r="N11" s="26">
        <f t="shared" si="2"/>
        <v>5.2601698738691999E-2</v>
      </c>
      <c r="Q11" s="32">
        <f t="shared" si="3"/>
        <v>0.15807199999999999</v>
      </c>
      <c r="R11" s="32">
        <f t="shared" si="4"/>
        <v>0.22935060222003342</v>
      </c>
      <c r="DI11" s="26"/>
    </row>
    <row r="12" spans="1:113" x14ac:dyDescent="0.3">
      <c r="A12" s="26">
        <v>0.9</v>
      </c>
      <c r="B12" s="26">
        <f t="shared" si="5"/>
        <v>9.9999999999999978E-2</v>
      </c>
      <c r="C12" s="26"/>
      <c r="H12" s="26">
        <v>5.5143780534E-2</v>
      </c>
      <c r="I12" s="26">
        <v>2.3277928805999999E-2</v>
      </c>
      <c r="K12" s="26">
        <f t="shared" si="0"/>
        <v>0.9</v>
      </c>
      <c r="L12" s="26">
        <f t="shared" si="1"/>
        <v>9.9999999999999978E-2</v>
      </c>
      <c r="N12" s="26">
        <f t="shared" si="2"/>
        <v>5.1957195361199998E-2</v>
      </c>
      <c r="Q12" s="32">
        <f t="shared" si="3"/>
        <v>0.15798000000000001</v>
      </c>
      <c r="R12" s="32">
        <f t="shared" si="4"/>
        <v>0.22794121031792386</v>
      </c>
      <c r="DI12" s="26"/>
    </row>
    <row r="13" spans="1:113" x14ac:dyDescent="0.3">
      <c r="A13" s="26">
        <v>0.89</v>
      </c>
      <c r="B13" s="26">
        <f t="shared" si="5"/>
        <v>0.10999999999999999</v>
      </c>
      <c r="C13" s="26"/>
      <c r="H13" s="26">
        <v>5.4753258587400003E-2</v>
      </c>
      <c r="I13" s="26">
        <v>2.36060411526E-2</v>
      </c>
      <c r="K13" s="26">
        <f t="shared" si="0"/>
        <v>0.89</v>
      </c>
      <c r="L13" s="26">
        <f t="shared" si="1"/>
        <v>0.10999999999999999</v>
      </c>
      <c r="N13" s="26">
        <f t="shared" si="2"/>
        <v>5.1327064669572008E-2</v>
      </c>
      <c r="Q13" s="32">
        <f t="shared" si="3"/>
        <v>0.15788800000000003</v>
      </c>
      <c r="R13" s="32">
        <f t="shared" si="4"/>
        <v>0.22655477189759657</v>
      </c>
      <c r="DI13" s="26"/>
    </row>
    <row r="14" spans="1:113" x14ac:dyDescent="0.3">
      <c r="A14" s="26">
        <v>0.88</v>
      </c>
      <c r="B14" s="26">
        <f t="shared" si="5"/>
        <v>0.12</v>
      </c>
      <c r="C14" s="26"/>
      <c r="H14" s="26">
        <v>5.4362736640799991E-2</v>
      </c>
      <c r="I14" s="26">
        <v>2.39341534992E-2</v>
      </c>
      <c r="K14" s="26">
        <f t="shared" si="0"/>
        <v>0.88</v>
      </c>
      <c r="L14" s="26">
        <f t="shared" si="1"/>
        <v>0.12</v>
      </c>
      <c r="N14" s="26">
        <f t="shared" si="2"/>
        <v>5.0711306663807992E-2</v>
      </c>
      <c r="Q14" s="32">
        <f t="shared" si="3"/>
        <v>0.15779600000000002</v>
      </c>
      <c r="R14" s="32">
        <f t="shared" si="4"/>
        <v>0.22519171091274207</v>
      </c>
      <c r="DI14" s="26"/>
    </row>
    <row r="15" spans="1:113" x14ac:dyDescent="0.3">
      <c r="A15" s="26">
        <v>0.87</v>
      </c>
      <c r="B15" s="26">
        <f t="shared" si="5"/>
        <v>0.13</v>
      </c>
      <c r="C15" s="26"/>
      <c r="H15" s="26">
        <v>5.3972214694199994E-2</v>
      </c>
      <c r="I15" s="26">
        <v>2.4262265845799998E-2</v>
      </c>
      <c r="K15" s="26">
        <f t="shared" si="0"/>
        <v>0.87</v>
      </c>
      <c r="L15" s="26">
        <f t="shared" si="1"/>
        <v>0.13</v>
      </c>
      <c r="N15" s="26">
        <f t="shared" si="2"/>
        <v>5.0109921343907994E-2</v>
      </c>
      <c r="Q15" s="32">
        <f t="shared" si="3"/>
        <v>0.15770400000000001</v>
      </c>
      <c r="R15" s="32">
        <f t="shared" si="4"/>
        <v>0.22385245440670959</v>
      </c>
      <c r="DI15" s="26"/>
    </row>
    <row r="16" spans="1:113" x14ac:dyDescent="0.3">
      <c r="A16" s="26">
        <v>0.86</v>
      </c>
      <c r="B16" s="26">
        <f t="shared" si="5"/>
        <v>0.14000000000000001</v>
      </c>
      <c r="C16" s="26"/>
      <c r="H16" s="26">
        <v>5.3581692747599996E-2</v>
      </c>
      <c r="I16" s="26">
        <v>2.4590378192400002E-2</v>
      </c>
      <c r="K16" s="26">
        <f t="shared" si="0"/>
        <v>0.86</v>
      </c>
      <c r="L16" s="26">
        <f t="shared" si="1"/>
        <v>0.14000000000000001</v>
      </c>
      <c r="N16" s="26">
        <f t="shared" si="2"/>
        <v>4.9522908709871992E-2</v>
      </c>
      <c r="Q16" s="32">
        <f t="shared" si="3"/>
        <v>0.157612</v>
      </c>
      <c r="R16" s="32">
        <f t="shared" si="4"/>
        <v>0.22253743215439509</v>
      </c>
      <c r="DI16" s="26"/>
    </row>
    <row r="17" spans="1:113" x14ac:dyDescent="0.3">
      <c r="A17" s="26">
        <v>0.85</v>
      </c>
      <c r="B17" s="26">
        <f t="shared" si="5"/>
        <v>0.15000000000000002</v>
      </c>
      <c r="C17" s="26"/>
      <c r="H17" s="26">
        <v>5.3191170800999998E-2</v>
      </c>
      <c r="I17" s="26">
        <v>2.4918490538999999E-2</v>
      </c>
      <c r="K17" s="26">
        <f t="shared" si="0"/>
        <v>0.85</v>
      </c>
      <c r="L17" s="26">
        <f t="shared" si="1"/>
        <v>0.15000000000000002</v>
      </c>
      <c r="N17" s="26">
        <f t="shared" si="2"/>
        <v>4.89502687617E-2</v>
      </c>
      <c r="Q17" s="32">
        <f t="shared" si="3"/>
        <v>0.15752000000000002</v>
      </c>
      <c r="R17" s="32">
        <f t="shared" si="4"/>
        <v>0.22124707627830928</v>
      </c>
      <c r="DI17" s="26"/>
    </row>
    <row r="18" spans="1:113" x14ac:dyDescent="0.3">
      <c r="A18" s="26">
        <v>0.84</v>
      </c>
      <c r="B18" s="26">
        <f t="shared" si="5"/>
        <v>0.16000000000000003</v>
      </c>
      <c r="C18" s="26"/>
      <c r="H18" s="26">
        <v>5.2800648854400001E-2</v>
      </c>
      <c r="I18" s="26">
        <v>2.5246602885600003E-2</v>
      </c>
      <c r="K18" s="26">
        <f t="shared" si="0"/>
        <v>0.84</v>
      </c>
      <c r="L18" s="26">
        <f t="shared" si="1"/>
        <v>0.16000000000000003</v>
      </c>
      <c r="N18" s="26">
        <f t="shared" si="2"/>
        <v>4.8392001499392004E-2</v>
      </c>
      <c r="Q18" s="32">
        <f t="shared" si="3"/>
        <v>0.15742800000000001</v>
      </c>
      <c r="R18" s="32">
        <f t="shared" si="4"/>
        <v>0.21998182083843201</v>
      </c>
      <c r="DI18" s="26"/>
    </row>
    <row r="19" spans="1:113" x14ac:dyDescent="0.3">
      <c r="A19" s="26">
        <v>0.83</v>
      </c>
      <c r="B19" s="26">
        <f t="shared" si="5"/>
        <v>0.17000000000000004</v>
      </c>
      <c r="C19" s="26"/>
      <c r="H19" s="26">
        <v>5.2410126907799996E-2</v>
      </c>
      <c r="I19" s="26">
        <v>2.55747152322E-2</v>
      </c>
      <c r="K19" s="26">
        <f t="shared" si="0"/>
        <v>0.83</v>
      </c>
      <c r="L19" s="26">
        <f t="shared" si="1"/>
        <v>0.17000000000000004</v>
      </c>
      <c r="N19" s="26">
        <f t="shared" si="2"/>
        <v>4.7848106922947997E-2</v>
      </c>
      <c r="Q19" s="32">
        <f t="shared" si="3"/>
        <v>0.157336</v>
      </c>
      <c r="R19" s="32">
        <f t="shared" si="4"/>
        <v>0.21874210139556582</v>
      </c>
      <c r="DI19" s="26"/>
    </row>
    <row r="20" spans="1:113" x14ac:dyDescent="0.3">
      <c r="A20" s="26">
        <v>0.82</v>
      </c>
      <c r="B20" s="26">
        <f t="shared" si="5"/>
        <v>0.18000000000000005</v>
      </c>
      <c r="C20" s="26"/>
      <c r="H20" s="26">
        <v>5.2019604961199992E-2</v>
      </c>
      <c r="I20" s="26">
        <v>2.5902827578800001E-2</v>
      </c>
      <c r="K20" s="26">
        <f t="shared" si="0"/>
        <v>0.82</v>
      </c>
      <c r="L20" s="26">
        <f t="shared" si="1"/>
        <v>0.18000000000000005</v>
      </c>
      <c r="N20" s="26">
        <f t="shared" si="2"/>
        <v>4.7318585032367987E-2</v>
      </c>
      <c r="Q20" s="32">
        <f t="shared" si="3"/>
        <v>0.15724399999999999</v>
      </c>
      <c r="R20" s="32">
        <f t="shared" si="4"/>
        <v>0.21752835454801744</v>
      </c>
      <c r="DI20" s="26"/>
    </row>
    <row r="21" spans="1:113" x14ac:dyDescent="0.3">
      <c r="A21" s="26">
        <v>0.81</v>
      </c>
      <c r="B21" s="26">
        <f t="shared" si="5"/>
        <v>0.18999999999999995</v>
      </c>
      <c r="C21" s="26"/>
      <c r="H21" s="26">
        <v>5.1629083014600001E-2</v>
      </c>
      <c r="I21" s="26">
        <v>2.6230939925399998E-2</v>
      </c>
      <c r="K21" s="26">
        <f t="shared" si="0"/>
        <v>0.81</v>
      </c>
      <c r="L21" s="26">
        <f t="shared" si="1"/>
        <v>0.18999999999999995</v>
      </c>
      <c r="N21" s="26">
        <f t="shared" si="2"/>
        <v>4.6803435827652E-2</v>
      </c>
      <c r="Q21" s="32">
        <f t="shared" si="3"/>
        <v>0.15715200000000001</v>
      </c>
      <c r="R21" s="32">
        <f t="shared" si="4"/>
        <v>0.21634101744156609</v>
      </c>
      <c r="DI21" s="26"/>
    </row>
    <row r="22" spans="1:113" x14ac:dyDescent="0.3">
      <c r="A22" s="26">
        <v>0.8</v>
      </c>
      <c r="B22" s="26">
        <f t="shared" si="5"/>
        <v>0.19999999999999996</v>
      </c>
      <c r="C22" s="26"/>
      <c r="H22" s="26">
        <v>5.1238561068000003E-2</v>
      </c>
      <c r="I22" s="26">
        <v>2.6559052271999999E-2</v>
      </c>
      <c r="K22" s="26">
        <f t="shared" si="0"/>
        <v>0.8</v>
      </c>
      <c r="L22" s="26">
        <f t="shared" si="1"/>
        <v>0.19999999999999996</v>
      </c>
      <c r="N22" s="26">
        <f t="shared" si="2"/>
        <v>4.6302659308800002E-2</v>
      </c>
      <c r="Q22" s="32">
        <f t="shared" si="3"/>
        <v>0.15706000000000001</v>
      </c>
      <c r="R22" s="32">
        <f t="shared" si="4"/>
        <v>0.21518052725281625</v>
      </c>
      <c r="DI22" s="26"/>
    </row>
    <row r="23" spans="1:113" x14ac:dyDescent="0.3">
      <c r="A23" s="26">
        <v>0.79</v>
      </c>
      <c r="B23" s="26">
        <f t="shared" si="5"/>
        <v>0.20999999999999996</v>
      </c>
      <c r="C23" s="26"/>
      <c r="H23" s="26">
        <v>5.0848039121399999E-2</v>
      </c>
      <c r="I23" s="26">
        <v>2.6887164618599999E-2</v>
      </c>
      <c r="K23" s="26">
        <f t="shared" si="0"/>
        <v>0.79</v>
      </c>
      <c r="L23" s="26">
        <f t="shared" si="1"/>
        <v>0.20999999999999996</v>
      </c>
      <c r="N23" s="26">
        <f t="shared" si="2"/>
        <v>4.5816255475812001E-2</v>
      </c>
      <c r="Q23" s="32">
        <f t="shared" si="3"/>
        <v>0.156968</v>
      </c>
      <c r="R23" s="32">
        <f t="shared" si="4"/>
        <v>0.21404732064618795</v>
      </c>
      <c r="DI23" s="26"/>
    </row>
    <row r="24" spans="1:113" x14ac:dyDescent="0.3">
      <c r="A24" s="26">
        <v>0.78</v>
      </c>
      <c r="B24" s="26">
        <f t="shared" si="5"/>
        <v>0.21999999999999997</v>
      </c>
      <c r="C24" s="26"/>
      <c r="H24" s="26">
        <v>5.0457517174799994E-2</v>
      </c>
      <c r="I24" s="26">
        <v>2.72152769652E-2</v>
      </c>
      <c r="K24" s="26">
        <f t="shared" si="0"/>
        <v>0.78</v>
      </c>
      <c r="L24" s="26">
        <f t="shared" si="1"/>
        <v>0.21999999999999997</v>
      </c>
      <c r="N24" s="26">
        <f t="shared" si="2"/>
        <v>4.5344224328687996E-2</v>
      </c>
      <c r="Q24" s="32">
        <f t="shared" si="3"/>
        <v>0.15687600000000002</v>
      </c>
      <c r="R24" s="32">
        <f t="shared" si="4"/>
        <v>0.21294183320495763</v>
      </c>
      <c r="DI24" s="26"/>
    </row>
    <row r="25" spans="1:113" x14ac:dyDescent="0.3">
      <c r="A25" s="26">
        <v>0.77</v>
      </c>
      <c r="B25" s="26">
        <f t="shared" si="5"/>
        <v>0.22999999999999998</v>
      </c>
      <c r="C25" s="26"/>
      <c r="H25" s="26">
        <v>5.0066995228199997E-2</v>
      </c>
      <c r="I25" s="26">
        <v>2.75433893118E-2</v>
      </c>
      <c r="K25" s="26">
        <f t="shared" si="0"/>
        <v>0.77</v>
      </c>
      <c r="L25" s="26">
        <f t="shared" si="1"/>
        <v>0.22999999999999998</v>
      </c>
      <c r="N25" s="26">
        <f t="shared" si="2"/>
        <v>4.4886565867427994E-2</v>
      </c>
      <c r="Q25" s="32">
        <f t="shared" si="3"/>
        <v>0.15678400000000001</v>
      </c>
      <c r="R25" s="32">
        <f t="shared" si="4"/>
        <v>0.21186449883694058</v>
      </c>
      <c r="DI25" s="26"/>
    </row>
    <row r="26" spans="1:113" x14ac:dyDescent="0.3">
      <c r="A26" s="26">
        <v>0.76</v>
      </c>
      <c r="B26" s="26">
        <f t="shared" si="5"/>
        <v>0.24</v>
      </c>
      <c r="C26" s="26"/>
      <c r="H26" s="26">
        <v>4.9676473281599999E-2</v>
      </c>
      <c r="I26" s="26">
        <v>2.7871501658400001E-2</v>
      </c>
      <c r="K26" s="26">
        <f t="shared" si="0"/>
        <v>0.76</v>
      </c>
      <c r="L26" s="26">
        <f t="shared" si="1"/>
        <v>0.24</v>
      </c>
      <c r="N26" s="26">
        <f t="shared" si="2"/>
        <v>4.4443280092032002E-2</v>
      </c>
      <c r="Q26" s="32">
        <f t="shared" si="3"/>
        <v>0.156692</v>
      </c>
      <c r="R26" s="32">
        <f t="shared" si="4"/>
        <v>0.21081574915558848</v>
      </c>
      <c r="DI26" s="26"/>
    </row>
    <row r="27" spans="1:113" x14ac:dyDescent="0.3">
      <c r="A27" s="26">
        <v>0.75</v>
      </c>
      <c r="B27" s="26">
        <f t="shared" si="5"/>
        <v>0.25</v>
      </c>
      <c r="C27" s="26"/>
      <c r="H27" s="26">
        <v>4.9285951335000001E-2</v>
      </c>
      <c r="I27" s="26">
        <v>2.8199614004999998E-2</v>
      </c>
      <c r="K27" s="26">
        <f t="shared" si="0"/>
        <v>0.75</v>
      </c>
      <c r="L27" s="26">
        <f t="shared" si="1"/>
        <v>0.25</v>
      </c>
      <c r="N27" s="26">
        <f t="shared" si="2"/>
        <v>4.4014367002499999E-2</v>
      </c>
      <c r="Q27" s="32">
        <f t="shared" si="3"/>
        <v>0.15660000000000002</v>
      </c>
      <c r="R27" s="32">
        <f t="shared" si="4"/>
        <v>0.20979601283747029</v>
      </c>
      <c r="DI27" s="26"/>
    </row>
    <row r="28" spans="1:113" x14ac:dyDescent="0.3">
      <c r="A28" s="26">
        <v>0.74</v>
      </c>
      <c r="B28" s="26">
        <f t="shared" si="5"/>
        <v>0.26</v>
      </c>
      <c r="C28" s="26"/>
      <c r="H28" s="26">
        <v>4.8895429388400004E-2</v>
      </c>
      <c r="I28" s="26">
        <v>2.8527726351600002E-2</v>
      </c>
      <c r="K28" s="26">
        <f t="shared" si="0"/>
        <v>0.74</v>
      </c>
      <c r="L28" s="26">
        <f t="shared" si="1"/>
        <v>0.26</v>
      </c>
      <c r="N28" s="26">
        <f t="shared" si="2"/>
        <v>4.3599826598832006E-2</v>
      </c>
      <c r="Q28" s="32">
        <f t="shared" si="3"/>
        <v>0.15650800000000001</v>
      </c>
      <c r="R28" s="32">
        <f t="shared" si="4"/>
        <v>0.20880571495730668</v>
      </c>
      <c r="DI28" s="26"/>
    </row>
    <row r="29" spans="1:113" x14ac:dyDescent="0.3">
      <c r="A29" s="26">
        <v>0.73</v>
      </c>
      <c r="B29" s="26">
        <f t="shared" si="5"/>
        <v>0.27</v>
      </c>
      <c r="C29" s="26"/>
      <c r="H29" s="26">
        <v>4.8504907441799992E-2</v>
      </c>
      <c r="I29" s="26">
        <v>2.88558386982E-2</v>
      </c>
      <c r="K29" s="26">
        <f t="shared" si="0"/>
        <v>0.73</v>
      </c>
      <c r="L29" s="26">
        <f t="shared" si="1"/>
        <v>0.27</v>
      </c>
      <c r="N29" s="26">
        <f t="shared" si="2"/>
        <v>4.3199658881027989E-2</v>
      </c>
      <c r="Q29" s="32">
        <f t="shared" si="3"/>
        <v>0.156416</v>
      </c>
      <c r="R29" s="32">
        <f t="shared" si="4"/>
        <v>0.20784527630193569</v>
      </c>
      <c r="DI29" s="26"/>
    </row>
    <row r="30" spans="1:113" x14ac:dyDescent="0.3">
      <c r="A30" s="26">
        <v>0.72</v>
      </c>
      <c r="B30" s="26">
        <f t="shared" si="5"/>
        <v>0.28000000000000003</v>
      </c>
      <c r="C30" s="26"/>
      <c r="H30" s="26">
        <v>4.8114385495199995E-2</v>
      </c>
      <c r="I30" s="26">
        <v>2.91839510448E-2</v>
      </c>
      <c r="K30" s="26">
        <f t="shared" si="0"/>
        <v>0.72</v>
      </c>
      <c r="L30" s="26">
        <f t="shared" si="1"/>
        <v>0.28000000000000003</v>
      </c>
      <c r="N30" s="26">
        <f t="shared" si="2"/>
        <v>4.2813863849088002E-2</v>
      </c>
      <c r="Q30" s="32">
        <f t="shared" si="3"/>
        <v>0.15632400000000002</v>
      </c>
      <c r="R30" s="32">
        <f t="shared" si="4"/>
        <v>0.20691511266480273</v>
      </c>
      <c r="DI30" s="26"/>
    </row>
    <row r="31" spans="1:113" x14ac:dyDescent="0.3">
      <c r="A31" s="26">
        <v>0.71</v>
      </c>
      <c r="B31" s="26">
        <f t="shared" si="5"/>
        <v>0.29000000000000004</v>
      </c>
      <c r="C31" s="26"/>
      <c r="H31" s="26">
        <v>4.7723863548599997E-2</v>
      </c>
      <c r="I31" s="26">
        <v>2.9512063391400001E-2</v>
      </c>
      <c r="K31" s="26">
        <f t="shared" si="0"/>
        <v>0.71</v>
      </c>
      <c r="L31" s="26">
        <f t="shared" si="1"/>
        <v>0.29000000000000004</v>
      </c>
      <c r="N31" s="26">
        <f t="shared" si="2"/>
        <v>4.2442441503011998E-2</v>
      </c>
      <c r="Q31" s="32">
        <f t="shared" si="3"/>
        <v>0.15623200000000001</v>
      </c>
      <c r="R31" s="32">
        <f t="shared" si="4"/>
        <v>0.20601563412278204</v>
      </c>
      <c r="DI31" s="26"/>
    </row>
    <row r="32" spans="1:113" x14ac:dyDescent="0.3">
      <c r="A32" s="26">
        <v>0.7</v>
      </c>
      <c r="B32" s="26">
        <f t="shared" si="5"/>
        <v>0.30000000000000004</v>
      </c>
      <c r="C32" s="26"/>
      <c r="H32" s="26">
        <v>4.7333341601999999E-2</v>
      </c>
      <c r="I32" s="26">
        <v>2.9840175738000005E-2</v>
      </c>
      <c r="K32" s="26">
        <f t="shared" si="0"/>
        <v>0.7</v>
      </c>
      <c r="L32" s="26">
        <f t="shared" si="1"/>
        <v>0.30000000000000004</v>
      </c>
      <c r="N32" s="26">
        <f t="shared" si="2"/>
        <v>4.2085391842800003E-2</v>
      </c>
      <c r="Q32" s="32">
        <f t="shared" si="3"/>
        <v>0.15614</v>
      </c>
      <c r="R32" s="32">
        <f t="shared" si="4"/>
        <v>0.20514724429735828</v>
      </c>
      <c r="DI32" s="26"/>
    </row>
    <row r="33" spans="1:113" x14ac:dyDescent="0.3">
      <c r="A33" s="26">
        <v>0.69</v>
      </c>
      <c r="B33" s="26">
        <f t="shared" si="5"/>
        <v>0.31000000000000005</v>
      </c>
      <c r="C33" s="26"/>
      <c r="H33" s="26">
        <v>4.6942819655400002E-2</v>
      </c>
      <c r="I33" s="26">
        <v>3.0168288084600002E-2</v>
      </c>
      <c r="K33" s="26">
        <f t="shared" si="0"/>
        <v>0.69</v>
      </c>
      <c r="L33" s="26">
        <f t="shared" si="1"/>
        <v>0.31000000000000005</v>
      </c>
      <c r="N33" s="26">
        <f t="shared" si="2"/>
        <v>4.1742714868452005E-2</v>
      </c>
      <c r="Q33" s="32">
        <f t="shared" si="3"/>
        <v>0.15604800000000002</v>
      </c>
      <c r="R33" s="32">
        <f t="shared" si="4"/>
        <v>0.20431033960240977</v>
      </c>
      <c r="DI33" s="26"/>
    </row>
    <row r="34" spans="1:113" x14ac:dyDescent="0.3">
      <c r="A34" s="26">
        <v>0.68</v>
      </c>
      <c r="B34" s="26">
        <f t="shared" si="5"/>
        <v>0.31999999999999995</v>
      </c>
      <c r="C34" s="26"/>
      <c r="H34" s="26">
        <v>4.6552297708799997E-2</v>
      </c>
      <c r="I34" s="26">
        <v>3.0496400431199999E-2</v>
      </c>
      <c r="K34" s="26">
        <f t="shared" si="0"/>
        <v>0.68</v>
      </c>
      <c r="L34" s="26">
        <f t="shared" si="1"/>
        <v>0.31999999999999995</v>
      </c>
      <c r="N34" s="26">
        <f t="shared" si="2"/>
        <v>4.1414410579968003E-2</v>
      </c>
      <c r="Q34" s="32">
        <f t="shared" si="3"/>
        <v>0.15595600000000001</v>
      </c>
      <c r="R34" s="32">
        <f t="shared" si="4"/>
        <v>0.20350530848105167</v>
      </c>
      <c r="DI34" s="26"/>
    </row>
    <row r="35" spans="1:113" x14ac:dyDescent="0.3">
      <c r="A35" s="26">
        <v>0.67</v>
      </c>
      <c r="B35" s="26">
        <f t="shared" si="5"/>
        <v>0.32999999999999996</v>
      </c>
      <c r="C35" s="26"/>
      <c r="H35" s="26">
        <v>4.61617757622E-2</v>
      </c>
      <c r="I35" s="26">
        <v>3.08245127778E-2</v>
      </c>
      <c r="K35" s="26">
        <f t="shared" si="0"/>
        <v>0.67</v>
      </c>
      <c r="L35" s="26">
        <f t="shared" si="1"/>
        <v>0.32999999999999996</v>
      </c>
      <c r="N35" s="26">
        <f t="shared" si="2"/>
        <v>4.1100478977347997E-2</v>
      </c>
      <c r="Q35" s="32">
        <f t="shared" si="3"/>
        <v>0.155864</v>
      </c>
      <c r="R35" s="32">
        <f t="shared" si="4"/>
        <v>0.20273253063420285</v>
      </c>
      <c r="DI35" s="26"/>
    </row>
    <row r="36" spans="1:113" x14ac:dyDescent="0.3">
      <c r="A36" s="26">
        <v>0.66</v>
      </c>
      <c r="B36" s="26">
        <f t="shared" si="5"/>
        <v>0.33999999999999997</v>
      </c>
      <c r="C36" s="26"/>
      <c r="H36" s="26">
        <v>4.5771253815600002E-2</v>
      </c>
      <c r="I36" s="26">
        <v>3.11526251244E-2</v>
      </c>
      <c r="K36" s="26">
        <f t="shared" si="0"/>
        <v>0.66</v>
      </c>
      <c r="L36" s="26">
        <f t="shared" si="1"/>
        <v>0.33999999999999997</v>
      </c>
      <c r="N36" s="26">
        <f t="shared" si="2"/>
        <v>4.0800920060592001E-2</v>
      </c>
      <c r="Q36" s="32">
        <f t="shared" si="3"/>
        <v>0.15577199999999999</v>
      </c>
      <c r="R36" s="32">
        <f t="shared" si="4"/>
        <v>0.20199237624373848</v>
      </c>
      <c r="DI36" s="26"/>
    </row>
    <row r="37" spans="1:113" x14ac:dyDescent="0.3">
      <c r="A37" s="26">
        <v>0.65</v>
      </c>
      <c r="B37" s="26">
        <f t="shared" si="5"/>
        <v>0.35</v>
      </c>
      <c r="C37" s="26"/>
      <c r="H37" s="26">
        <v>4.5380731869000004E-2</v>
      </c>
      <c r="I37" s="26">
        <v>3.1480737470999998E-2</v>
      </c>
      <c r="K37" s="26">
        <f t="shared" si="0"/>
        <v>0.65</v>
      </c>
      <c r="L37" s="26">
        <f t="shared" si="1"/>
        <v>0.35</v>
      </c>
      <c r="N37" s="26">
        <f t="shared" si="2"/>
        <v>4.0515733829700001E-2</v>
      </c>
      <c r="Q37" s="32">
        <f t="shared" si="3"/>
        <v>0.15568000000000001</v>
      </c>
      <c r="R37" s="32">
        <f t="shared" si="4"/>
        <v>0.20128520519327794</v>
      </c>
      <c r="DI37" s="26"/>
    </row>
    <row r="38" spans="1:113" x14ac:dyDescent="0.3">
      <c r="A38" s="26">
        <v>0.64</v>
      </c>
      <c r="B38" s="26">
        <f t="shared" si="5"/>
        <v>0.36</v>
      </c>
      <c r="C38" s="26"/>
      <c r="H38" s="26">
        <v>4.4990209922399993E-2</v>
      </c>
      <c r="I38" s="26">
        <v>3.1808849817600002E-2</v>
      </c>
      <c r="K38" s="26">
        <f t="shared" si="0"/>
        <v>0.64</v>
      </c>
      <c r="L38" s="26">
        <f t="shared" si="1"/>
        <v>0.36</v>
      </c>
      <c r="N38" s="26">
        <f t="shared" si="2"/>
        <v>4.0244920284671998E-2</v>
      </c>
      <c r="Q38" s="32">
        <f t="shared" si="3"/>
        <v>0.155588</v>
      </c>
      <c r="R38" s="32">
        <f t="shared" si="4"/>
        <v>0.20061136628982915</v>
      </c>
      <c r="DI38" s="26"/>
    </row>
    <row r="39" spans="1:113" x14ac:dyDescent="0.3">
      <c r="A39" s="26">
        <v>0.63</v>
      </c>
      <c r="B39" s="26">
        <f t="shared" si="5"/>
        <v>0.37</v>
      </c>
      <c r="C39" s="26"/>
      <c r="H39" s="26">
        <v>4.4599687975799995E-2</v>
      </c>
      <c r="I39" s="26">
        <v>3.2136962164199999E-2</v>
      </c>
      <c r="K39" s="26">
        <f t="shared" si="0"/>
        <v>0.63</v>
      </c>
      <c r="L39" s="26">
        <f t="shared" si="1"/>
        <v>0.37</v>
      </c>
      <c r="N39" s="26">
        <f t="shared" si="2"/>
        <v>3.9988479425507997E-2</v>
      </c>
      <c r="Q39" s="32">
        <f t="shared" si="3"/>
        <v>0.15549600000000002</v>
      </c>
      <c r="R39" s="32">
        <f t="shared" si="4"/>
        <v>0.19997119648966447</v>
      </c>
      <c r="DI39" s="26"/>
    </row>
    <row r="40" spans="1:113" x14ac:dyDescent="0.3">
      <c r="A40" s="26">
        <v>0.62</v>
      </c>
      <c r="B40" s="26">
        <f t="shared" si="5"/>
        <v>0.38</v>
      </c>
      <c r="C40" s="26"/>
      <c r="H40" s="26">
        <v>4.4209166029199998E-2</v>
      </c>
      <c r="I40" s="26">
        <v>3.2465074510799996E-2</v>
      </c>
      <c r="K40" s="26">
        <f t="shared" si="0"/>
        <v>0.62</v>
      </c>
      <c r="L40" s="26">
        <f t="shared" si="1"/>
        <v>0.38</v>
      </c>
      <c r="N40" s="26">
        <f t="shared" si="2"/>
        <v>3.9746411252208E-2</v>
      </c>
      <c r="Q40" s="32">
        <f t="shared" si="3"/>
        <v>0.15540400000000001</v>
      </c>
      <c r="R40" s="32">
        <f t="shared" si="4"/>
        <v>0.19936502013193788</v>
      </c>
      <c r="DI40" s="26"/>
    </row>
    <row r="41" spans="1:113" x14ac:dyDescent="0.3">
      <c r="A41" s="26">
        <v>0.61</v>
      </c>
      <c r="B41" s="26">
        <f t="shared" si="5"/>
        <v>0.39</v>
      </c>
      <c r="C41" s="26"/>
      <c r="H41" s="26">
        <v>4.38186440826E-2</v>
      </c>
      <c r="I41" s="26">
        <v>3.27931868574E-2</v>
      </c>
      <c r="K41" s="26">
        <f t="shared" si="0"/>
        <v>0.61</v>
      </c>
      <c r="L41" s="26">
        <f t="shared" si="1"/>
        <v>0.39</v>
      </c>
      <c r="N41" s="26">
        <f t="shared" si="2"/>
        <v>3.9518715764771999E-2</v>
      </c>
      <c r="Q41" s="32">
        <f t="shared" si="3"/>
        <v>0.15531200000000001</v>
      </c>
      <c r="R41" s="32">
        <f t="shared" si="4"/>
        <v>0.1987931481836635</v>
      </c>
      <c r="DI41" s="26"/>
    </row>
    <row r="42" spans="1:113" x14ac:dyDescent="0.3">
      <c r="A42" s="26">
        <v>0.6</v>
      </c>
      <c r="B42" s="26">
        <f t="shared" si="5"/>
        <v>0.4</v>
      </c>
      <c r="C42" s="26"/>
      <c r="H42" s="26">
        <v>4.3428122136000002E-2</v>
      </c>
      <c r="I42" s="26">
        <v>3.3121299203999997E-2</v>
      </c>
      <c r="K42" s="26">
        <f t="shared" si="0"/>
        <v>0.6</v>
      </c>
      <c r="L42" s="26">
        <f t="shared" si="1"/>
        <v>0.4</v>
      </c>
      <c r="N42" s="26">
        <f t="shared" si="2"/>
        <v>3.93053929632E-2</v>
      </c>
      <c r="Q42" s="32">
        <f t="shared" si="3"/>
        <v>0.15522000000000002</v>
      </c>
      <c r="R42" s="32">
        <f t="shared" si="4"/>
        <v>0.1982558774997604</v>
      </c>
      <c r="DI42" s="26"/>
    </row>
    <row r="43" spans="1:113" x14ac:dyDescent="0.3">
      <c r="A43" s="26">
        <v>0.59</v>
      </c>
      <c r="B43" s="26">
        <f t="shared" si="5"/>
        <v>0.41000000000000003</v>
      </c>
      <c r="C43" s="26"/>
      <c r="H43" s="26">
        <v>4.3037600189399991E-2</v>
      </c>
      <c r="I43" s="26">
        <v>3.3449411550600001E-2</v>
      </c>
      <c r="K43" s="26">
        <f t="shared" si="0"/>
        <v>0.59</v>
      </c>
      <c r="L43" s="26">
        <f t="shared" si="1"/>
        <v>0.41000000000000003</v>
      </c>
      <c r="N43" s="26">
        <f t="shared" si="2"/>
        <v>3.9106442847491998E-2</v>
      </c>
      <c r="Q43" s="32">
        <f t="shared" si="3"/>
        <v>0.15512800000000002</v>
      </c>
      <c r="R43" s="32">
        <f t="shared" si="4"/>
        <v>0.19775349010192461</v>
      </c>
      <c r="DI43" s="26"/>
    </row>
    <row r="44" spans="1:113" x14ac:dyDescent="0.3">
      <c r="A44" s="26">
        <v>0.57999999999999996</v>
      </c>
      <c r="B44" s="26">
        <f t="shared" si="5"/>
        <v>0.42000000000000004</v>
      </c>
      <c r="C44" s="26"/>
      <c r="H44" s="26">
        <v>4.2647078242799993E-2</v>
      </c>
      <c r="I44" s="26">
        <v>3.3777523897199999E-2</v>
      </c>
      <c r="K44" s="26">
        <f t="shared" si="0"/>
        <v>0.57999999999999996</v>
      </c>
      <c r="L44" s="26">
        <f t="shared" si="1"/>
        <v>0.42000000000000004</v>
      </c>
      <c r="N44" s="26">
        <f t="shared" si="2"/>
        <v>3.8921865417647993E-2</v>
      </c>
      <c r="Q44" s="32">
        <f t="shared" si="3"/>
        <v>0.15503600000000001</v>
      </c>
      <c r="R44" s="32">
        <f t="shared" si="4"/>
        <v>0.19728625248011578</v>
      </c>
      <c r="DI44" s="26"/>
    </row>
    <row r="45" spans="1:113" x14ac:dyDescent="0.3">
      <c r="A45" s="26">
        <v>0.56999999999999995</v>
      </c>
      <c r="B45" s="26">
        <f t="shared" si="5"/>
        <v>0.43000000000000005</v>
      </c>
      <c r="C45" s="26"/>
      <c r="H45" s="26">
        <v>4.2256556296199996E-2</v>
      </c>
      <c r="I45" s="26">
        <v>3.4105636243800003E-2</v>
      </c>
      <c r="K45" s="26">
        <f t="shared" si="0"/>
        <v>0.56999999999999995</v>
      </c>
      <c r="L45" s="26">
        <f t="shared" si="1"/>
        <v>0.43000000000000005</v>
      </c>
      <c r="N45" s="26">
        <f t="shared" si="2"/>
        <v>3.8751660673667997E-2</v>
      </c>
      <c r="Q45" s="32">
        <f t="shared" si="3"/>
        <v>0.15494400000000003</v>
      </c>
      <c r="R45" s="32">
        <f t="shared" si="4"/>
        <v>0.19685441492043809</v>
      </c>
      <c r="DI45" s="26"/>
    </row>
    <row r="46" spans="1:113" x14ac:dyDescent="0.3">
      <c r="A46" s="26">
        <v>0.56000000000000005</v>
      </c>
      <c r="B46" s="26">
        <f t="shared" si="5"/>
        <v>0.43999999999999995</v>
      </c>
      <c r="C46" s="26"/>
      <c r="H46" s="26">
        <v>4.1866034349599998E-2</v>
      </c>
      <c r="I46" s="26">
        <v>3.44337485904E-2</v>
      </c>
      <c r="K46" s="26">
        <f t="shared" si="0"/>
        <v>0.56000000000000005</v>
      </c>
      <c r="L46" s="26">
        <f t="shared" si="1"/>
        <v>0.43999999999999995</v>
      </c>
      <c r="N46" s="26">
        <f t="shared" si="2"/>
        <v>3.8595828615551997E-2</v>
      </c>
      <c r="Q46" s="32">
        <f t="shared" si="3"/>
        <v>0.15485200000000002</v>
      </c>
      <c r="R46" s="32">
        <f t="shared" si="4"/>
        <v>0.19645821086315532</v>
      </c>
      <c r="DI46" s="26"/>
    </row>
    <row r="47" spans="1:113" x14ac:dyDescent="0.3">
      <c r="A47" s="26">
        <v>0.55000000000000004</v>
      </c>
      <c r="B47" s="26">
        <f t="shared" si="5"/>
        <v>0.44999999999999996</v>
      </c>
      <c r="C47" s="26"/>
      <c r="H47" s="26">
        <v>4.1475512403000001E-2</v>
      </c>
      <c r="I47" s="26">
        <v>3.4761860936999997E-2</v>
      </c>
      <c r="K47" s="26">
        <f t="shared" si="0"/>
        <v>0.55000000000000004</v>
      </c>
      <c r="L47" s="26">
        <f t="shared" si="1"/>
        <v>0.44999999999999996</v>
      </c>
      <c r="N47" s="26">
        <f t="shared" si="2"/>
        <v>3.8454369243299993E-2</v>
      </c>
      <c r="Q47" s="32">
        <f t="shared" si="3"/>
        <v>0.15476000000000001</v>
      </c>
      <c r="R47" s="32">
        <f t="shared" si="4"/>
        <v>0.19609785629450413</v>
      </c>
      <c r="DI47" s="26"/>
    </row>
    <row r="48" spans="1:113" x14ac:dyDescent="0.3">
      <c r="A48" s="26">
        <v>0.54</v>
      </c>
      <c r="B48" s="26">
        <f t="shared" si="5"/>
        <v>0.45999999999999996</v>
      </c>
      <c r="C48" s="26"/>
      <c r="H48" s="26">
        <v>4.1084990456399996E-2</v>
      </c>
      <c r="I48" s="26">
        <v>3.5089973283600001E-2</v>
      </c>
      <c r="K48" s="26">
        <f t="shared" si="0"/>
        <v>0.54</v>
      </c>
      <c r="L48" s="26">
        <f t="shared" si="1"/>
        <v>0.45999999999999996</v>
      </c>
      <c r="N48" s="26">
        <f t="shared" si="2"/>
        <v>3.8327282556912E-2</v>
      </c>
      <c r="Q48" s="32">
        <f t="shared" si="3"/>
        <v>0.154668</v>
      </c>
      <c r="R48" s="32">
        <f t="shared" si="4"/>
        <v>0.19577354917585776</v>
      </c>
      <c r="DI48" s="26"/>
    </row>
    <row r="49" spans="1:113" x14ac:dyDescent="0.3">
      <c r="A49" s="26">
        <v>0.53</v>
      </c>
      <c r="B49" s="26">
        <f t="shared" si="5"/>
        <v>0.47</v>
      </c>
      <c r="C49" s="26"/>
      <c r="H49" s="26">
        <v>4.0694468509799998E-2</v>
      </c>
      <c r="I49" s="26">
        <v>3.5418085630199998E-2</v>
      </c>
      <c r="K49" s="26">
        <f t="shared" si="0"/>
        <v>0.53</v>
      </c>
      <c r="L49" s="26">
        <f t="shared" si="1"/>
        <v>0.47</v>
      </c>
      <c r="N49" s="26">
        <f t="shared" si="2"/>
        <v>3.8214568556387996E-2</v>
      </c>
      <c r="Q49" s="32">
        <f t="shared" si="3"/>
        <v>0.15457599999999999</v>
      </c>
      <c r="R49" s="32">
        <f t="shared" si="4"/>
        <v>0.19548546891364585</v>
      </c>
      <c r="DI49" s="26"/>
    </row>
    <row r="50" spans="1:113" x14ac:dyDescent="0.3">
      <c r="A50" s="26">
        <v>0.52</v>
      </c>
      <c r="B50" s="26">
        <f t="shared" si="5"/>
        <v>0.48</v>
      </c>
      <c r="C50" s="26"/>
      <c r="H50" s="26">
        <v>4.0303946563200001E-2</v>
      </c>
      <c r="I50" s="26">
        <v>3.5746197976800002E-2</v>
      </c>
      <c r="K50" s="26">
        <f t="shared" si="0"/>
        <v>0.52</v>
      </c>
      <c r="L50" s="26">
        <f t="shared" si="1"/>
        <v>0.48</v>
      </c>
      <c r="N50" s="26">
        <f t="shared" si="2"/>
        <v>3.8116227241728001E-2</v>
      </c>
      <c r="Q50" s="32">
        <f t="shared" si="3"/>
        <v>0.15448400000000001</v>
      </c>
      <c r="R50" s="32">
        <f t="shared" si="4"/>
        <v>0.19523377587325408</v>
      </c>
      <c r="DI50" s="26"/>
    </row>
    <row r="51" spans="1:113" x14ac:dyDescent="0.3">
      <c r="A51" s="26">
        <v>0.51</v>
      </c>
      <c r="B51" s="26">
        <f t="shared" si="5"/>
        <v>0.49</v>
      </c>
      <c r="C51" s="26"/>
      <c r="H51" s="26">
        <v>3.9913424616599996E-2</v>
      </c>
      <c r="I51" s="26">
        <v>3.60743103234E-2</v>
      </c>
      <c r="K51" s="26">
        <f t="shared" si="0"/>
        <v>0.51</v>
      </c>
      <c r="L51" s="26">
        <f t="shared" si="1"/>
        <v>0.49</v>
      </c>
      <c r="N51" s="26">
        <f t="shared" si="2"/>
        <v>3.8032258612931996E-2</v>
      </c>
      <c r="Q51" s="32">
        <f t="shared" si="3"/>
        <v>0.15439200000000003</v>
      </c>
      <c r="R51" s="32">
        <f t="shared" si="4"/>
        <v>0.19501861093991002</v>
      </c>
      <c r="DI51" s="26"/>
    </row>
    <row r="52" spans="1:113" x14ac:dyDescent="0.3">
      <c r="A52" s="26">
        <v>0.5</v>
      </c>
      <c r="B52" s="26">
        <f t="shared" si="5"/>
        <v>0.5</v>
      </c>
      <c r="C52" s="26"/>
      <c r="H52" s="26">
        <v>3.9522902669999999E-2</v>
      </c>
      <c r="I52" s="26">
        <v>3.6402422670000004E-2</v>
      </c>
      <c r="K52" s="26">
        <f t="shared" si="0"/>
        <v>0.5</v>
      </c>
      <c r="L52" s="26">
        <f t="shared" si="1"/>
        <v>0.5</v>
      </c>
      <c r="N52" s="26">
        <f t="shared" si="2"/>
        <v>3.7962662670000001E-2</v>
      </c>
      <c r="Q52" s="32">
        <f t="shared" si="3"/>
        <v>0.15429999999999999</v>
      </c>
      <c r="R52" s="32">
        <f t="shared" si="4"/>
        <v>0.19484009512931366</v>
      </c>
      <c r="DI52" s="26"/>
    </row>
    <row r="53" spans="1:113" x14ac:dyDescent="0.3">
      <c r="A53" s="26">
        <v>0.49</v>
      </c>
      <c r="B53" s="26">
        <f t="shared" si="5"/>
        <v>0.51</v>
      </c>
      <c r="C53" s="26"/>
      <c r="H53" s="26">
        <v>3.9132380723400001E-2</v>
      </c>
      <c r="I53" s="26">
        <v>3.6730535016600001E-2</v>
      </c>
      <c r="K53" s="26">
        <f t="shared" si="0"/>
        <v>0.49</v>
      </c>
      <c r="L53" s="26">
        <f t="shared" si="1"/>
        <v>0.51</v>
      </c>
      <c r="N53" s="26">
        <f t="shared" si="2"/>
        <v>3.7907439412931995E-2</v>
      </c>
      <c r="Q53" s="32">
        <f t="shared" si="3"/>
        <v>0.15420800000000001</v>
      </c>
      <c r="R53" s="32">
        <f t="shared" si="4"/>
        <v>0.19469832925048944</v>
      </c>
      <c r="DI53" s="26"/>
    </row>
    <row r="54" spans="1:113" x14ac:dyDescent="0.3">
      <c r="A54" s="26">
        <v>0.48</v>
      </c>
      <c r="B54" s="26">
        <f t="shared" si="5"/>
        <v>0.52</v>
      </c>
      <c r="C54" s="26"/>
      <c r="H54" s="26">
        <v>3.8741858776799996E-2</v>
      </c>
      <c r="I54" s="26">
        <v>3.7058647363199998E-2</v>
      </c>
      <c r="K54" s="26">
        <f t="shared" si="0"/>
        <v>0.48</v>
      </c>
      <c r="L54" s="26">
        <f t="shared" si="1"/>
        <v>0.52</v>
      </c>
      <c r="N54" s="26">
        <f t="shared" si="2"/>
        <v>3.7866588841727999E-2</v>
      </c>
      <c r="Q54" s="32">
        <f t="shared" si="3"/>
        <v>0.154116</v>
      </c>
      <c r="R54" s="32">
        <f t="shared" si="4"/>
        <v>0.1945933936230313</v>
      </c>
      <c r="DI54" s="26"/>
    </row>
    <row r="55" spans="1:113" x14ac:dyDescent="0.3">
      <c r="A55" s="26">
        <v>0.47</v>
      </c>
      <c r="B55" s="26">
        <f t="shared" si="5"/>
        <v>0.53</v>
      </c>
      <c r="C55" s="26"/>
      <c r="H55" s="26">
        <v>3.8351336830199999E-2</v>
      </c>
      <c r="I55" s="26">
        <v>3.7386759709800002E-2</v>
      </c>
      <c r="K55" s="26">
        <f t="shared" si="0"/>
        <v>0.47</v>
      </c>
      <c r="L55" s="26">
        <f t="shared" si="1"/>
        <v>0.53</v>
      </c>
      <c r="N55" s="26">
        <f t="shared" si="2"/>
        <v>3.7840110956388E-2</v>
      </c>
      <c r="Q55" s="32">
        <f t="shared" si="3"/>
        <v>0.15402399999999999</v>
      </c>
      <c r="R55" s="32">
        <f t="shared" si="4"/>
        <v>0.19452534785057704</v>
      </c>
      <c r="DI55" s="26"/>
    </row>
    <row r="56" spans="1:113" x14ac:dyDescent="0.3">
      <c r="A56" s="26">
        <v>0.46</v>
      </c>
      <c r="B56" s="26">
        <f t="shared" si="5"/>
        <v>0.54</v>
      </c>
      <c r="C56" s="26"/>
      <c r="H56" s="26">
        <v>3.7960814883600001E-2</v>
      </c>
      <c r="I56" s="26">
        <v>3.7714872056400006E-2</v>
      </c>
      <c r="K56" s="26">
        <f t="shared" si="0"/>
        <v>0.46</v>
      </c>
      <c r="L56" s="26">
        <f t="shared" si="1"/>
        <v>0.54</v>
      </c>
      <c r="N56" s="26">
        <f t="shared" si="2"/>
        <v>3.7828005756912003E-2</v>
      </c>
      <c r="Q56" s="32">
        <f t="shared" si="3"/>
        <v>0.15393200000000001</v>
      </c>
      <c r="R56" s="32">
        <f t="shared" si="4"/>
        <v>0.19449423065199647</v>
      </c>
      <c r="DI56" s="26"/>
    </row>
    <row r="57" spans="1:113" x14ac:dyDescent="0.3">
      <c r="A57" s="26">
        <v>0.45</v>
      </c>
      <c r="B57" s="26">
        <f t="shared" si="5"/>
        <v>0.55000000000000004</v>
      </c>
      <c r="C57" s="26"/>
      <c r="H57" s="26">
        <v>3.7570292936999997E-2</v>
      </c>
      <c r="I57" s="26">
        <v>3.8042984403000003E-2</v>
      </c>
      <c r="K57" s="26">
        <f t="shared" si="0"/>
        <v>0.45</v>
      </c>
      <c r="L57" s="26">
        <f t="shared" si="1"/>
        <v>0.55000000000000004</v>
      </c>
      <c r="N57" s="26">
        <f t="shared" si="2"/>
        <v>3.7830273243300003E-2</v>
      </c>
      <c r="Q57" s="32">
        <f t="shared" si="3"/>
        <v>0.15384000000000003</v>
      </c>
      <c r="R57" s="32">
        <f t="shared" si="4"/>
        <v>0.19450005975140472</v>
      </c>
      <c r="DI57" s="26"/>
    </row>
    <row r="58" spans="1:113" x14ac:dyDescent="0.3">
      <c r="A58" s="26">
        <v>0.44</v>
      </c>
      <c r="B58" s="26">
        <f t="shared" si="5"/>
        <v>0.56000000000000005</v>
      </c>
      <c r="C58" s="26"/>
      <c r="H58" s="26">
        <v>3.7179770990399999E-2</v>
      </c>
      <c r="I58" s="26">
        <v>3.83710967496E-2</v>
      </c>
      <c r="K58" s="26">
        <f t="shared" si="0"/>
        <v>0.44</v>
      </c>
      <c r="L58" s="26">
        <f t="shared" si="1"/>
        <v>0.56000000000000005</v>
      </c>
      <c r="N58" s="26">
        <f t="shared" si="2"/>
        <v>3.7846913415552005E-2</v>
      </c>
      <c r="Q58" s="32">
        <f t="shared" si="3"/>
        <v>0.153748</v>
      </c>
      <c r="R58" s="32">
        <f t="shared" si="4"/>
        <v>0.19454283182772888</v>
      </c>
      <c r="DI58" s="26"/>
    </row>
    <row r="59" spans="1:113" x14ac:dyDescent="0.3">
      <c r="A59" s="26">
        <v>0.42999999999999899</v>
      </c>
      <c r="B59" s="26">
        <f t="shared" si="5"/>
        <v>0.57000000000000095</v>
      </c>
      <c r="C59" s="26"/>
      <c r="H59" s="26">
        <v>3.678924904379996E-2</v>
      </c>
      <c r="I59" s="26">
        <v>3.8699209096200032E-2</v>
      </c>
      <c r="K59" s="26">
        <f t="shared" si="0"/>
        <v>0.42999999999999899</v>
      </c>
      <c r="L59" s="26">
        <f t="shared" si="1"/>
        <v>0.57000000000000095</v>
      </c>
      <c r="N59" s="26">
        <f t="shared" si="2"/>
        <v>3.7877926273667997E-2</v>
      </c>
      <c r="Q59" s="32">
        <f t="shared" si="3"/>
        <v>0.15365599999999999</v>
      </c>
      <c r="R59" s="32">
        <f t="shared" si="4"/>
        <v>0.19462252252416212</v>
      </c>
      <c r="DI59" s="26"/>
    </row>
    <row r="60" spans="1:113" x14ac:dyDescent="0.3">
      <c r="A60" s="26">
        <v>0.41999999999999899</v>
      </c>
      <c r="B60" s="26">
        <f t="shared" si="5"/>
        <v>0.58000000000000096</v>
      </c>
      <c r="C60" s="26"/>
      <c r="H60" s="26">
        <v>3.6398727097199962E-2</v>
      </c>
      <c r="I60" s="26">
        <v>3.902732144280003E-2</v>
      </c>
      <c r="K60" s="26">
        <f t="shared" si="0"/>
        <v>0.41999999999999899</v>
      </c>
      <c r="L60" s="26">
        <f t="shared" si="1"/>
        <v>0.58000000000000096</v>
      </c>
      <c r="N60" s="26">
        <f t="shared" si="2"/>
        <v>3.7923311817647999E-2</v>
      </c>
      <c r="Q60" s="32">
        <f t="shared" si="3"/>
        <v>0.15356399999999998</v>
      </c>
      <c r="R60" s="32">
        <f t="shared" si="4"/>
        <v>0.19473908651744262</v>
      </c>
      <c r="DI60" s="26"/>
    </row>
    <row r="61" spans="1:113" x14ac:dyDescent="0.3">
      <c r="A61" s="26">
        <v>0.40999999999999898</v>
      </c>
      <c r="B61" s="26">
        <f t="shared" si="5"/>
        <v>0.59000000000000097</v>
      </c>
      <c r="C61" s="26"/>
      <c r="H61" s="26">
        <v>3.6008205150599958E-2</v>
      </c>
      <c r="I61" s="26">
        <v>3.9355433789400027E-2</v>
      </c>
      <c r="K61" s="26">
        <f t="shared" si="0"/>
        <v>0.40999999999999898</v>
      </c>
      <c r="L61" s="26">
        <f t="shared" si="1"/>
        <v>0.59000000000000097</v>
      </c>
      <c r="N61" s="26">
        <f t="shared" si="2"/>
        <v>3.7983070047491997E-2</v>
      </c>
      <c r="Q61" s="32">
        <f t="shared" si="3"/>
        <v>0.153472</v>
      </c>
      <c r="R61" s="32">
        <f t="shared" si="4"/>
        <v>0.19489245764649796</v>
      </c>
      <c r="DI61" s="26"/>
    </row>
    <row r="62" spans="1:113" x14ac:dyDescent="0.3">
      <c r="A62" s="26">
        <v>0.39999999999999902</v>
      </c>
      <c r="B62" s="26">
        <f t="shared" si="5"/>
        <v>0.60000000000000098</v>
      </c>
      <c r="C62" s="26"/>
      <c r="H62" s="26">
        <v>3.561768320399996E-2</v>
      </c>
      <c r="I62" s="26">
        <v>3.9683546136000031E-2</v>
      </c>
      <c r="K62" s="26">
        <f t="shared" si="0"/>
        <v>0.39999999999999902</v>
      </c>
      <c r="L62" s="26">
        <f t="shared" si="1"/>
        <v>0.60000000000000098</v>
      </c>
      <c r="N62" s="26">
        <f t="shared" si="2"/>
        <v>3.8057200963200005E-2</v>
      </c>
      <c r="Q62" s="32">
        <f t="shared" si="3"/>
        <v>0.15338000000000002</v>
      </c>
      <c r="R62" s="32">
        <f t="shared" si="4"/>
        <v>0.19508254909960554</v>
      </c>
      <c r="DI62" s="26"/>
    </row>
    <row r="63" spans="1:113" x14ac:dyDescent="0.3">
      <c r="A63" s="26">
        <v>0.38999999999999901</v>
      </c>
      <c r="B63" s="26">
        <f t="shared" si="5"/>
        <v>0.61000000000000099</v>
      </c>
      <c r="C63" s="26"/>
      <c r="H63" s="26">
        <v>3.5227161257399955E-2</v>
      </c>
      <c r="I63" s="26">
        <v>4.0011658482600035E-2</v>
      </c>
      <c r="K63" s="26">
        <f t="shared" si="0"/>
        <v>0.38999999999999901</v>
      </c>
      <c r="L63" s="26">
        <f t="shared" si="1"/>
        <v>0.61000000000000099</v>
      </c>
      <c r="N63" s="26">
        <f t="shared" si="2"/>
        <v>3.8145704564772009E-2</v>
      </c>
      <c r="Q63" s="32">
        <f t="shared" si="3"/>
        <v>0.15328799999999998</v>
      </c>
      <c r="R63" s="32">
        <f t="shared" si="4"/>
        <v>0.1953092536588372</v>
      </c>
      <c r="DI63" s="26"/>
    </row>
    <row r="64" spans="1:113" x14ac:dyDescent="0.3">
      <c r="A64" s="26">
        <v>0.37999999999999901</v>
      </c>
      <c r="B64" s="26">
        <f t="shared" si="5"/>
        <v>0.62000000000000099</v>
      </c>
      <c r="C64" s="26"/>
      <c r="H64" s="26">
        <v>3.4836639310799958E-2</v>
      </c>
      <c r="I64" s="26">
        <v>4.0339770829200032E-2</v>
      </c>
      <c r="K64" s="26">
        <f t="shared" si="0"/>
        <v>0.37999999999999901</v>
      </c>
      <c r="L64" s="26">
        <f t="shared" si="1"/>
        <v>0.62000000000000099</v>
      </c>
      <c r="N64" s="26">
        <f t="shared" si="2"/>
        <v>3.824858085220801E-2</v>
      </c>
      <c r="Q64" s="32">
        <f t="shared" si="3"/>
        <v>0.153196</v>
      </c>
      <c r="R64" s="32">
        <f t="shared" si="4"/>
        <v>0.19557244400019141</v>
      </c>
      <c r="DI64" s="26"/>
    </row>
    <row r="65" spans="1:113" x14ac:dyDescent="0.3">
      <c r="A65" s="26">
        <v>0.369999999999999</v>
      </c>
      <c r="B65" s="26">
        <f t="shared" si="5"/>
        <v>0.630000000000001</v>
      </c>
      <c r="C65" s="26"/>
      <c r="H65" s="26">
        <v>3.444611736419996E-2</v>
      </c>
      <c r="I65" s="26">
        <v>4.0667883175800029E-2</v>
      </c>
      <c r="K65" s="26">
        <f t="shared" si="0"/>
        <v>0.369999999999999</v>
      </c>
      <c r="L65" s="26">
        <f t="shared" si="1"/>
        <v>0.630000000000001</v>
      </c>
      <c r="N65" s="26">
        <f t="shared" si="2"/>
        <v>3.8365829825508006E-2</v>
      </c>
      <c r="Q65" s="32">
        <f t="shared" si="3"/>
        <v>0.15310399999999999</v>
      </c>
      <c r="R65" s="32">
        <f t="shared" si="4"/>
        <v>0.19587197304746795</v>
      </c>
      <c r="DI65" s="26"/>
    </row>
    <row r="66" spans="1:113" x14ac:dyDescent="0.3">
      <c r="A66" s="26">
        <v>0.35999999999999899</v>
      </c>
      <c r="B66" s="26">
        <f t="shared" si="5"/>
        <v>0.64000000000000101</v>
      </c>
      <c r="C66" s="26"/>
      <c r="H66" s="26">
        <v>3.4055595417599963E-2</v>
      </c>
      <c r="I66" s="26">
        <v>4.0995995522400033E-2</v>
      </c>
      <c r="K66" s="26">
        <f t="shared" si="0"/>
        <v>0.35999999999999899</v>
      </c>
      <c r="L66" s="26">
        <f t="shared" si="1"/>
        <v>0.64000000000000101</v>
      </c>
      <c r="N66" s="26">
        <f t="shared" si="2"/>
        <v>3.8497451484672013E-2</v>
      </c>
      <c r="Q66" s="32">
        <f t="shared" si="3"/>
        <v>0.15301200000000001</v>
      </c>
      <c r="R66" s="32">
        <f t="shared" si="4"/>
        <v>0.19620767437761452</v>
      </c>
      <c r="DI66" s="26"/>
    </row>
    <row r="67" spans="1:113" x14ac:dyDescent="0.3">
      <c r="A67" s="26">
        <v>0.34999999999999898</v>
      </c>
      <c r="B67" s="26">
        <f t="shared" si="5"/>
        <v>0.65000000000000102</v>
      </c>
      <c r="C67" s="26"/>
      <c r="H67" s="26">
        <v>3.3665073470999958E-2</v>
      </c>
      <c r="I67" s="26">
        <v>4.1324107869000037E-2</v>
      </c>
      <c r="K67" s="26">
        <f t="shared" ref="K67:K102" si="6">A67</f>
        <v>0.34999999999999898</v>
      </c>
      <c r="L67" s="26">
        <f t="shared" ref="L67:L102" si="7">B67</f>
        <v>0.65000000000000102</v>
      </c>
      <c r="N67" s="26">
        <f t="shared" ref="N67:N102" si="8">H67*K67+I67*L67</f>
        <v>3.8643445829700016E-2</v>
      </c>
      <c r="Q67" s="32">
        <f t="shared" ref="Q67:Q102" si="9">K67*O$2+L67*P$2</f>
        <v>0.15292</v>
      </c>
      <c r="R67" s="32">
        <f t="shared" ref="R67:R102" si="10">SQRT(N67)</f>
        <v>0.19657936267497669</v>
      </c>
      <c r="DI67" s="26"/>
    </row>
    <row r="68" spans="1:113" x14ac:dyDescent="0.3">
      <c r="A68" s="26">
        <v>0.33999999999999903</v>
      </c>
      <c r="B68" s="26">
        <f t="shared" ref="B68:B102" si="11">1-A68</f>
        <v>0.66000000000000103</v>
      </c>
      <c r="C68" s="26"/>
      <c r="H68" s="26">
        <v>3.327455152439996E-2</v>
      </c>
      <c r="I68" s="26">
        <v>4.1652220215600035E-2</v>
      </c>
      <c r="K68" s="26">
        <f t="shared" si="6"/>
        <v>0.33999999999999903</v>
      </c>
      <c r="L68" s="26">
        <f t="shared" si="7"/>
        <v>0.66000000000000103</v>
      </c>
      <c r="N68" s="26">
        <f t="shared" si="8"/>
        <v>3.8803812860592021E-2</v>
      </c>
      <c r="Q68" s="32">
        <f t="shared" si="9"/>
        <v>0.15282800000000002</v>
      </c>
      <c r="R68" s="32">
        <f t="shared" si="10"/>
        <v>0.19698683423161056</v>
      </c>
      <c r="DI68" s="26"/>
    </row>
    <row r="69" spans="1:113" x14ac:dyDescent="0.3">
      <c r="A69" s="26">
        <v>0.32999999999999902</v>
      </c>
      <c r="B69" s="26">
        <f t="shared" si="11"/>
        <v>0.67000000000000104</v>
      </c>
      <c r="C69" s="26"/>
      <c r="H69" s="26">
        <v>3.2884029577799963E-2</v>
      </c>
      <c r="I69" s="26">
        <v>4.1980332562200032E-2</v>
      </c>
      <c r="K69" s="26">
        <f t="shared" si="6"/>
        <v>0.32999999999999902</v>
      </c>
      <c r="L69" s="26">
        <f t="shared" si="7"/>
        <v>0.67000000000000104</v>
      </c>
      <c r="N69" s="26">
        <f t="shared" si="8"/>
        <v>3.8978552577348016E-2</v>
      </c>
      <c r="Q69" s="32">
        <f t="shared" si="9"/>
        <v>0.15273599999999998</v>
      </c>
      <c r="R69" s="32">
        <f t="shared" si="10"/>
        <v>0.19742986749058009</v>
      </c>
      <c r="DI69" s="26"/>
    </row>
    <row r="70" spans="1:113" x14ac:dyDescent="0.3">
      <c r="A70" s="26">
        <v>0.31999999999999901</v>
      </c>
      <c r="B70" s="26">
        <f t="shared" si="11"/>
        <v>0.68000000000000105</v>
      </c>
      <c r="C70" s="26"/>
      <c r="H70" s="26">
        <v>3.2493507631199958E-2</v>
      </c>
      <c r="I70" s="26">
        <v>4.2308444908800036E-2</v>
      </c>
      <c r="K70" s="26">
        <f t="shared" si="6"/>
        <v>0.31999999999999901</v>
      </c>
      <c r="L70" s="26">
        <f t="shared" si="7"/>
        <v>0.68000000000000105</v>
      </c>
      <c r="N70" s="26">
        <f t="shared" si="8"/>
        <v>3.9167664979968021E-2</v>
      </c>
      <c r="Q70" s="32">
        <f t="shared" si="9"/>
        <v>0.152644</v>
      </c>
      <c r="R70" s="32">
        <f t="shared" si="10"/>
        <v>0.19790822362895388</v>
      </c>
      <c r="DI70" s="26"/>
    </row>
    <row r="71" spans="1:113" x14ac:dyDescent="0.3">
      <c r="A71" s="26">
        <v>0.309999999999999</v>
      </c>
      <c r="B71" s="26">
        <f t="shared" si="11"/>
        <v>0.69000000000000106</v>
      </c>
      <c r="C71" s="26"/>
      <c r="H71" s="26">
        <v>3.2102985684599961E-2</v>
      </c>
      <c r="I71" s="26">
        <v>4.263655725540004E-2</v>
      </c>
      <c r="K71" s="26">
        <f t="shared" si="6"/>
        <v>0.309999999999999</v>
      </c>
      <c r="L71" s="26">
        <f t="shared" si="7"/>
        <v>0.69000000000000106</v>
      </c>
      <c r="N71" s="26">
        <f t="shared" si="8"/>
        <v>3.9371150068452029E-2</v>
      </c>
      <c r="Q71" s="32">
        <f t="shared" si="9"/>
        <v>0.15255200000000002</v>
      </c>
      <c r="R71" s="32">
        <f t="shared" si="10"/>
        <v>0.19842164717704575</v>
      </c>
      <c r="DI71" s="26"/>
    </row>
    <row r="72" spans="1:113" x14ac:dyDescent="0.3">
      <c r="A72" s="26">
        <v>0.29999999999999899</v>
      </c>
      <c r="B72" s="26">
        <f t="shared" si="11"/>
        <v>0.70000000000000107</v>
      </c>
      <c r="C72" s="26"/>
      <c r="H72" s="26">
        <v>3.1712463737999963E-2</v>
      </c>
      <c r="I72" s="26">
        <v>4.2964669602000037E-2</v>
      </c>
      <c r="K72" s="26">
        <f t="shared" si="6"/>
        <v>0.29999999999999899</v>
      </c>
      <c r="L72" s="26">
        <f t="shared" si="7"/>
        <v>0.70000000000000107</v>
      </c>
      <c r="N72" s="26">
        <f t="shared" si="8"/>
        <v>3.9589007842800027E-2</v>
      </c>
      <c r="Q72" s="32">
        <f t="shared" si="9"/>
        <v>0.15246000000000001</v>
      </c>
      <c r="R72" s="32">
        <f t="shared" si="10"/>
        <v>0.19896986667030772</v>
      </c>
      <c r="DI72" s="26"/>
    </row>
    <row r="73" spans="1:113" x14ac:dyDescent="0.3">
      <c r="A73" s="26">
        <v>0.28999999999999898</v>
      </c>
      <c r="B73" s="26">
        <f t="shared" si="11"/>
        <v>0.71000000000000107</v>
      </c>
      <c r="C73" s="26"/>
      <c r="H73" s="26">
        <v>3.1321941791399958E-2</v>
      </c>
      <c r="I73" s="26">
        <v>4.3292781948600034E-2</v>
      </c>
      <c r="K73" s="26">
        <f t="shared" si="6"/>
        <v>0.28999999999999898</v>
      </c>
      <c r="L73" s="26">
        <f t="shared" si="7"/>
        <v>0.71000000000000107</v>
      </c>
      <c r="N73" s="26">
        <f t="shared" si="8"/>
        <v>3.9821238303012027E-2</v>
      </c>
      <c r="Q73" s="32">
        <f t="shared" si="9"/>
        <v>0.152368</v>
      </c>
      <c r="R73" s="32">
        <f t="shared" si="10"/>
        <v>0.19955259533018363</v>
      </c>
      <c r="DI73" s="26"/>
    </row>
    <row r="74" spans="1:113" x14ac:dyDescent="0.3">
      <c r="A74" s="26">
        <v>0.27999999999999903</v>
      </c>
      <c r="B74" s="26">
        <f t="shared" si="11"/>
        <v>0.72000000000000097</v>
      </c>
      <c r="C74" s="26"/>
      <c r="H74" s="26">
        <v>3.0931419844799961E-2</v>
      </c>
      <c r="I74" s="26">
        <v>4.3620894295200031E-2</v>
      </c>
      <c r="K74" s="26">
        <f t="shared" si="6"/>
        <v>0.27999999999999903</v>
      </c>
      <c r="L74" s="26">
        <f t="shared" si="7"/>
        <v>0.72000000000000097</v>
      </c>
      <c r="N74" s="26">
        <f t="shared" si="8"/>
        <v>4.0067841449088024E-2</v>
      </c>
      <c r="Q74" s="32">
        <f t="shared" si="9"/>
        <v>0.15227599999999999</v>
      </c>
      <c r="R74" s="32">
        <f t="shared" si="10"/>
        <v>0.20016953177016733</v>
      </c>
      <c r="DI74" s="26"/>
    </row>
    <row r="75" spans="1:113" x14ac:dyDescent="0.3">
      <c r="A75" s="26">
        <v>0.26999999999999902</v>
      </c>
      <c r="B75" s="26">
        <f t="shared" si="11"/>
        <v>0.73000000000000098</v>
      </c>
      <c r="C75" s="26"/>
      <c r="H75" s="26">
        <v>3.054089789819996E-2</v>
      </c>
      <c r="I75" s="26">
        <v>4.3949006641800029E-2</v>
      </c>
      <c r="K75" s="26">
        <f t="shared" si="6"/>
        <v>0.26999999999999902</v>
      </c>
      <c r="L75" s="26">
        <f t="shared" si="7"/>
        <v>0.73000000000000098</v>
      </c>
      <c r="N75" s="26">
        <f t="shared" si="8"/>
        <v>4.0328817281028023E-2</v>
      </c>
      <c r="Q75" s="32">
        <f t="shared" si="9"/>
        <v>0.15218399999999999</v>
      </c>
      <c r="R75" s="32">
        <f t="shared" si="10"/>
        <v>0.2008203607232793</v>
      </c>
      <c r="DI75" s="26"/>
    </row>
    <row r="76" spans="1:113" x14ac:dyDescent="0.3">
      <c r="A76" s="26">
        <v>0.25999999999999901</v>
      </c>
      <c r="B76" s="26">
        <f t="shared" si="11"/>
        <v>0.74000000000000099</v>
      </c>
      <c r="C76" s="26"/>
      <c r="H76" s="26">
        <v>3.0150375951599959E-2</v>
      </c>
      <c r="I76" s="26">
        <v>4.4277118988400033E-2</v>
      </c>
      <c r="K76" s="26">
        <f t="shared" si="6"/>
        <v>0.25999999999999901</v>
      </c>
      <c r="L76" s="26">
        <f t="shared" si="7"/>
        <v>0.74000000000000099</v>
      </c>
      <c r="N76" s="26">
        <f t="shared" si="8"/>
        <v>4.0604165798832026E-2</v>
      </c>
      <c r="Q76" s="32">
        <f t="shared" si="9"/>
        <v>0.152092</v>
      </c>
      <c r="R76" s="32">
        <f t="shared" si="10"/>
        <v>0.20150475378718</v>
      </c>
      <c r="DI76" s="26"/>
    </row>
    <row r="77" spans="1:113" x14ac:dyDescent="0.3">
      <c r="A77" s="26">
        <v>0.249999999999999</v>
      </c>
      <c r="B77" s="26">
        <f t="shared" si="11"/>
        <v>0.750000000000001</v>
      </c>
      <c r="C77" s="26"/>
      <c r="H77" s="26">
        <v>2.9759854004999961E-2</v>
      </c>
      <c r="I77" s="26">
        <v>4.4605231335000037E-2</v>
      </c>
      <c r="K77" s="26">
        <f t="shared" si="6"/>
        <v>0.249999999999999</v>
      </c>
      <c r="L77" s="26">
        <f t="shared" si="7"/>
        <v>0.750000000000001</v>
      </c>
      <c r="N77" s="26">
        <f t="shared" si="8"/>
        <v>4.0893887002500032E-2</v>
      </c>
      <c r="Q77" s="32">
        <f t="shared" si="9"/>
        <v>0.152</v>
      </c>
      <c r="R77" s="32">
        <f t="shared" si="10"/>
        <v>0.20222237018317243</v>
      </c>
      <c r="DI77" s="26"/>
    </row>
    <row r="78" spans="1:113" x14ac:dyDescent="0.3">
      <c r="A78" s="26">
        <v>0.23999999999999899</v>
      </c>
      <c r="B78" s="26">
        <f t="shared" si="11"/>
        <v>0.76000000000000101</v>
      </c>
      <c r="C78" s="26"/>
      <c r="H78" s="26">
        <v>2.936933205839996E-2</v>
      </c>
      <c r="I78" s="26">
        <v>4.4933343681600034E-2</v>
      </c>
      <c r="K78" s="26">
        <f t="shared" si="6"/>
        <v>0.23999999999999899</v>
      </c>
      <c r="L78" s="26">
        <f t="shared" si="7"/>
        <v>0.76000000000000101</v>
      </c>
      <c r="N78" s="26">
        <f t="shared" si="8"/>
        <v>4.1197980892032027E-2</v>
      </c>
      <c r="Q78" s="32">
        <f t="shared" si="9"/>
        <v>0.15190799999999999</v>
      </c>
      <c r="R78" s="32">
        <f t="shared" si="10"/>
        <v>0.20297285752541405</v>
      </c>
      <c r="DI78" s="26"/>
    </row>
    <row r="79" spans="1:113" x14ac:dyDescent="0.3">
      <c r="A79" s="26">
        <v>0.22999999999999901</v>
      </c>
      <c r="B79" s="26">
        <f t="shared" si="11"/>
        <v>0.77000000000000102</v>
      </c>
      <c r="C79" s="26"/>
      <c r="H79" s="26">
        <v>2.8978810111799959E-2</v>
      </c>
      <c r="I79" s="26">
        <v>4.5261456028200031E-2</v>
      </c>
      <c r="K79" s="26">
        <f t="shared" si="6"/>
        <v>0.22999999999999901</v>
      </c>
      <c r="L79" s="26">
        <f t="shared" si="7"/>
        <v>0.77000000000000102</v>
      </c>
      <c r="N79" s="26">
        <f t="shared" si="8"/>
        <v>4.1516447467428032E-2</v>
      </c>
      <c r="Q79" s="32">
        <f t="shared" si="9"/>
        <v>0.15181600000000001</v>
      </c>
      <c r="R79" s="32">
        <f t="shared" si="10"/>
        <v>0.2037558525967488</v>
      </c>
      <c r="DI79" s="26"/>
    </row>
    <row r="80" spans="1:113" x14ac:dyDescent="0.3">
      <c r="A80" s="26">
        <v>0.219999999999999</v>
      </c>
      <c r="B80" s="26">
        <f t="shared" si="11"/>
        <v>0.78000000000000103</v>
      </c>
      <c r="C80" s="26"/>
      <c r="H80" s="26">
        <v>2.8588288165199961E-2</v>
      </c>
      <c r="I80" s="26">
        <v>4.5589568374800035E-2</v>
      </c>
      <c r="K80" s="26">
        <f t="shared" si="6"/>
        <v>0.219999999999999</v>
      </c>
      <c r="L80" s="26">
        <f t="shared" si="7"/>
        <v>0.78000000000000103</v>
      </c>
      <c r="N80" s="26">
        <f t="shared" si="8"/>
        <v>4.1849286728688033E-2</v>
      </c>
      <c r="Q80" s="32">
        <f t="shared" si="9"/>
        <v>0.151724</v>
      </c>
      <c r="R80" s="32">
        <f t="shared" si="10"/>
        <v>0.2045709821276909</v>
      </c>
      <c r="DI80" s="26"/>
    </row>
    <row r="81" spans="1:113" x14ac:dyDescent="0.3">
      <c r="A81" s="26">
        <v>0.20999999999999899</v>
      </c>
      <c r="B81" s="26">
        <f t="shared" si="11"/>
        <v>0.79000000000000103</v>
      </c>
      <c r="C81" s="26"/>
      <c r="H81" s="26">
        <v>2.8197766218599964E-2</v>
      </c>
      <c r="I81" s="26">
        <v>4.5917680721400039E-2</v>
      </c>
      <c r="K81" s="26">
        <f t="shared" si="6"/>
        <v>0.20999999999999899</v>
      </c>
      <c r="L81" s="26">
        <f t="shared" si="7"/>
        <v>0.79000000000000103</v>
      </c>
      <c r="N81" s="26">
        <f t="shared" si="8"/>
        <v>4.2196498675812044E-2</v>
      </c>
      <c r="Q81" s="32">
        <f t="shared" si="9"/>
        <v>0.15163199999999999</v>
      </c>
      <c r="R81" s="32">
        <f t="shared" si="10"/>
        <v>0.20541786357523059</v>
      </c>
      <c r="DI81" s="26"/>
    </row>
    <row r="82" spans="1:113" x14ac:dyDescent="0.3">
      <c r="A82" s="26">
        <v>0.19999999999999901</v>
      </c>
      <c r="B82" s="26">
        <f t="shared" si="11"/>
        <v>0.80000000000000093</v>
      </c>
      <c r="C82" s="26"/>
      <c r="H82" s="26">
        <v>2.7807244271999959E-2</v>
      </c>
      <c r="I82" s="26">
        <v>4.624579306800003E-2</v>
      </c>
      <c r="K82" s="26">
        <f t="shared" si="6"/>
        <v>0.19999999999999901</v>
      </c>
      <c r="L82" s="26">
        <f t="shared" si="7"/>
        <v>0.80000000000000093</v>
      </c>
      <c r="N82" s="26">
        <f t="shared" si="8"/>
        <v>4.2558083308800031E-2</v>
      </c>
      <c r="Q82" s="32">
        <f t="shared" si="9"/>
        <v>0.15153999999999998</v>
      </c>
      <c r="R82" s="32">
        <f t="shared" si="10"/>
        <v>0.20629610589829375</v>
      </c>
      <c r="DI82" s="26"/>
    </row>
    <row r="83" spans="1:113" x14ac:dyDescent="0.3">
      <c r="A83" s="26">
        <v>0.189999999999999</v>
      </c>
      <c r="B83" s="26">
        <f t="shared" si="11"/>
        <v>0.81000000000000094</v>
      </c>
      <c r="C83" s="26"/>
      <c r="H83" s="26">
        <v>2.7416722325399958E-2</v>
      </c>
      <c r="I83" s="26">
        <v>4.6573905414600027E-2</v>
      </c>
      <c r="K83" s="26">
        <f t="shared" si="6"/>
        <v>0.189999999999999</v>
      </c>
      <c r="L83" s="26">
        <f t="shared" si="7"/>
        <v>0.81000000000000094</v>
      </c>
      <c r="N83" s="26">
        <f t="shared" si="8"/>
        <v>4.2934040627652027E-2</v>
      </c>
      <c r="Q83" s="32">
        <f t="shared" si="9"/>
        <v>0.15144799999999997</v>
      </c>
      <c r="R83" s="32">
        <f t="shared" si="10"/>
        <v>0.20720531032686404</v>
      </c>
      <c r="DI83" s="26"/>
    </row>
    <row r="84" spans="1:113" x14ac:dyDescent="0.3">
      <c r="A84" s="26">
        <v>0.17999999999999899</v>
      </c>
      <c r="B84" s="26">
        <f t="shared" si="11"/>
        <v>0.82000000000000095</v>
      </c>
      <c r="C84" s="26"/>
      <c r="H84" s="26">
        <v>2.7026200378799957E-2</v>
      </c>
      <c r="I84" s="26">
        <v>4.6902017761200031E-2</v>
      </c>
      <c r="K84" s="26">
        <f t="shared" si="6"/>
        <v>0.17999999999999899</v>
      </c>
      <c r="L84" s="26">
        <f t="shared" si="7"/>
        <v>0.82000000000000095</v>
      </c>
      <c r="N84" s="26">
        <f t="shared" si="8"/>
        <v>4.3324370632368034E-2</v>
      </c>
      <c r="Q84" s="32">
        <f t="shared" si="9"/>
        <v>0.15135599999999999</v>
      </c>
      <c r="R84" s="32">
        <f t="shared" si="10"/>
        <v>0.2081450711219654</v>
      </c>
      <c r="DI84" s="26"/>
    </row>
    <row r="85" spans="1:113" x14ac:dyDescent="0.3">
      <c r="A85" s="26">
        <v>0.16999999999999901</v>
      </c>
      <c r="B85" s="26">
        <f t="shared" si="11"/>
        <v>0.83000000000000096</v>
      </c>
      <c r="C85" s="26"/>
      <c r="H85" s="26">
        <v>2.6635678432199959E-2</v>
      </c>
      <c r="I85" s="26">
        <v>4.7230130107800035E-2</v>
      </c>
      <c r="K85" s="26">
        <f t="shared" si="6"/>
        <v>0.16999999999999901</v>
      </c>
      <c r="L85" s="26">
        <f t="shared" si="7"/>
        <v>0.83000000000000096</v>
      </c>
      <c r="N85" s="26">
        <f t="shared" si="8"/>
        <v>4.3729073322948044E-2</v>
      </c>
      <c r="Q85" s="32">
        <f t="shared" si="9"/>
        <v>0.15126399999999998</v>
      </c>
      <c r="R85" s="32">
        <f t="shared" si="10"/>
        <v>0.20911497632390666</v>
      </c>
      <c r="DI85" s="26"/>
    </row>
    <row r="86" spans="1:113" x14ac:dyDescent="0.3">
      <c r="A86" s="26">
        <v>0.159999999999999</v>
      </c>
      <c r="B86" s="26">
        <f t="shared" si="11"/>
        <v>0.84000000000000097</v>
      </c>
      <c r="C86" s="26"/>
      <c r="H86" s="26">
        <v>2.6245156485599958E-2</v>
      </c>
      <c r="I86" s="26">
        <v>4.7558242454400032E-2</v>
      </c>
      <c r="K86" s="26">
        <f t="shared" si="6"/>
        <v>0.159999999999999</v>
      </c>
      <c r="L86" s="26">
        <f t="shared" si="7"/>
        <v>0.84000000000000097</v>
      </c>
      <c r="N86" s="26">
        <f t="shared" si="8"/>
        <v>4.4148148699392036E-2</v>
      </c>
      <c r="Q86" s="32">
        <f t="shared" si="9"/>
        <v>0.15117199999999997</v>
      </c>
      <c r="R86" s="32">
        <f t="shared" si="10"/>
        <v>0.21011460848639735</v>
      </c>
      <c r="DI86" s="26"/>
    </row>
    <row r="87" spans="1:113" x14ac:dyDescent="0.3">
      <c r="A87" s="26">
        <v>0.149999999999999</v>
      </c>
      <c r="B87" s="26">
        <f t="shared" si="11"/>
        <v>0.85000000000000098</v>
      </c>
      <c r="C87" s="26"/>
      <c r="H87" s="26">
        <v>2.5854634538999961E-2</v>
      </c>
      <c r="I87" s="26">
        <v>4.7886354801000029E-2</v>
      </c>
      <c r="K87" s="26">
        <f t="shared" si="6"/>
        <v>0.149999999999999</v>
      </c>
      <c r="L87" s="26">
        <f t="shared" si="7"/>
        <v>0.85000000000000098</v>
      </c>
      <c r="N87" s="26">
        <f t="shared" si="8"/>
        <v>4.4581596761700037E-2</v>
      </c>
      <c r="Q87" s="32">
        <f t="shared" si="9"/>
        <v>0.15107999999999999</v>
      </c>
      <c r="R87" s="32">
        <f t="shared" si="10"/>
        <v>0.2111435453943597</v>
      </c>
      <c r="DI87" s="26"/>
    </row>
    <row r="88" spans="1:113" x14ac:dyDescent="0.3">
      <c r="A88" s="26">
        <v>0.13999999999999899</v>
      </c>
      <c r="B88" s="26">
        <f t="shared" si="11"/>
        <v>0.86000000000000099</v>
      </c>
      <c r="C88" s="26"/>
      <c r="H88" s="26">
        <v>2.546411259239996E-2</v>
      </c>
      <c r="I88" s="26">
        <v>4.8214467147600033E-2</v>
      </c>
      <c r="K88" s="26">
        <f t="shared" si="6"/>
        <v>0.13999999999999899</v>
      </c>
      <c r="L88" s="26">
        <f t="shared" si="7"/>
        <v>0.86000000000000099</v>
      </c>
      <c r="N88" s="26">
        <f t="shared" si="8"/>
        <v>4.5029417509872043E-2</v>
      </c>
      <c r="Q88" s="32">
        <f t="shared" si="9"/>
        <v>0.15098799999999998</v>
      </c>
      <c r="R88" s="32">
        <f t="shared" si="10"/>
        <v>0.2122013607634787</v>
      </c>
      <c r="DI88" s="26"/>
    </row>
    <row r="89" spans="1:113" x14ac:dyDescent="0.3">
      <c r="A89" s="26">
        <v>0.12999999999999901</v>
      </c>
      <c r="B89" s="26">
        <f t="shared" si="11"/>
        <v>0.87000000000000099</v>
      </c>
      <c r="C89" s="26"/>
      <c r="H89" s="26">
        <v>2.5073590645799962E-2</v>
      </c>
      <c r="I89" s="26">
        <v>4.854257949420003E-2</v>
      </c>
      <c r="K89" s="26">
        <f t="shared" si="6"/>
        <v>0.12999999999999901</v>
      </c>
      <c r="L89" s="26">
        <f t="shared" si="7"/>
        <v>0.87000000000000099</v>
      </c>
      <c r="N89" s="26">
        <f t="shared" si="8"/>
        <v>4.5491610943908044E-2</v>
      </c>
      <c r="Q89" s="32">
        <f t="shared" si="9"/>
        <v>0.150896</v>
      </c>
      <c r="R89" s="32">
        <f t="shared" si="10"/>
        <v>0.2132876249197502</v>
      </c>
      <c r="DI89" s="26"/>
    </row>
    <row r="90" spans="1:113" x14ac:dyDescent="0.3">
      <c r="A90" s="26">
        <v>0.119999999999999</v>
      </c>
      <c r="B90" s="26">
        <f t="shared" si="11"/>
        <v>0.880000000000001</v>
      </c>
      <c r="C90" s="26"/>
      <c r="H90" s="26">
        <v>2.4683068699199961E-2</v>
      </c>
      <c r="I90" s="26">
        <v>4.8870691840800035E-2</v>
      </c>
      <c r="K90" s="26">
        <f t="shared" si="6"/>
        <v>0.119999999999999</v>
      </c>
      <c r="L90" s="26">
        <f t="shared" si="7"/>
        <v>0.880000000000001</v>
      </c>
      <c r="N90" s="26">
        <f t="shared" si="8"/>
        <v>4.5968177063808048E-2</v>
      </c>
      <c r="Q90" s="32">
        <f t="shared" si="9"/>
        <v>0.15080399999999999</v>
      </c>
      <c r="R90" s="32">
        <f t="shared" si="10"/>
        <v>0.21440190545750298</v>
      </c>
      <c r="DI90" s="26"/>
    </row>
    <row r="91" spans="1:113" x14ac:dyDescent="0.3">
      <c r="A91" s="26">
        <v>0.109999999999999</v>
      </c>
      <c r="B91" s="26">
        <f t="shared" si="11"/>
        <v>0.89000000000000101</v>
      </c>
      <c r="C91" s="26"/>
      <c r="H91" s="26">
        <v>2.429254675259996E-2</v>
      </c>
      <c r="I91" s="26">
        <v>4.9198804187400039E-2</v>
      </c>
      <c r="K91" s="26">
        <f t="shared" si="6"/>
        <v>0.109999999999999</v>
      </c>
      <c r="L91" s="26">
        <f t="shared" si="7"/>
        <v>0.89000000000000101</v>
      </c>
      <c r="N91" s="26">
        <f t="shared" si="8"/>
        <v>4.6459115869572055E-2</v>
      </c>
      <c r="Q91" s="32">
        <f t="shared" si="9"/>
        <v>0.15071200000000001</v>
      </c>
      <c r="R91" s="32">
        <f t="shared" si="10"/>
        <v>0.21554376787458285</v>
      </c>
      <c r="DI91" s="26"/>
    </row>
    <row r="92" spans="1:113" x14ac:dyDescent="0.3">
      <c r="A92" s="26">
        <v>9.9999999999999006E-2</v>
      </c>
      <c r="B92" s="26">
        <f t="shared" si="11"/>
        <v>0.90000000000000102</v>
      </c>
      <c r="C92" s="26"/>
      <c r="H92" s="26">
        <v>2.3902024805999962E-2</v>
      </c>
      <c r="I92" s="26">
        <v>4.9526916534000036E-2</v>
      </c>
      <c r="K92" s="26">
        <f t="shared" si="6"/>
        <v>9.9999999999999006E-2</v>
      </c>
      <c r="L92" s="26">
        <f t="shared" si="7"/>
        <v>0.90000000000000102</v>
      </c>
      <c r="N92" s="26">
        <f t="shared" si="8"/>
        <v>4.6964427361200052E-2</v>
      </c>
      <c r="Q92" s="32">
        <f t="shared" si="9"/>
        <v>0.15062</v>
      </c>
      <c r="R92" s="32">
        <f t="shared" si="10"/>
        <v>0.21671277618359294</v>
      </c>
      <c r="DI92" s="26"/>
    </row>
    <row r="93" spans="1:113" x14ac:dyDescent="0.3">
      <c r="A93" s="26">
        <v>8.9999999999998997E-2</v>
      </c>
      <c r="B93" s="26">
        <f t="shared" si="11"/>
        <v>0.91000000000000103</v>
      </c>
      <c r="C93" s="26"/>
      <c r="H93" s="26">
        <v>2.3511502859399961E-2</v>
      </c>
      <c r="I93" s="26">
        <v>4.9855028880600033E-2</v>
      </c>
      <c r="K93" s="26">
        <f t="shared" si="6"/>
        <v>8.9999999999998997E-2</v>
      </c>
      <c r="L93" s="26">
        <f t="shared" si="7"/>
        <v>0.91000000000000103</v>
      </c>
      <c r="N93" s="26">
        <f t="shared" si="8"/>
        <v>4.7484111538692052E-2</v>
      </c>
      <c r="Q93" s="32">
        <f t="shared" si="9"/>
        <v>0.150528</v>
      </c>
      <c r="R93" s="32">
        <f t="shared" si="10"/>
        <v>0.21790849349828484</v>
      </c>
      <c r="DI93" s="26"/>
    </row>
    <row r="94" spans="1:113" x14ac:dyDescent="0.3">
      <c r="A94" s="26">
        <v>7.9999999999999002E-2</v>
      </c>
      <c r="B94" s="26">
        <f t="shared" si="11"/>
        <v>0.92000000000000104</v>
      </c>
      <c r="C94" s="26"/>
      <c r="H94" s="26">
        <v>2.312098091279996E-2</v>
      </c>
      <c r="I94" s="26">
        <v>5.018314122720003E-2</v>
      </c>
      <c r="K94" s="26">
        <f t="shared" si="6"/>
        <v>7.9999999999999002E-2</v>
      </c>
      <c r="L94" s="26">
        <f t="shared" si="7"/>
        <v>0.92000000000000104</v>
      </c>
      <c r="N94" s="26">
        <f t="shared" si="8"/>
        <v>4.8018168402048055E-2</v>
      </c>
      <c r="Q94" s="32">
        <f t="shared" si="9"/>
        <v>0.15043599999999999</v>
      </c>
      <c r="R94" s="32">
        <f t="shared" si="10"/>
        <v>0.21913048259438497</v>
      </c>
      <c r="DI94" s="26"/>
    </row>
    <row r="95" spans="1:113" x14ac:dyDescent="0.3">
      <c r="A95" s="26">
        <v>6.9999999999998994E-2</v>
      </c>
      <c r="B95" s="26">
        <f t="shared" si="11"/>
        <v>0.93000000000000105</v>
      </c>
      <c r="C95" s="26"/>
      <c r="H95" s="26">
        <v>2.2730458966199962E-2</v>
      </c>
      <c r="I95" s="26">
        <v>5.0511253573800041E-2</v>
      </c>
      <c r="K95" s="26">
        <f t="shared" si="6"/>
        <v>6.9999999999998994E-2</v>
      </c>
      <c r="L95" s="26">
        <f t="shared" si="7"/>
        <v>0.93000000000000105</v>
      </c>
      <c r="N95" s="26">
        <f t="shared" si="8"/>
        <v>4.8566597951268067E-2</v>
      </c>
      <c r="Q95" s="32">
        <f t="shared" si="9"/>
        <v>0.15034399999999998</v>
      </c>
      <c r="R95" s="32">
        <f t="shared" si="10"/>
        <v>0.2203783064443233</v>
      </c>
      <c r="DI95" s="26"/>
    </row>
    <row r="96" spans="1:113" x14ac:dyDescent="0.3">
      <c r="A96" s="26">
        <v>5.9999999999999103E-2</v>
      </c>
      <c r="B96" s="26">
        <f t="shared" si="11"/>
        <v>0.94000000000000095</v>
      </c>
      <c r="C96" s="26"/>
      <c r="H96" s="26">
        <v>2.2339937019599965E-2</v>
      </c>
      <c r="I96" s="26">
        <v>5.0839365920400031E-2</v>
      </c>
      <c r="K96" s="26">
        <f t="shared" si="6"/>
        <v>5.9999999999999103E-2</v>
      </c>
      <c r="L96" s="26">
        <f t="shared" si="7"/>
        <v>0.94000000000000095</v>
      </c>
      <c r="N96" s="26">
        <f t="shared" si="8"/>
        <v>4.9129400186352055E-2</v>
      </c>
      <c r="Q96" s="32">
        <f t="shared" si="9"/>
        <v>0.150252</v>
      </c>
      <c r="R96" s="32">
        <f t="shared" si="10"/>
        <v>0.22165152872550203</v>
      </c>
      <c r="DI96" s="26"/>
    </row>
    <row r="97" spans="1:113" x14ac:dyDescent="0.3">
      <c r="A97" s="26">
        <v>4.9999999999998997E-2</v>
      </c>
      <c r="B97" s="26">
        <f t="shared" si="11"/>
        <v>0.95000000000000095</v>
      </c>
      <c r="C97" s="26"/>
      <c r="H97" s="26">
        <v>2.194941507299996E-2</v>
      </c>
      <c r="I97" s="26">
        <v>5.1167478267000029E-2</v>
      </c>
      <c r="K97" s="26">
        <f t="shared" si="6"/>
        <v>4.9999999999998997E-2</v>
      </c>
      <c r="L97" s="26">
        <f t="shared" si="7"/>
        <v>0.95000000000000095</v>
      </c>
      <c r="N97" s="26">
        <f t="shared" si="8"/>
        <v>4.9706575107300054E-2</v>
      </c>
      <c r="Q97" s="32">
        <f t="shared" si="9"/>
        <v>0.15015999999999999</v>
      </c>
      <c r="R97" s="32">
        <f t="shared" si="10"/>
        <v>0.22294971430190275</v>
      </c>
      <c r="DI97" s="26"/>
    </row>
    <row r="98" spans="1:113" x14ac:dyDescent="0.3">
      <c r="A98" s="26">
        <v>3.9999999999999002E-2</v>
      </c>
      <c r="B98" s="26">
        <f t="shared" si="11"/>
        <v>0.96000000000000096</v>
      </c>
      <c r="C98" s="26"/>
      <c r="H98" s="26">
        <v>2.1558893126399959E-2</v>
      </c>
      <c r="I98" s="26">
        <v>5.1495590613600033E-2</v>
      </c>
      <c r="K98" s="26">
        <f t="shared" si="6"/>
        <v>3.9999999999999002E-2</v>
      </c>
      <c r="L98" s="26">
        <f t="shared" si="7"/>
        <v>0.96000000000000096</v>
      </c>
      <c r="N98" s="26">
        <f t="shared" si="8"/>
        <v>5.0298122714112055E-2</v>
      </c>
      <c r="Q98" s="32">
        <f t="shared" si="9"/>
        <v>0.15006799999999998</v>
      </c>
      <c r="R98" s="32">
        <f t="shared" si="10"/>
        <v>0.22427242967897784</v>
      </c>
      <c r="DI98" s="26"/>
    </row>
    <row r="99" spans="1:113" x14ac:dyDescent="0.3">
      <c r="A99" s="26">
        <v>2.9999999999999E-2</v>
      </c>
      <c r="B99" s="26">
        <f t="shared" si="11"/>
        <v>0.97000000000000097</v>
      </c>
      <c r="C99" s="26"/>
      <c r="H99" s="26">
        <v>2.1168371179799961E-2</v>
      </c>
      <c r="I99" s="26">
        <v>5.182370296020003E-2</v>
      </c>
      <c r="K99" s="26">
        <f t="shared" si="6"/>
        <v>2.9999999999999E-2</v>
      </c>
      <c r="L99" s="26">
        <f t="shared" si="7"/>
        <v>0.97000000000000097</v>
      </c>
      <c r="N99" s="26">
        <f t="shared" si="8"/>
        <v>5.0904043006788059E-2</v>
      </c>
      <c r="Q99" s="32">
        <f t="shared" si="9"/>
        <v>0.149976</v>
      </c>
      <c r="R99" s="32">
        <f t="shared" si="10"/>
        <v>0.22561924343191131</v>
      </c>
      <c r="DI99" s="26"/>
    </row>
    <row r="100" spans="1:113" x14ac:dyDescent="0.3">
      <c r="A100" s="26">
        <v>1.9999999999999001E-2</v>
      </c>
      <c r="B100" s="26">
        <f t="shared" si="11"/>
        <v>0.98000000000000098</v>
      </c>
      <c r="C100" s="26"/>
      <c r="H100" s="26">
        <v>2.077784923319996E-2</v>
      </c>
      <c r="I100" s="26">
        <v>5.2151815306800034E-2</v>
      </c>
      <c r="K100" s="26">
        <f t="shared" si="6"/>
        <v>1.9999999999999001E-2</v>
      </c>
      <c r="L100" s="26">
        <f t="shared" si="7"/>
        <v>0.98000000000000098</v>
      </c>
      <c r="N100" s="26">
        <f t="shared" si="8"/>
        <v>5.1524335985328067E-2</v>
      </c>
      <c r="Q100" s="32">
        <f t="shared" si="9"/>
        <v>0.14988399999999999</v>
      </c>
      <c r="R100" s="32">
        <f t="shared" si="10"/>
        <v>0.22698972660745698</v>
      </c>
      <c r="DI100" s="26"/>
    </row>
    <row r="101" spans="1:113" x14ac:dyDescent="0.3">
      <c r="A101" s="26">
        <v>9.9999999999990097E-3</v>
      </c>
      <c r="B101" s="26">
        <f t="shared" si="11"/>
        <v>0.99000000000000099</v>
      </c>
      <c r="C101" s="26"/>
      <c r="H101" s="26">
        <v>2.0387327286599959E-2</v>
      </c>
      <c r="I101" s="26">
        <v>5.2479927653400031E-2</v>
      </c>
      <c r="K101" s="26">
        <f t="shared" si="6"/>
        <v>9.9999999999990097E-3</v>
      </c>
      <c r="L101" s="26">
        <f t="shared" si="7"/>
        <v>0.99000000000000099</v>
      </c>
      <c r="N101" s="26">
        <f t="shared" si="8"/>
        <v>5.2159001649732063E-2</v>
      </c>
      <c r="Q101" s="32">
        <f t="shared" si="9"/>
        <v>0.14979199999999998</v>
      </c>
      <c r="R101" s="32">
        <f t="shared" si="10"/>
        <v>0.22838345309967634</v>
      </c>
      <c r="DI101" s="26"/>
    </row>
    <row r="102" spans="1:113" x14ac:dyDescent="0.3">
      <c r="A102" s="26">
        <v>0</v>
      </c>
      <c r="B102" s="26">
        <f t="shared" si="11"/>
        <v>1</v>
      </c>
      <c r="C102" s="26"/>
      <c r="H102" s="26">
        <v>1.999680534E-2</v>
      </c>
      <c r="I102" s="26">
        <v>5.2808040000000001E-2</v>
      </c>
      <c r="K102" s="26">
        <f t="shared" si="6"/>
        <v>0</v>
      </c>
      <c r="L102" s="26">
        <f t="shared" si="7"/>
        <v>1</v>
      </c>
      <c r="N102" s="26">
        <f t="shared" si="8"/>
        <v>5.2808040000000001E-2</v>
      </c>
      <c r="Q102" s="32">
        <f t="shared" si="9"/>
        <v>0.1497</v>
      </c>
      <c r="R102" s="32">
        <f t="shared" si="10"/>
        <v>0.2298</v>
      </c>
      <c r="DI102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02"/>
  <sheetViews>
    <sheetView topLeftCell="N82" workbookViewId="0">
      <selection activeCell="Q2" sqref="Q2:R102"/>
    </sheetView>
  </sheetViews>
  <sheetFormatPr defaultRowHeight="15.6" x14ac:dyDescent="0.3"/>
  <cols>
    <col min="20" max="21" width="9.81640625" bestFit="1" customWidth="1"/>
  </cols>
  <sheetData>
    <row r="1" spans="1:113" x14ac:dyDescent="0.3">
      <c r="A1" t="s">
        <v>109</v>
      </c>
      <c r="B1" t="s">
        <v>110</v>
      </c>
      <c r="E1" t="s">
        <v>109</v>
      </c>
      <c r="F1" t="s">
        <v>110</v>
      </c>
      <c r="K1" t="s">
        <v>109</v>
      </c>
      <c r="L1" t="s">
        <v>110</v>
      </c>
      <c r="N1" t="s">
        <v>24</v>
      </c>
      <c r="O1" t="s">
        <v>113</v>
      </c>
      <c r="P1" t="s">
        <v>81</v>
      </c>
      <c r="Q1" t="s">
        <v>114</v>
      </c>
      <c r="R1" t="s">
        <v>70</v>
      </c>
    </row>
    <row r="2" spans="1:113" x14ac:dyDescent="0.3">
      <c r="A2" s="26">
        <v>1</v>
      </c>
      <c r="B2" s="26">
        <f>1-A2</f>
        <v>0</v>
      </c>
      <c r="C2" s="26"/>
      <c r="D2" s="26" t="s">
        <v>109</v>
      </c>
      <c r="E2" s="26">
        <v>5.9048999999999997E-2</v>
      </c>
      <c r="F2" s="26">
        <v>2.79207E-2</v>
      </c>
      <c r="G2" s="26"/>
      <c r="H2" s="26">
        <f t="array" ref="H2:I102">MMULT(A2:B102,E2:F3)</f>
        <v>5.9048999999999997E-2</v>
      </c>
      <c r="I2" s="26">
        <v>2.79207E-2</v>
      </c>
      <c r="J2" s="26"/>
      <c r="K2" s="26">
        <f>A2</f>
        <v>1</v>
      </c>
      <c r="L2" s="26">
        <f>B2</f>
        <v>0</v>
      </c>
      <c r="M2" s="26"/>
      <c r="N2" s="26">
        <f>H2*K2+I2*L2</f>
        <v>5.9048999999999997E-2</v>
      </c>
      <c r="O2" s="26">
        <v>0.15890000000000001</v>
      </c>
      <c r="P2" s="26">
        <v>0.1497</v>
      </c>
      <c r="Q2" s="32">
        <f>K2*O$2+L2*P$2</f>
        <v>0.15890000000000001</v>
      </c>
      <c r="R2" s="32">
        <f>SQRT(N2)</f>
        <v>0.24299999999999999</v>
      </c>
      <c r="S2" s="26"/>
      <c r="T2" s="33">
        <v>0.15384000000000003</v>
      </c>
      <c r="U2" s="33">
        <v>0.20433453232383411</v>
      </c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I2" s="26"/>
    </row>
    <row r="3" spans="1:113" x14ac:dyDescent="0.3">
      <c r="A3" s="26">
        <v>0.99</v>
      </c>
      <c r="B3" s="26">
        <f>1-A3</f>
        <v>1.0000000000000009E-2</v>
      </c>
      <c r="C3" s="26"/>
      <c r="D3" s="26" t="s">
        <v>110</v>
      </c>
      <c r="E3" s="26">
        <v>2.79207E-2</v>
      </c>
      <c r="F3" s="26">
        <v>5.2808040000000001E-2</v>
      </c>
      <c r="G3" s="26"/>
      <c r="H3" s="26">
        <v>5.8737717000000002E-2</v>
      </c>
      <c r="I3" s="26">
        <v>2.8169573400000002E-2</v>
      </c>
      <c r="J3" s="26"/>
      <c r="K3" s="26">
        <f t="shared" ref="K3:L66" si="0">A3</f>
        <v>0.99</v>
      </c>
      <c r="L3" s="26">
        <f t="shared" si="0"/>
        <v>1.0000000000000009E-2</v>
      </c>
      <c r="M3" s="26"/>
      <c r="N3" s="26">
        <f t="shared" ref="N3:N66" si="1">H3*K3+I3*L3</f>
        <v>5.8432035564E-2</v>
      </c>
      <c r="O3" s="26"/>
      <c r="P3" s="26"/>
      <c r="Q3" s="32">
        <f t="shared" ref="Q3:Q66" si="2">K3*O$2+L3*P$2</f>
        <v>0.158808</v>
      </c>
      <c r="R3" s="32">
        <f t="shared" ref="R3:R66" si="3">SQRT(N3)</f>
        <v>0.2417271924380871</v>
      </c>
      <c r="S3" s="26"/>
      <c r="T3" s="33">
        <v>0.153748</v>
      </c>
      <c r="U3" s="33">
        <v>0.20433259334721907</v>
      </c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I3" s="26"/>
    </row>
    <row r="4" spans="1:113" x14ac:dyDescent="0.3">
      <c r="A4" s="26">
        <v>0.98</v>
      </c>
      <c r="B4" s="26">
        <f t="shared" ref="B4:B67" si="4">1-A4</f>
        <v>2.0000000000000018E-2</v>
      </c>
      <c r="C4" s="26"/>
      <c r="H4" s="26">
        <v>5.8426433999999999E-2</v>
      </c>
      <c r="I4" s="26">
        <v>2.84184468E-2</v>
      </c>
      <c r="K4" s="26">
        <f t="shared" si="0"/>
        <v>0.98</v>
      </c>
      <c r="L4" s="26">
        <f t="shared" si="0"/>
        <v>2.0000000000000018E-2</v>
      </c>
      <c r="N4" s="26">
        <f t="shared" si="1"/>
        <v>5.7826274255999996E-2</v>
      </c>
      <c r="Q4" s="32">
        <f t="shared" si="2"/>
        <v>0.158716</v>
      </c>
      <c r="R4" s="32">
        <f t="shared" si="3"/>
        <v>0.24047094264380467</v>
      </c>
      <c r="DI4" s="26"/>
    </row>
    <row r="5" spans="1:113" x14ac:dyDescent="0.3">
      <c r="A5" s="26">
        <v>0.97</v>
      </c>
      <c r="B5" s="26">
        <f t="shared" si="4"/>
        <v>3.0000000000000027E-2</v>
      </c>
      <c r="C5" s="26"/>
      <c r="H5" s="26">
        <v>5.8115150999999997E-2</v>
      </c>
      <c r="I5" s="26">
        <v>2.8667320200000002E-2</v>
      </c>
      <c r="K5" s="26">
        <f t="shared" si="0"/>
        <v>0.97</v>
      </c>
      <c r="L5" s="26">
        <f t="shared" si="0"/>
        <v>3.0000000000000027E-2</v>
      </c>
      <c r="N5" s="26">
        <f t="shared" si="1"/>
        <v>5.7231716076E-2</v>
      </c>
      <c r="Q5" s="32">
        <f t="shared" si="2"/>
        <v>0.15862400000000001</v>
      </c>
      <c r="R5" s="32">
        <f t="shared" si="3"/>
        <v>0.23923151146117855</v>
      </c>
      <c r="DI5" s="26"/>
    </row>
    <row r="6" spans="1:113" x14ac:dyDescent="0.3">
      <c r="A6" s="26">
        <v>0.96</v>
      </c>
      <c r="B6" s="26">
        <f t="shared" si="4"/>
        <v>4.0000000000000036E-2</v>
      </c>
      <c r="C6" s="26"/>
      <c r="H6" s="26">
        <v>5.7803867999999994E-2</v>
      </c>
      <c r="I6" s="26">
        <v>2.8916193600000001E-2</v>
      </c>
      <c r="K6" s="26">
        <f t="shared" si="0"/>
        <v>0.96</v>
      </c>
      <c r="L6" s="26">
        <f t="shared" si="0"/>
        <v>4.0000000000000036E-2</v>
      </c>
      <c r="N6" s="26">
        <f t="shared" si="1"/>
        <v>5.6648361023999998E-2</v>
      </c>
      <c r="Q6" s="32">
        <f t="shared" si="2"/>
        <v>0.15853200000000001</v>
      </c>
      <c r="R6" s="32">
        <f t="shared" si="3"/>
        <v>0.23800916163879071</v>
      </c>
      <c r="DI6" s="26"/>
    </row>
    <row r="7" spans="1:113" x14ac:dyDescent="0.3">
      <c r="A7" s="26">
        <v>0.95</v>
      </c>
      <c r="B7" s="26">
        <f t="shared" si="4"/>
        <v>5.0000000000000044E-2</v>
      </c>
      <c r="C7" s="26"/>
      <c r="H7" s="26">
        <v>5.7492584999999999E-2</v>
      </c>
      <c r="I7" s="26">
        <v>2.9165067000000003E-2</v>
      </c>
      <c r="K7" s="26">
        <f t="shared" si="0"/>
        <v>0.95</v>
      </c>
      <c r="L7" s="26">
        <f t="shared" si="0"/>
        <v>5.0000000000000044E-2</v>
      </c>
      <c r="N7" s="26">
        <f t="shared" si="1"/>
        <v>5.6076209099999996E-2</v>
      </c>
      <c r="Q7" s="32">
        <f t="shared" si="2"/>
        <v>0.15844000000000003</v>
      </c>
      <c r="R7" s="32">
        <f t="shared" si="3"/>
        <v>0.23680415769154053</v>
      </c>
      <c r="DI7" s="26"/>
    </row>
    <row r="8" spans="1:113" x14ac:dyDescent="0.3">
      <c r="A8" s="26">
        <v>0.94</v>
      </c>
      <c r="B8" s="26">
        <f t="shared" si="4"/>
        <v>6.0000000000000053E-2</v>
      </c>
      <c r="C8" s="26"/>
      <c r="H8" s="26">
        <v>5.7181301999999996E-2</v>
      </c>
      <c r="I8" s="26">
        <v>2.9413940400000001E-2</v>
      </c>
      <c r="K8" s="26">
        <f t="shared" si="0"/>
        <v>0.94</v>
      </c>
      <c r="L8" s="26">
        <f t="shared" si="0"/>
        <v>6.0000000000000053E-2</v>
      </c>
      <c r="N8" s="26">
        <f t="shared" si="1"/>
        <v>5.5515260303999996E-2</v>
      </c>
      <c r="Q8" s="32">
        <f t="shared" si="2"/>
        <v>0.15834800000000002</v>
      </c>
      <c r="R8" s="32">
        <f t="shared" si="3"/>
        <v>0.23561676575320356</v>
      </c>
      <c r="DI8" s="26"/>
    </row>
    <row r="9" spans="1:113" x14ac:dyDescent="0.3">
      <c r="A9" s="26">
        <v>0.93</v>
      </c>
      <c r="B9" s="26">
        <f t="shared" si="4"/>
        <v>6.9999999999999951E-2</v>
      </c>
      <c r="C9" s="26"/>
      <c r="H9" s="26">
        <v>5.6870019000000001E-2</v>
      </c>
      <c r="I9" s="26">
        <v>2.96628138E-2</v>
      </c>
      <c r="K9" s="26">
        <f t="shared" si="0"/>
        <v>0.93</v>
      </c>
      <c r="L9" s="26">
        <f t="shared" si="0"/>
        <v>6.9999999999999951E-2</v>
      </c>
      <c r="N9" s="26">
        <f t="shared" si="1"/>
        <v>5.4965514636000003E-2</v>
      </c>
      <c r="Q9" s="32">
        <f t="shared" si="2"/>
        <v>0.15825600000000001</v>
      </c>
      <c r="R9" s="32">
        <f t="shared" si="3"/>
        <v>0.23444725341961251</v>
      </c>
      <c r="DI9" s="26"/>
    </row>
    <row r="10" spans="1:113" x14ac:dyDescent="0.3">
      <c r="A10" s="26">
        <v>0.92</v>
      </c>
      <c r="B10" s="26">
        <f t="shared" si="4"/>
        <v>7.999999999999996E-2</v>
      </c>
      <c r="C10" s="26"/>
      <c r="H10" s="26">
        <v>5.6558735999999998E-2</v>
      </c>
      <c r="I10" s="26">
        <v>2.9911687199999995E-2</v>
      </c>
      <c r="K10" s="26">
        <f t="shared" si="0"/>
        <v>0.92</v>
      </c>
      <c r="L10" s="26">
        <f t="shared" si="0"/>
        <v>7.999999999999996E-2</v>
      </c>
      <c r="N10" s="26">
        <f t="shared" si="1"/>
        <v>5.4426972095999997E-2</v>
      </c>
      <c r="Q10" s="32">
        <f t="shared" si="2"/>
        <v>0.158164</v>
      </c>
      <c r="R10" s="32">
        <f t="shared" si="3"/>
        <v>0.23329588958230704</v>
      </c>
      <c r="DI10" s="26"/>
    </row>
    <row r="11" spans="1:113" x14ac:dyDescent="0.3">
      <c r="A11" s="26">
        <v>0.91</v>
      </c>
      <c r="B11" s="26">
        <f t="shared" si="4"/>
        <v>8.9999999999999969E-2</v>
      </c>
      <c r="C11" s="26"/>
      <c r="H11" s="26">
        <v>5.6247452999999996E-2</v>
      </c>
      <c r="I11" s="26">
        <v>3.0160560599999997E-2</v>
      </c>
      <c r="K11" s="26">
        <f t="shared" si="0"/>
        <v>0.91</v>
      </c>
      <c r="L11" s="26">
        <f t="shared" si="0"/>
        <v>8.9999999999999969E-2</v>
      </c>
      <c r="N11" s="26">
        <f t="shared" si="1"/>
        <v>5.3899632683999998E-2</v>
      </c>
      <c r="Q11" s="32">
        <f t="shared" si="2"/>
        <v>0.15807199999999999</v>
      </c>
      <c r="R11" s="32">
        <f t="shared" si="3"/>
        <v>0.23216294425252276</v>
      </c>
      <c r="DI11" s="26"/>
    </row>
    <row r="12" spans="1:113" x14ac:dyDescent="0.3">
      <c r="A12" s="26">
        <v>0.9</v>
      </c>
      <c r="B12" s="26">
        <f t="shared" si="4"/>
        <v>9.9999999999999978E-2</v>
      </c>
      <c r="C12" s="26"/>
      <c r="H12" s="26">
        <v>5.593617E-2</v>
      </c>
      <c r="I12" s="26">
        <v>3.0409433999999999E-2</v>
      </c>
      <c r="K12" s="26">
        <f t="shared" si="0"/>
        <v>0.9</v>
      </c>
      <c r="L12" s="26">
        <f t="shared" si="0"/>
        <v>9.9999999999999978E-2</v>
      </c>
      <c r="N12" s="26">
        <f t="shared" si="1"/>
        <v>5.3383496399999994E-2</v>
      </c>
      <c r="Q12" s="32">
        <f t="shared" si="2"/>
        <v>0.15798000000000001</v>
      </c>
      <c r="R12" s="32">
        <f t="shared" si="3"/>
        <v>0.23104868837541578</v>
      </c>
      <c r="DI12" s="26"/>
    </row>
    <row r="13" spans="1:113" x14ac:dyDescent="0.3">
      <c r="A13" s="26">
        <v>0.89</v>
      </c>
      <c r="B13" s="26">
        <f t="shared" si="4"/>
        <v>0.10999999999999999</v>
      </c>
      <c r="C13" s="26"/>
      <c r="H13" s="26">
        <v>5.5624886999999998E-2</v>
      </c>
      <c r="I13" s="26">
        <v>3.0658307399999998E-2</v>
      </c>
      <c r="K13" s="26">
        <f t="shared" si="0"/>
        <v>0.89</v>
      </c>
      <c r="L13" s="26">
        <f t="shared" si="0"/>
        <v>0.10999999999999999</v>
      </c>
      <c r="N13" s="26">
        <f t="shared" si="1"/>
        <v>5.2878563243999997E-2</v>
      </c>
      <c r="Q13" s="32">
        <f t="shared" si="2"/>
        <v>0.15788800000000003</v>
      </c>
      <c r="R13" s="32">
        <f t="shared" si="3"/>
        <v>0.22995339363444933</v>
      </c>
      <c r="DI13" s="26"/>
    </row>
    <row r="14" spans="1:113" x14ac:dyDescent="0.3">
      <c r="A14" s="26">
        <v>0.88</v>
      </c>
      <c r="B14" s="26">
        <f t="shared" si="4"/>
        <v>0.12</v>
      </c>
      <c r="C14" s="26"/>
      <c r="H14" s="26">
        <v>5.5313603999999995E-2</v>
      </c>
      <c r="I14" s="26">
        <v>3.09071808E-2</v>
      </c>
      <c r="K14" s="26">
        <f t="shared" si="0"/>
        <v>0.88</v>
      </c>
      <c r="L14" s="26">
        <f t="shared" si="0"/>
        <v>0.12</v>
      </c>
      <c r="N14" s="26">
        <f t="shared" si="1"/>
        <v>5.2384833215999994E-2</v>
      </c>
      <c r="Q14" s="32">
        <f t="shared" si="2"/>
        <v>0.15779600000000002</v>
      </c>
      <c r="R14" s="32">
        <f t="shared" si="3"/>
        <v>0.22887733224589979</v>
      </c>
      <c r="DI14" s="26"/>
    </row>
    <row r="15" spans="1:113" x14ac:dyDescent="0.3">
      <c r="A15" s="26">
        <v>0.87</v>
      </c>
      <c r="B15" s="26">
        <f t="shared" si="4"/>
        <v>0.13</v>
      </c>
      <c r="C15" s="26"/>
      <c r="H15" s="26">
        <v>5.5002320999999993E-2</v>
      </c>
      <c r="I15" s="26">
        <v>3.1156054199999998E-2</v>
      </c>
      <c r="K15" s="26">
        <f t="shared" si="0"/>
        <v>0.87</v>
      </c>
      <c r="L15" s="26">
        <f t="shared" si="0"/>
        <v>0.13</v>
      </c>
      <c r="N15" s="26">
        <f t="shared" si="1"/>
        <v>5.1902306315999992E-2</v>
      </c>
      <c r="Q15" s="32">
        <f t="shared" si="2"/>
        <v>0.15770400000000001</v>
      </c>
      <c r="R15" s="32">
        <f t="shared" si="3"/>
        <v>0.22782077674347437</v>
      </c>
      <c r="DI15" s="26"/>
    </row>
    <row r="16" spans="1:113" x14ac:dyDescent="0.3">
      <c r="A16" s="26">
        <v>0.86</v>
      </c>
      <c r="B16" s="26">
        <f t="shared" si="4"/>
        <v>0.14000000000000001</v>
      </c>
      <c r="C16" s="26"/>
      <c r="H16" s="26">
        <v>5.4691037999999997E-2</v>
      </c>
      <c r="I16" s="26">
        <v>3.14049276E-2</v>
      </c>
      <c r="K16" s="26">
        <f t="shared" si="0"/>
        <v>0.86</v>
      </c>
      <c r="L16" s="26">
        <f t="shared" si="0"/>
        <v>0.14000000000000001</v>
      </c>
      <c r="N16" s="26">
        <f t="shared" si="1"/>
        <v>5.1430982543999998E-2</v>
      </c>
      <c r="Q16" s="32">
        <f t="shared" si="2"/>
        <v>0.157612</v>
      </c>
      <c r="R16" s="32">
        <f t="shared" si="3"/>
        <v>0.22678399975306898</v>
      </c>
      <c r="DI16" s="26"/>
    </row>
    <row r="17" spans="1:113" x14ac:dyDescent="0.3">
      <c r="A17" s="26">
        <v>0.85</v>
      </c>
      <c r="B17" s="26">
        <f t="shared" si="4"/>
        <v>0.15000000000000002</v>
      </c>
      <c r="C17" s="26"/>
      <c r="H17" s="26">
        <v>5.4379755000000002E-2</v>
      </c>
      <c r="I17" s="26">
        <v>3.1653801000000002E-2</v>
      </c>
      <c r="K17" s="26">
        <f t="shared" si="0"/>
        <v>0.85</v>
      </c>
      <c r="L17" s="26">
        <f t="shared" si="0"/>
        <v>0.15000000000000002</v>
      </c>
      <c r="N17" s="26">
        <f t="shared" si="1"/>
        <v>5.0970861899999997E-2</v>
      </c>
      <c r="Q17" s="32">
        <f t="shared" si="2"/>
        <v>0.15752000000000002</v>
      </c>
      <c r="R17" s="32">
        <f t="shared" si="3"/>
        <v>0.22576727375773487</v>
      </c>
      <c r="DI17" s="26"/>
    </row>
    <row r="18" spans="1:113" x14ac:dyDescent="0.3">
      <c r="A18" s="26">
        <v>0.84</v>
      </c>
      <c r="B18" s="26">
        <f t="shared" si="4"/>
        <v>0.16000000000000003</v>
      </c>
      <c r="C18" s="26"/>
      <c r="H18" s="26">
        <v>5.4068471999999999E-2</v>
      </c>
      <c r="I18" s="26">
        <v>3.1902674399999997E-2</v>
      </c>
      <c r="K18" s="26">
        <f t="shared" si="0"/>
        <v>0.84</v>
      </c>
      <c r="L18" s="26">
        <f t="shared" si="0"/>
        <v>0.16000000000000003</v>
      </c>
      <c r="N18" s="26">
        <f t="shared" si="1"/>
        <v>5.0521944383999998E-2</v>
      </c>
      <c r="Q18" s="32">
        <f t="shared" si="2"/>
        <v>0.15742800000000001</v>
      </c>
      <c r="R18" s="32">
        <f t="shared" si="3"/>
        <v>0.22477087085296441</v>
      </c>
      <c r="DI18" s="26"/>
    </row>
    <row r="19" spans="1:113" x14ac:dyDescent="0.3">
      <c r="A19" s="26">
        <v>0.83</v>
      </c>
      <c r="B19" s="26">
        <f t="shared" si="4"/>
        <v>0.17000000000000004</v>
      </c>
      <c r="C19" s="26"/>
      <c r="H19" s="26">
        <v>5.3757188999999997E-2</v>
      </c>
      <c r="I19" s="26">
        <v>3.2151547799999999E-2</v>
      </c>
      <c r="K19" s="26">
        <f t="shared" si="0"/>
        <v>0.83</v>
      </c>
      <c r="L19" s="26">
        <f t="shared" si="0"/>
        <v>0.17000000000000004</v>
      </c>
      <c r="N19" s="26">
        <f t="shared" si="1"/>
        <v>5.0084229995999999E-2</v>
      </c>
      <c r="Q19" s="32">
        <f t="shared" si="2"/>
        <v>0.157336</v>
      </c>
      <c r="R19" s="32">
        <f t="shared" si="3"/>
        <v>0.2237950624924509</v>
      </c>
      <c r="DI19" s="26"/>
    </row>
    <row r="20" spans="1:113" x14ac:dyDescent="0.3">
      <c r="A20" s="26">
        <v>0.82</v>
      </c>
      <c r="B20" s="26">
        <f t="shared" si="4"/>
        <v>0.18000000000000005</v>
      </c>
      <c r="C20" s="26"/>
      <c r="H20" s="26">
        <v>5.3445905999999994E-2</v>
      </c>
      <c r="I20" s="26">
        <v>3.2400421200000001E-2</v>
      </c>
      <c r="K20" s="26">
        <f t="shared" si="0"/>
        <v>0.82</v>
      </c>
      <c r="L20" s="26">
        <f t="shared" si="0"/>
        <v>0.18000000000000005</v>
      </c>
      <c r="N20" s="26">
        <f t="shared" si="1"/>
        <v>4.9657718735999994E-2</v>
      </c>
      <c r="Q20" s="32">
        <f t="shared" si="2"/>
        <v>0.15724399999999999</v>
      </c>
      <c r="R20" s="32">
        <f t="shared" si="3"/>
        <v>0.22284011922452382</v>
      </c>
      <c r="DI20" s="26"/>
    </row>
    <row r="21" spans="1:113" x14ac:dyDescent="0.3">
      <c r="A21" s="26">
        <v>0.81</v>
      </c>
      <c r="B21" s="26">
        <f t="shared" si="4"/>
        <v>0.18999999999999995</v>
      </c>
      <c r="C21" s="26"/>
      <c r="H21" s="26">
        <v>5.3134622999999999E-2</v>
      </c>
      <c r="I21" s="26">
        <v>3.2649294600000003E-2</v>
      </c>
      <c r="K21" s="26">
        <f t="shared" si="0"/>
        <v>0.81</v>
      </c>
      <c r="L21" s="26">
        <f t="shared" si="0"/>
        <v>0.18999999999999995</v>
      </c>
      <c r="N21" s="26">
        <f t="shared" si="1"/>
        <v>4.9242410604000003E-2</v>
      </c>
      <c r="Q21" s="32">
        <f t="shared" si="2"/>
        <v>0.15715200000000001</v>
      </c>
      <c r="R21" s="32">
        <f t="shared" si="3"/>
        <v>0.22190631041951017</v>
      </c>
      <c r="DI21" s="26"/>
    </row>
    <row r="22" spans="1:113" x14ac:dyDescent="0.3">
      <c r="A22" s="26">
        <v>0.8</v>
      </c>
      <c r="B22" s="26">
        <f t="shared" si="4"/>
        <v>0.19999999999999996</v>
      </c>
      <c r="C22" s="26"/>
      <c r="H22" s="26">
        <v>5.2823340000000003E-2</v>
      </c>
      <c r="I22" s="26">
        <v>3.2898167999999998E-2</v>
      </c>
      <c r="K22" s="26">
        <f t="shared" si="0"/>
        <v>0.8</v>
      </c>
      <c r="L22" s="26">
        <f t="shared" si="0"/>
        <v>0.19999999999999996</v>
      </c>
      <c r="N22" s="26">
        <f t="shared" si="1"/>
        <v>4.88383056E-2</v>
      </c>
      <c r="Q22" s="32">
        <f t="shared" si="2"/>
        <v>0.15706000000000001</v>
      </c>
      <c r="R22" s="32">
        <f t="shared" si="3"/>
        <v>0.22099390398832272</v>
      </c>
      <c r="DI22" s="26"/>
    </row>
    <row r="23" spans="1:113" x14ac:dyDescent="0.3">
      <c r="A23" s="26">
        <v>0.79</v>
      </c>
      <c r="B23" s="26">
        <f t="shared" si="4"/>
        <v>0.20999999999999996</v>
      </c>
      <c r="C23" s="26"/>
      <c r="H23" s="26">
        <v>5.2512057000000001E-2</v>
      </c>
      <c r="I23" s="26">
        <v>3.31470414E-2</v>
      </c>
      <c r="K23" s="26">
        <f t="shared" si="0"/>
        <v>0.79</v>
      </c>
      <c r="L23" s="26">
        <f t="shared" si="0"/>
        <v>0.20999999999999996</v>
      </c>
      <c r="N23" s="26">
        <f t="shared" si="1"/>
        <v>4.8445403724000004E-2</v>
      </c>
      <c r="Q23" s="32">
        <f t="shared" si="2"/>
        <v>0.156968</v>
      </c>
      <c r="R23" s="32">
        <f t="shared" si="3"/>
        <v>0.22010316609263031</v>
      </c>
      <c r="DI23" s="26"/>
    </row>
    <row r="24" spans="1:113" x14ac:dyDescent="0.3">
      <c r="A24" s="26">
        <v>0.78</v>
      </c>
      <c r="B24" s="26">
        <f t="shared" si="4"/>
        <v>0.21999999999999997</v>
      </c>
      <c r="C24" s="26"/>
      <c r="H24" s="26">
        <v>5.2200773999999998E-2</v>
      </c>
      <c r="I24" s="26">
        <v>3.3395914800000003E-2</v>
      </c>
      <c r="K24" s="26">
        <f t="shared" si="0"/>
        <v>0.78</v>
      </c>
      <c r="L24" s="26">
        <f t="shared" si="0"/>
        <v>0.21999999999999997</v>
      </c>
      <c r="N24" s="26">
        <f t="shared" si="1"/>
        <v>4.8063704976000002E-2</v>
      </c>
      <c r="Q24" s="32">
        <f t="shared" si="2"/>
        <v>0.15687600000000002</v>
      </c>
      <c r="R24" s="32">
        <f t="shared" si="3"/>
        <v>0.21923436084701686</v>
      </c>
      <c r="DI24" s="26"/>
    </row>
    <row r="25" spans="1:113" x14ac:dyDescent="0.3">
      <c r="A25" s="26">
        <v>0.77</v>
      </c>
      <c r="B25" s="26">
        <f t="shared" si="4"/>
        <v>0.22999999999999998</v>
      </c>
      <c r="C25" s="26"/>
      <c r="H25" s="26">
        <v>5.1889490999999996E-2</v>
      </c>
      <c r="I25" s="26">
        <v>3.3644788199999998E-2</v>
      </c>
      <c r="K25" s="26">
        <f t="shared" si="0"/>
        <v>0.77</v>
      </c>
      <c r="L25" s="26">
        <f t="shared" si="0"/>
        <v>0.22999999999999998</v>
      </c>
      <c r="N25" s="26">
        <f t="shared" si="1"/>
        <v>4.7693209355999994E-2</v>
      </c>
      <c r="Q25" s="32">
        <f t="shared" si="2"/>
        <v>0.15678400000000001</v>
      </c>
      <c r="R25" s="32">
        <f t="shared" si="3"/>
        <v>0.21838775001359392</v>
      </c>
      <c r="DI25" s="26"/>
    </row>
    <row r="26" spans="1:113" x14ac:dyDescent="0.3">
      <c r="A26" s="26">
        <v>0.76</v>
      </c>
      <c r="B26" s="26">
        <f t="shared" si="4"/>
        <v>0.24</v>
      </c>
      <c r="C26" s="26"/>
      <c r="H26" s="26">
        <v>5.1578208E-2</v>
      </c>
      <c r="I26" s="26">
        <v>3.38936616E-2</v>
      </c>
      <c r="K26" s="26">
        <f t="shared" si="0"/>
        <v>0.76</v>
      </c>
      <c r="L26" s="26">
        <f t="shared" si="0"/>
        <v>0.24</v>
      </c>
      <c r="N26" s="26">
        <f t="shared" si="1"/>
        <v>4.7333916864E-2</v>
      </c>
      <c r="Q26" s="32">
        <f t="shared" si="2"/>
        <v>0.156692</v>
      </c>
      <c r="R26" s="32">
        <f t="shared" si="3"/>
        <v>0.21756359268958583</v>
      </c>
      <c r="DI26" s="26"/>
    </row>
    <row r="27" spans="1:113" x14ac:dyDescent="0.3">
      <c r="A27" s="26">
        <v>0.75</v>
      </c>
      <c r="B27" s="26">
        <f t="shared" si="4"/>
        <v>0.25</v>
      </c>
      <c r="C27" s="26"/>
      <c r="H27" s="26">
        <v>5.1266924999999998E-2</v>
      </c>
      <c r="I27" s="26">
        <v>3.4142535000000002E-2</v>
      </c>
      <c r="K27" s="26">
        <f t="shared" si="0"/>
        <v>0.75</v>
      </c>
      <c r="L27" s="26">
        <f t="shared" si="0"/>
        <v>0.25</v>
      </c>
      <c r="N27" s="26">
        <f t="shared" si="1"/>
        <v>4.6985827500000001E-2</v>
      </c>
      <c r="Q27" s="32">
        <f t="shared" si="2"/>
        <v>0.15660000000000002</v>
      </c>
      <c r="R27" s="32">
        <f t="shared" si="3"/>
        <v>0.21676214498846424</v>
      </c>
      <c r="DI27" s="26"/>
    </row>
    <row r="28" spans="1:113" x14ac:dyDescent="0.3">
      <c r="A28" s="26">
        <v>0.74</v>
      </c>
      <c r="B28" s="26">
        <f t="shared" si="4"/>
        <v>0.26</v>
      </c>
      <c r="C28" s="26"/>
      <c r="H28" s="26">
        <v>5.0955642000000002E-2</v>
      </c>
      <c r="I28" s="26">
        <v>3.4391408399999997E-2</v>
      </c>
      <c r="K28" s="26">
        <f t="shared" si="0"/>
        <v>0.74</v>
      </c>
      <c r="L28" s="26">
        <f t="shared" si="0"/>
        <v>0.26</v>
      </c>
      <c r="N28" s="26">
        <f t="shared" si="1"/>
        <v>4.6648941264000002E-2</v>
      </c>
      <c r="Q28" s="32">
        <f t="shared" si="2"/>
        <v>0.15650800000000001</v>
      </c>
      <c r="R28" s="32">
        <f t="shared" si="3"/>
        <v>0.21598365971526642</v>
      </c>
      <c r="DI28" s="26"/>
    </row>
    <row r="29" spans="1:113" x14ac:dyDescent="0.3">
      <c r="A29" s="26">
        <v>0.73</v>
      </c>
      <c r="B29" s="26">
        <f t="shared" si="4"/>
        <v>0.27</v>
      </c>
      <c r="C29" s="26"/>
      <c r="H29" s="26">
        <v>5.0644358999999993E-2</v>
      </c>
      <c r="I29" s="26">
        <v>3.4640281799999999E-2</v>
      </c>
      <c r="K29" s="26">
        <f t="shared" si="0"/>
        <v>0.73</v>
      </c>
      <c r="L29" s="26">
        <f t="shared" si="0"/>
        <v>0.27</v>
      </c>
      <c r="N29" s="26">
        <f t="shared" si="1"/>
        <v>4.6323258155999997E-2</v>
      </c>
      <c r="Q29" s="32">
        <f t="shared" si="2"/>
        <v>0.156416</v>
      </c>
      <c r="R29" s="32">
        <f t="shared" si="3"/>
        <v>0.21522838603678651</v>
      </c>
      <c r="DI29" s="26"/>
    </row>
    <row r="30" spans="1:113" x14ac:dyDescent="0.3">
      <c r="A30" s="26">
        <v>0.72</v>
      </c>
      <c r="B30" s="26">
        <f t="shared" si="4"/>
        <v>0.28000000000000003</v>
      </c>
      <c r="C30" s="26"/>
      <c r="H30" s="26">
        <v>5.0333075999999997E-2</v>
      </c>
      <c r="I30" s="26">
        <v>3.4889155200000001E-2</v>
      </c>
      <c r="K30" s="26">
        <f t="shared" si="0"/>
        <v>0.72</v>
      </c>
      <c r="L30" s="26">
        <f t="shared" si="0"/>
        <v>0.28000000000000003</v>
      </c>
      <c r="N30" s="26">
        <f t="shared" si="1"/>
        <v>4.6008778175999999E-2</v>
      </c>
      <c r="Q30" s="32">
        <f t="shared" si="2"/>
        <v>0.15632400000000002</v>
      </c>
      <c r="R30" s="32">
        <f t="shared" si="3"/>
        <v>0.21449656914738752</v>
      </c>
      <c r="DI30" s="26"/>
    </row>
    <row r="31" spans="1:113" x14ac:dyDescent="0.3">
      <c r="A31" s="26">
        <v>0.71</v>
      </c>
      <c r="B31" s="26">
        <f t="shared" si="4"/>
        <v>0.29000000000000004</v>
      </c>
      <c r="C31" s="26"/>
      <c r="H31" s="26">
        <v>5.0021792999999995E-2</v>
      </c>
      <c r="I31" s="26">
        <v>3.5138028599999996E-2</v>
      </c>
      <c r="K31" s="26">
        <f t="shared" si="0"/>
        <v>0.71</v>
      </c>
      <c r="L31" s="26">
        <f t="shared" si="0"/>
        <v>0.29000000000000004</v>
      </c>
      <c r="N31" s="26">
        <f t="shared" si="1"/>
        <v>4.5705501323999996E-2</v>
      </c>
      <c r="Q31" s="32">
        <f t="shared" si="2"/>
        <v>0.15623200000000001</v>
      </c>
      <c r="R31" s="32">
        <f t="shared" si="3"/>
        <v>0.21378844993123458</v>
      </c>
      <c r="DI31" s="26"/>
    </row>
    <row r="32" spans="1:113" x14ac:dyDescent="0.3">
      <c r="A32" s="26">
        <v>0.7</v>
      </c>
      <c r="B32" s="26">
        <f t="shared" si="4"/>
        <v>0.30000000000000004</v>
      </c>
      <c r="C32" s="26"/>
      <c r="H32" s="26">
        <v>4.9710509999999999E-2</v>
      </c>
      <c r="I32" s="26">
        <v>3.5386901999999998E-2</v>
      </c>
      <c r="K32" s="26">
        <f t="shared" si="0"/>
        <v>0.7</v>
      </c>
      <c r="L32" s="26">
        <f t="shared" si="0"/>
        <v>0.30000000000000004</v>
      </c>
      <c r="N32" s="26">
        <f t="shared" si="1"/>
        <v>4.5413427599999993E-2</v>
      </c>
      <c r="Q32" s="32">
        <f t="shared" si="2"/>
        <v>0.15614</v>
      </c>
      <c r="R32" s="32">
        <f t="shared" si="3"/>
        <v>0.21310426462180429</v>
      </c>
      <c r="DI32" s="26"/>
    </row>
    <row r="33" spans="1:113" x14ac:dyDescent="0.3">
      <c r="A33" s="26">
        <v>0.69</v>
      </c>
      <c r="B33" s="26">
        <f t="shared" si="4"/>
        <v>0.31000000000000005</v>
      </c>
      <c r="C33" s="26"/>
      <c r="H33" s="26">
        <v>4.9399227000000004E-2</v>
      </c>
      <c r="I33" s="26">
        <v>3.56357754E-2</v>
      </c>
      <c r="K33" s="26">
        <f t="shared" si="0"/>
        <v>0.69</v>
      </c>
      <c r="L33" s="26">
        <f t="shared" si="0"/>
        <v>0.31000000000000005</v>
      </c>
      <c r="N33" s="26">
        <f t="shared" si="1"/>
        <v>4.5132557003999998E-2</v>
      </c>
      <c r="Q33" s="32">
        <f t="shared" si="2"/>
        <v>0.15604800000000002</v>
      </c>
      <c r="R33" s="32">
        <f t="shared" si="3"/>
        <v>0.2124442444595758</v>
      </c>
      <c r="DI33" s="26"/>
    </row>
    <row r="34" spans="1:113" x14ac:dyDescent="0.3">
      <c r="A34" s="26">
        <v>0.68</v>
      </c>
      <c r="B34" s="26">
        <f t="shared" si="4"/>
        <v>0.31999999999999995</v>
      </c>
      <c r="C34" s="26"/>
      <c r="H34" s="26">
        <v>4.9087943999999994E-2</v>
      </c>
      <c r="I34" s="26">
        <v>3.5884648800000002E-2</v>
      </c>
      <c r="K34" s="26">
        <f t="shared" si="0"/>
        <v>0.68</v>
      </c>
      <c r="L34" s="26">
        <f t="shared" si="0"/>
        <v>0.31999999999999995</v>
      </c>
      <c r="N34" s="26">
        <f t="shared" si="1"/>
        <v>4.4862889535999997E-2</v>
      </c>
      <c r="Q34" s="32">
        <f t="shared" si="2"/>
        <v>0.15595600000000001</v>
      </c>
      <c r="R34" s="32">
        <f t="shared" si="3"/>
        <v>0.21180861534885684</v>
      </c>
      <c r="DI34" s="26"/>
    </row>
    <row r="35" spans="1:113" x14ac:dyDescent="0.3">
      <c r="A35" s="26">
        <v>0.67</v>
      </c>
      <c r="B35" s="26">
        <f t="shared" si="4"/>
        <v>0.32999999999999996</v>
      </c>
      <c r="C35" s="26"/>
      <c r="H35" s="26">
        <v>4.8776660999999999E-2</v>
      </c>
      <c r="I35" s="26">
        <v>3.6133522200000004E-2</v>
      </c>
      <c r="K35" s="26">
        <f t="shared" si="0"/>
        <v>0.67</v>
      </c>
      <c r="L35" s="26">
        <f t="shared" si="0"/>
        <v>0.32999999999999996</v>
      </c>
      <c r="N35" s="26">
        <f t="shared" si="1"/>
        <v>4.4604425195999997E-2</v>
      </c>
      <c r="Q35" s="32">
        <f t="shared" si="2"/>
        <v>0.155864</v>
      </c>
      <c r="R35" s="32">
        <f t="shared" si="3"/>
        <v>0.21119759751474446</v>
      </c>
      <c r="DI35" s="26"/>
    </row>
    <row r="36" spans="1:113" x14ac:dyDescent="0.3">
      <c r="A36" s="26">
        <v>0.66</v>
      </c>
      <c r="B36" s="26">
        <f t="shared" si="4"/>
        <v>0.33999999999999997</v>
      </c>
      <c r="C36" s="26"/>
      <c r="H36" s="26">
        <v>4.8465378000000003E-2</v>
      </c>
      <c r="I36" s="26">
        <v>3.6382395599999999E-2</v>
      </c>
      <c r="K36" s="26">
        <f t="shared" si="0"/>
        <v>0.66</v>
      </c>
      <c r="L36" s="26">
        <f t="shared" si="0"/>
        <v>0.33999999999999997</v>
      </c>
      <c r="N36" s="26">
        <f t="shared" si="1"/>
        <v>4.4357163984000005E-2</v>
      </c>
      <c r="Q36" s="32">
        <f t="shared" si="2"/>
        <v>0.15577199999999999</v>
      </c>
      <c r="R36" s="32">
        <f t="shared" si="3"/>
        <v>0.21061140516125904</v>
      </c>
      <c r="DI36" s="26"/>
    </row>
    <row r="37" spans="1:113" x14ac:dyDescent="0.3">
      <c r="A37" s="26">
        <v>0.65</v>
      </c>
      <c r="B37" s="26">
        <f t="shared" si="4"/>
        <v>0.35</v>
      </c>
      <c r="C37" s="26"/>
      <c r="H37" s="26">
        <v>4.8154095000000001E-2</v>
      </c>
      <c r="I37" s="26">
        <v>3.6631269000000001E-2</v>
      </c>
      <c r="K37" s="26">
        <f t="shared" si="0"/>
        <v>0.65</v>
      </c>
      <c r="L37" s="26">
        <f t="shared" si="0"/>
        <v>0.35</v>
      </c>
      <c r="N37" s="26">
        <f t="shared" si="1"/>
        <v>4.4121105899999999E-2</v>
      </c>
      <c r="Q37" s="32">
        <f t="shared" si="2"/>
        <v>0.15568000000000001</v>
      </c>
      <c r="R37" s="32">
        <f t="shared" si="3"/>
        <v>0.21005024613172915</v>
      </c>
      <c r="DI37" s="26"/>
    </row>
    <row r="38" spans="1:113" x14ac:dyDescent="0.3">
      <c r="A38" s="26">
        <v>0.64</v>
      </c>
      <c r="B38" s="26">
        <f t="shared" si="4"/>
        <v>0.36</v>
      </c>
      <c r="C38" s="26"/>
      <c r="H38" s="26">
        <v>4.7842811999999998E-2</v>
      </c>
      <c r="I38" s="26">
        <v>3.6880142399999996E-2</v>
      </c>
      <c r="K38" s="26">
        <f t="shared" si="0"/>
        <v>0.64</v>
      </c>
      <c r="L38" s="26">
        <f t="shared" si="0"/>
        <v>0.36</v>
      </c>
      <c r="N38" s="26">
        <f t="shared" si="1"/>
        <v>4.3896250944000001E-2</v>
      </c>
      <c r="Q38" s="32">
        <f t="shared" si="2"/>
        <v>0.155588</v>
      </c>
      <c r="R38" s="32">
        <f t="shared" si="3"/>
        <v>0.20951432157253594</v>
      </c>
      <c r="DI38" s="26"/>
    </row>
    <row r="39" spans="1:113" x14ac:dyDescent="0.3">
      <c r="A39" s="26">
        <v>0.63</v>
      </c>
      <c r="B39" s="26">
        <f t="shared" si="4"/>
        <v>0.37</v>
      </c>
      <c r="C39" s="26"/>
      <c r="H39" s="26">
        <v>4.7531528999999996E-2</v>
      </c>
      <c r="I39" s="26">
        <v>3.7129015799999998E-2</v>
      </c>
      <c r="K39" s="26">
        <f t="shared" si="0"/>
        <v>0.63</v>
      </c>
      <c r="L39" s="26">
        <f t="shared" si="0"/>
        <v>0.37</v>
      </c>
      <c r="N39" s="26">
        <f t="shared" si="1"/>
        <v>4.3682599115999997E-2</v>
      </c>
      <c r="Q39" s="32">
        <f t="shared" si="2"/>
        <v>0.15549600000000002</v>
      </c>
      <c r="R39" s="32">
        <f t="shared" si="3"/>
        <v>0.20900382560135114</v>
      </c>
      <c r="DI39" s="26"/>
    </row>
    <row r="40" spans="1:113" x14ac:dyDescent="0.3">
      <c r="A40" s="26">
        <v>0.62</v>
      </c>
      <c r="B40" s="26">
        <f t="shared" si="4"/>
        <v>0.38</v>
      </c>
      <c r="C40" s="26"/>
      <c r="H40" s="26">
        <v>4.7220246E-2</v>
      </c>
      <c r="I40" s="26">
        <v>3.73778892E-2</v>
      </c>
      <c r="K40" s="26">
        <f t="shared" si="0"/>
        <v>0.62</v>
      </c>
      <c r="L40" s="26">
        <f t="shared" si="0"/>
        <v>0.38</v>
      </c>
      <c r="N40" s="26">
        <f t="shared" si="1"/>
        <v>4.3480150416E-2</v>
      </c>
      <c r="Q40" s="32">
        <f t="shared" si="2"/>
        <v>0.15540400000000001</v>
      </c>
      <c r="R40" s="32">
        <f t="shared" si="3"/>
        <v>0.20851894498102563</v>
      </c>
      <c r="DI40" s="26"/>
    </row>
    <row r="41" spans="1:113" x14ac:dyDescent="0.3">
      <c r="A41" s="26">
        <v>0.61</v>
      </c>
      <c r="B41" s="26">
        <f t="shared" si="4"/>
        <v>0.39</v>
      </c>
      <c r="C41" s="26"/>
      <c r="H41" s="26">
        <v>4.6908962999999998E-2</v>
      </c>
      <c r="I41" s="26">
        <v>3.7626762600000002E-2</v>
      </c>
      <c r="K41" s="26">
        <f t="shared" si="0"/>
        <v>0.61</v>
      </c>
      <c r="L41" s="26">
        <f t="shared" si="0"/>
        <v>0.39</v>
      </c>
      <c r="N41" s="26">
        <f t="shared" si="1"/>
        <v>4.3288904843999998E-2</v>
      </c>
      <c r="Q41" s="32">
        <f t="shared" si="2"/>
        <v>0.15531200000000001</v>
      </c>
      <c r="R41" s="32">
        <f t="shared" si="3"/>
        <v>0.20805985880029815</v>
      </c>
      <c r="DI41" s="26"/>
    </row>
    <row r="42" spans="1:113" x14ac:dyDescent="0.3">
      <c r="A42" s="26">
        <v>0.6</v>
      </c>
      <c r="B42" s="26">
        <f t="shared" si="4"/>
        <v>0.4</v>
      </c>
      <c r="C42" s="26"/>
      <c r="H42" s="26">
        <v>4.6597680000000002E-2</v>
      </c>
      <c r="I42" s="26">
        <v>3.7875636000000004E-2</v>
      </c>
      <c r="K42" s="26">
        <f t="shared" si="0"/>
        <v>0.6</v>
      </c>
      <c r="L42" s="26">
        <f t="shared" si="0"/>
        <v>0.4</v>
      </c>
      <c r="N42" s="26">
        <f t="shared" si="1"/>
        <v>4.3108862400000003E-2</v>
      </c>
      <c r="Q42" s="32">
        <f t="shared" si="2"/>
        <v>0.15522000000000002</v>
      </c>
      <c r="R42" s="32">
        <f t="shared" si="3"/>
        <v>0.2076267381625016</v>
      </c>
      <c r="DI42" s="26"/>
    </row>
    <row r="43" spans="1:113" x14ac:dyDescent="0.3">
      <c r="A43" s="26">
        <v>0.59</v>
      </c>
      <c r="B43" s="26">
        <f t="shared" si="4"/>
        <v>0.41000000000000003</v>
      </c>
      <c r="C43" s="26"/>
      <c r="H43" s="26">
        <v>4.6286396999999993E-2</v>
      </c>
      <c r="I43" s="26">
        <v>3.8124509400000006E-2</v>
      </c>
      <c r="K43" s="26">
        <f t="shared" si="0"/>
        <v>0.59</v>
      </c>
      <c r="L43" s="26">
        <f t="shared" si="0"/>
        <v>0.41000000000000003</v>
      </c>
      <c r="N43" s="26">
        <f t="shared" si="1"/>
        <v>4.2940023083999995E-2</v>
      </c>
      <c r="Q43" s="32">
        <f t="shared" si="2"/>
        <v>0.15512800000000002</v>
      </c>
      <c r="R43" s="32">
        <f t="shared" si="3"/>
        <v>0.20721974588344613</v>
      </c>
      <c r="DI43" s="26"/>
    </row>
    <row r="44" spans="1:113" x14ac:dyDescent="0.3">
      <c r="A44" s="26">
        <v>0.57999999999999996</v>
      </c>
      <c r="B44" s="26">
        <f t="shared" si="4"/>
        <v>0.42000000000000004</v>
      </c>
      <c r="C44" s="26"/>
      <c r="H44" s="26">
        <v>4.5975113999999997E-2</v>
      </c>
      <c r="I44" s="26">
        <v>3.8373382800000001E-2</v>
      </c>
      <c r="K44" s="26">
        <f t="shared" si="0"/>
        <v>0.57999999999999996</v>
      </c>
      <c r="L44" s="26">
        <f t="shared" si="0"/>
        <v>0.42000000000000004</v>
      </c>
      <c r="N44" s="26">
        <f t="shared" si="1"/>
        <v>4.2782386896000002E-2</v>
      </c>
      <c r="Q44" s="32">
        <f t="shared" si="2"/>
        <v>0.15503600000000001</v>
      </c>
      <c r="R44" s="32">
        <f t="shared" si="3"/>
        <v>0.20683903619964972</v>
      </c>
      <c r="DI44" s="26"/>
    </row>
    <row r="45" spans="1:113" x14ac:dyDescent="0.3">
      <c r="A45" s="26">
        <v>0.56999999999999995</v>
      </c>
      <c r="B45" s="26">
        <f t="shared" si="4"/>
        <v>0.43000000000000005</v>
      </c>
      <c r="C45" s="26"/>
      <c r="H45" s="26">
        <v>4.5663830999999995E-2</v>
      </c>
      <c r="I45" s="26">
        <v>3.8622256199999996E-2</v>
      </c>
      <c r="K45" s="26">
        <f t="shared" si="0"/>
        <v>0.56999999999999995</v>
      </c>
      <c r="L45" s="26">
        <f t="shared" si="0"/>
        <v>0.43000000000000005</v>
      </c>
      <c r="N45" s="26">
        <f t="shared" si="1"/>
        <v>4.2635953835999996E-2</v>
      </c>
      <c r="Q45" s="32">
        <f t="shared" si="2"/>
        <v>0.15494400000000003</v>
      </c>
      <c r="R45" s="32">
        <f t="shared" si="3"/>
        <v>0.20648475448807352</v>
      </c>
      <c r="DI45" s="26"/>
    </row>
    <row r="46" spans="1:113" x14ac:dyDescent="0.3">
      <c r="A46" s="26">
        <v>0.56000000000000005</v>
      </c>
      <c r="B46" s="26">
        <f t="shared" si="4"/>
        <v>0.43999999999999995</v>
      </c>
      <c r="C46" s="26"/>
      <c r="H46" s="26">
        <v>4.5352547999999999E-2</v>
      </c>
      <c r="I46" s="26">
        <v>3.8871129599999998E-2</v>
      </c>
      <c r="K46" s="26">
        <f t="shared" si="0"/>
        <v>0.56000000000000005</v>
      </c>
      <c r="L46" s="26">
        <f t="shared" si="0"/>
        <v>0.43999999999999995</v>
      </c>
      <c r="N46" s="26">
        <f t="shared" si="1"/>
        <v>4.2500723903999997E-2</v>
      </c>
      <c r="Q46" s="32">
        <f t="shared" si="2"/>
        <v>0.15485200000000002</v>
      </c>
      <c r="R46" s="32">
        <f t="shared" si="3"/>
        <v>0.20615703699849783</v>
      </c>
      <c r="DI46" s="26"/>
    </row>
    <row r="47" spans="1:113" x14ac:dyDescent="0.3">
      <c r="A47" s="26">
        <v>0.55000000000000004</v>
      </c>
      <c r="B47" s="26">
        <f t="shared" si="4"/>
        <v>0.44999999999999996</v>
      </c>
      <c r="C47" s="26"/>
      <c r="H47" s="26">
        <v>4.5041265000000004E-2</v>
      </c>
      <c r="I47" s="26">
        <v>3.9120003E-2</v>
      </c>
      <c r="K47" s="26">
        <f t="shared" si="0"/>
        <v>0.55000000000000004</v>
      </c>
      <c r="L47" s="26">
        <f t="shared" si="0"/>
        <v>0.44999999999999996</v>
      </c>
      <c r="N47" s="26">
        <f t="shared" si="1"/>
        <v>4.2376697099999999E-2</v>
      </c>
      <c r="Q47" s="32">
        <f t="shared" si="2"/>
        <v>0.15476000000000001</v>
      </c>
      <c r="R47" s="32">
        <f t="shared" si="3"/>
        <v>0.2058560105996422</v>
      </c>
      <c r="DI47" s="26"/>
    </row>
    <row r="48" spans="1:113" x14ac:dyDescent="0.3">
      <c r="A48" s="26">
        <v>0.54</v>
      </c>
      <c r="B48" s="26">
        <f t="shared" si="4"/>
        <v>0.45999999999999996</v>
      </c>
      <c r="C48" s="26"/>
      <c r="H48" s="26">
        <v>4.4729982000000001E-2</v>
      </c>
      <c r="I48" s="26">
        <v>3.9368876400000002E-2</v>
      </c>
      <c r="K48" s="26">
        <f t="shared" si="0"/>
        <v>0.54</v>
      </c>
      <c r="L48" s="26">
        <f t="shared" si="0"/>
        <v>0.45999999999999996</v>
      </c>
      <c r="N48" s="26">
        <f t="shared" si="1"/>
        <v>4.2263873424000002E-2</v>
      </c>
      <c r="Q48" s="32">
        <f t="shared" si="2"/>
        <v>0.154668</v>
      </c>
      <c r="R48" s="32">
        <f t="shared" si="3"/>
        <v>0.20558179254009826</v>
      </c>
      <c r="DI48" s="26"/>
    </row>
    <row r="49" spans="1:113" x14ac:dyDescent="0.3">
      <c r="A49" s="26">
        <v>0.53</v>
      </c>
      <c r="B49" s="26">
        <f t="shared" si="4"/>
        <v>0.47</v>
      </c>
      <c r="C49" s="26"/>
      <c r="H49" s="26">
        <v>4.4418698999999999E-2</v>
      </c>
      <c r="I49" s="26">
        <v>3.9617749799999998E-2</v>
      </c>
      <c r="K49" s="26">
        <f t="shared" si="0"/>
        <v>0.53</v>
      </c>
      <c r="L49" s="26">
        <f t="shared" si="0"/>
        <v>0.47</v>
      </c>
      <c r="N49" s="26">
        <f t="shared" si="1"/>
        <v>4.2162252875999999E-2</v>
      </c>
      <c r="Q49" s="32">
        <f t="shared" si="2"/>
        <v>0.15457599999999999</v>
      </c>
      <c r="R49" s="32">
        <f t="shared" si="3"/>
        <v>0.20533449022509589</v>
      </c>
      <c r="DI49" s="26"/>
    </row>
    <row r="50" spans="1:113" x14ac:dyDescent="0.3">
      <c r="A50" s="26">
        <v>0.52</v>
      </c>
      <c r="B50" s="26">
        <f t="shared" si="4"/>
        <v>0.48</v>
      </c>
      <c r="C50" s="26"/>
      <c r="H50" s="26">
        <v>4.4107415999999997E-2</v>
      </c>
      <c r="I50" s="26">
        <v>3.98666232E-2</v>
      </c>
      <c r="K50" s="26">
        <f t="shared" si="0"/>
        <v>0.52</v>
      </c>
      <c r="L50" s="26">
        <f t="shared" si="0"/>
        <v>0.48</v>
      </c>
      <c r="N50" s="26">
        <f t="shared" si="1"/>
        <v>4.2071835456000004E-2</v>
      </c>
      <c r="Q50" s="32">
        <f t="shared" si="2"/>
        <v>0.15448400000000001</v>
      </c>
      <c r="R50" s="32">
        <f t="shared" si="3"/>
        <v>0.20511420101007147</v>
      </c>
      <c r="DI50" s="26"/>
    </row>
    <row r="51" spans="1:113" x14ac:dyDescent="0.3">
      <c r="A51" s="26">
        <v>0.51</v>
      </c>
      <c r="B51" s="26">
        <f t="shared" si="4"/>
        <v>0.49</v>
      </c>
      <c r="C51" s="26"/>
      <c r="H51" s="26">
        <v>4.3796133000000001E-2</v>
      </c>
      <c r="I51" s="26">
        <v>4.0115496599999995E-2</v>
      </c>
      <c r="K51" s="26">
        <f t="shared" si="0"/>
        <v>0.51</v>
      </c>
      <c r="L51" s="26">
        <f t="shared" si="0"/>
        <v>0.49</v>
      </c>
      <c r="N51" s="26">
        <f t="shared" si="1"/>
        <v>4.1992621164000002E-2</v>
      </c>
      <c r="Q51" s="32">
        <f t="shared" si="2"/>
        <v>0.15439200000000003</v>
      </c>
      <c r="R51" s="32">
        <f t="shared" si="3"/>
        <v>0.20492101201194571</v>
      </c>
      <c r="DI51" s="26"/>
    </row>
    <row r="52" spans="1:113" x14ac:dyDescent="0.3">
      <c r="A52" s="26">
        <v>0.5</v>
      </c>
      <c r="B52" s="26">
        <f t="shared" si="4"/>
        <v>0.5</v>
      </c>
      <c r="C52" s="26"/>
      <c r="H52" s="26">
        <v>4.3484849999999999E-2</v>
      </c>
      <c r="I52" s="26">
        <v>4.0364369999999997E-2</v>
      </c>
      <c r="K52" s="26">
        <f t="shared" si="0"/>
        <v>0.5</v>
      </c>
      <c r="L52" s="26">
        <f t="shared" si="0"/>
        <v>0.5</v>
      </c>
      <c r="N52" s="26">
        <f t="shared" si="1"/>
        <v>4.1924610000000001E-2</v>
      </c>
      <c r="Q52" s="32">
        <f t="shared" si="2"/>
        <v>0.15429999999999999</v>
      </c>
      <c r="R52" s="32">
        <f t="shared" si="3"/>
        <v>0.20475499993895144</v>
      </c>
      <c r="DI52" s="26"/>
    </row>
    <row r="53" spans="1:113" x14ac:dyDescent="0.3">
      <c r="A53" s="26">
        <v>0.49</v>
      </c>
      <c r="B53" s="26">
        <f t="shared" si="4"/>
        <v>0.51</v>
      </c>
      <c r="C53" s="26"/>
      <c r="H53" s="26">
        <v>4.3173566999999996E-2</v>
      </c>
      <c r="I53" s="26">
        <v>4.0613243399999999E-2</v>
      </c>
      <c r="K53" s="26">
        <f t="shared" si="0"/>
        <v>0.49</v>
      </c>
      <c r="L53" s="26">
        <f t="shared" si="0"/>
        <v>0.51</v>
      </c>
      <c r="N53" s="26">
        <f t="shared" si="1"/>
        <v>4.1867801964000001E-2</v>
      </c>
      <c r="Q53" s="32">
        <f t="shared" si="2"/>
        <v>0.15420800000000001</v>
      </c>
      <c r="R53" s="32">
        <f t="shared" si="3"/>
        <v>0.20461623093977663</v>
      </c>
      <c r="DI53" s="26"/>
    </row>
    <row r="54" spans="1:113" x14ac:dyDescent="0.3">
      <c r="A54" s="26">
        <v>0.48</v>
      </c>
      <c r="B54" s="26">
        <f t="shared" si="4"/>
        <v>0.52</v>
      </c>
      <c r="C54" s="26"/>
      <c r="H54" s="26">
        <v>4.2862284E-2</v>
      </c>
      <c r="I54" s="26">
        <v>4.0862116800000001E-2</v>
      </c>
      <c r="K54" s="26">
        <f t="shared" si="0"/>
        <v>0.48</v>
      </c>
      <c r="L54" s="26">
        <f t="shared" si="0"/>
        <v>0.52</v>
      </c>
      <c r="N54" s="26">
        <f t="shared" si="1"/>
        <v>4.1822197056000002E-2</v>
      </c>
      <c r="Q54" s="32">
        <f t="shared" si="2"/>
        <v>0.154116</v>
      </c>
      <c r="R54" s="32">
        <f t="shared" si="3"/>
        <v>0.2045047604727088</v>
      </c>
      <c r="DI54" s="26"/>
    </row>
    <row r="55" spans="1:113" x14ac:dyDescent="0.3">
      <c r="A55" s="26">
        <v>0.47</v>
      </c>
      <c r="B55" s="26">
        <f t="shared" si="4"/>
        <v>0.53</v>
      </c>
      <c r="C55" s="26"/>
      <c r="H55" s="26">
        <v>4.2551000999999998E-2</v>
      </c>
      <c r="I55" s="26">
        <v>4.1110990200000003E-2</v>
      </c>
      <c r="K55" s="26">
        <f t="shared" si="0"/>
        <v>0.47</v>
      </c>
      <c r="L55" s="26">
        <f t="shared" si="0"/>
        <v>0.53</v>
      </c>
      <c r="N55" s="26">
        <f t="shared" si="1"/>
        <v>4.1787795276000003E-2</v>
      </c>
      <c r="Q55" s="32">
        <f t="shared" si="2"/>
        <v>0.15402399999999999</v>
      </c>
      <c r="R55" s="32">
        <f t="shared" si="3"/>
        <v>0.20442063319537979</v>
      </c>
      <c r="DI55" s="26"/>
    </row>
    <row r="56" spans="1:113" x14ac:dyDescent="0.3">
      <c r="A56" s="26">
        <v>0.46</v>
      </c>
      <c r="B56" s="26">
        <f t="shared" si="4"/>
        <v>0.54</v>
      </c>
      <c r="C56" s="26"/>
      <c r="H56" s="26">
        <v>4.2239717999999996E-2</v>
      </c>
      <c r="I56" s="26">
        <v>4.1359863600000005E-2</v>
      </c>
      <c r="K56" s="26">
        <f t="shared" si="0"/>
        <v>0.46</v>
      </c>
      <c r="L56" s="26">
        <f t="shared" si="0"/>
        <v>0.54</v>
      </c>
      <c r="N56" s="26">
        <f t="shared" si="1"/>
        <v>4.1764596624000005E-2</v>
      </c>
      <c r="Q56" s="32">
        <f t="shared" si="2"/>
        <v>0.15393200000000001</v>
      </c>
      <c r="R56" s="32">
        <f t="shared" si="3"/>
        <v>0.20436388287561968</v>
      </c>
      <c r="DI56" s="26"/>
    </row>
    <row r="57" spans="1:113" x14ac:dyDescent="0.3">
      <c r="A57" s="26">
        <v>0.45</v>
      </c>
      <c r="B57" s="26">
        <f t="shared" si="4"/>
        <v>0.55000000000000004</v>
      </c>
      <c r="C57" s="26"/>
      <c r="H57" s="26">
        <v>4.1928435E-2</v>
      </c>
      <c r="I57" s="26">
        <v>4.1608737000000007E-2</v>
      </c>
      <c r="K57" s="26">
        <f t="shared" si="0"/>
        <v>0.45</v>
      </c>
      <c r="L57" s="26">
        <f t="shared" si="0"/>
        <v>0.55000000000000004</v>
      </c>
      <c r="N57" s="26">
        <f t="shared" si="1"/>
        <v>4.1752601100000009E-2</v>
      </c>
      <c r="Q57" s="32">
        <f t="shared" si="2"/>
        <v>0.15384000000000003</v>
      </c>
      <c r="R57" s="32">
        <f t="shared" si="3"/>
        <v>0.20433453232383411</v>
      </c>
      <c r="DI57" s="26"/>
    </row>
    <row r="58" spans="1:113" x14ac:dyDescent="0.3">
      <c r="A58" s="26">
        <v>0.44</v>
      </c>
      <c r="B58" s="26">
        <f t="shared" si="4"/>
        <v>0.56000000000000005</v>
      </c>
      <c r="C58" s="26"/>
      <c r="H58" s="26">
        <v>4.1617151999999998E-2</v>
      </c>
      <c r="I58" s="26">
        <v>4.1857610400000002E-2</v>
      </c>
      <c r="K58" s="26">
        <f t="shared" si="0"/>
        <v>0.44</v>
      </c>
      <c r="L58" s="26">
        <f t="shared" si="0"/>
        <v>0.56000000000000005</v>
      </c>
      <c r="N58" s="26">
        <f t="shared" si="1"/>
        <v>4.1751808703999999E-2</v>
      </c>
      <c r="Q58" s="32">
        <f t="shared" si="2"/>
        <v>0.153748</v>
      </c>
      <c r="R58" s="32">
        <f t="shared" si="3"/>
        <v>0.20433259334721907</v>
      </c>
      <c r="DI58" s="26"/>
    </row>
    <row r="59" spans="1:113" x14ac:dyDescent="0.3">
      <c r="A59" s="26">
        <v>0.42999999999999899</v>
      </c>
      <c r="B59" s="26">
        <f t="shared" si="4"/>
        <v>0.57000000000000095</v>
      </c>
      <c r="C59" s="26"/>
      <c r="H59" s="26">
        <v>4.1305868999999967E-2</v>
      </c>
      <c r="I59" s="26">
        <v>4.2106483800000025E-2</v>
      </c>
      <c r="K59" s="26">
        <f t="shared" si="0"/>
        <v>0.42999999999999899</v>
      </c>
      <c r="L59" s="26">
        <f t="shared" si="0"/>
        <v>0.57000000000000095</v>
      </c>
      <c r="N59" s="26">
        <f t="shared" si="1"/>
        <v>4.1762219436000003E-2</v>
      </c>
      <c r="Q59" s="32">
        <f t="shared" si="2"/>
        <v>0.15365599999999999</v>
      </c>
      <c r="R59" s="32">
        <f t="shared" si="3"/>
        <v>0.20435806672602871</v>
      </c>
      <c r="DI59" s="26"/>
    </row>
    <row r="60" spans="1:113" x14ac:dyDescent="0.3">
      <c r="A60" s="26">
        <v>0.41999999999999899</v>
      </c>
      <c r="B60" s="26">
        <f t="shared" si="4"/>
        <v>0.58000000000000096</v>
      </c>
      <c r="C60" s="26"/>
      <c r="H60" s="26">
        <v>4.0994585999999972E-2</v>
      </c>
      <c r="I60" s="26">
        <v>4.2355357200000027E-2</v>
      </c>
      <c r="K60" s="26">
        <f t="shared" si="0"/>
        <v>0.41999999999999899</v>
      </c>
      <c r="L60" s="26">
        <f t="shared" si="0"/>
        <v>0.58000000000000096</v>
      </c>
      <c r="N60" s="26">
        <f t="shared" si="1"/>
        <v>4.1783833296000002E-2</v>
      </c>
      <c r="Q60" s="32">
        <f t="shared" si="2"/>
        <v>0.15356399999999998</v>
      </c>
      <c r="R60" s="32">
        <f t="shared" si="3"/>
        <v>0.20441094221200587</v>
      </c>
      <c r="DI60" s="26"/>
    </row>
    <row r="61" spans="1:113" x14ac:dyDescent="0.3">
      <c r="A61" s="26">
        <v>0.40999999999999898</v>
      </c>
      <c r="B61" s="26">
        <f t="shared" si="4"/>
        <v>0.59000000000000097</v>
      </c>
      <c r="C61" s="26"/>
      <c r="H61" s="26">
        <v>4.0683302999999962E-2</v>
      </c>
      <c r="I61" s="26">
        <v>4.2604230600000022E-2</v>
      </c>
      <c r="K61" s="26">
        <f t="shared" si="0"/>
        <v>0.40999999999999898</v>
      </c>
      <c r="L61" s="26">
        <f t="shared" si="0"/>
        <v>0.59000000000000097</v>
      </c>
      <c r="N61" s="26">
        <f t="shared" si="1"/>
        <v>4.1816650284000001E-2</v>
      </c>
      <c r="Q61" s="32">
        <f t="shared" si="2"/>
        <v>0.153472</v>
      </c>
      <c r="R61" s="32">
        <f t="shared" si="3"/>
        <v>0.20449119854898401</v>
      </c>
      <c r="DI61" s="26"/>
    </row>
    <row r="62" spans="1:113" x14ac:dyDescent="0.3">
      <c r="A62" s="26">
        <v>0.39999999999999902</v>
      </c>
      <c r="B62" s="26">
        <f t="shared" si="4"/>
        <v>0.60000000000000098</v>
      </c>
      <c r="C62" s="26"/>
      <c r="H62" s="26">
        <v>4.0372019999999967E-2</v>
      </c>
      <c r="I62" s="26">
        <v>4.2853104000000024E-2</v>
      </c>
      <c r="K62" s="26">
        <f t="shared" si="0"/>
        <v>0.39999999999999902</v>
      </c>
      <c r="L62" s="26">
        <f t="shared" si="0"/>
        <v>0.60000000000000098</v>
      </c>
      <c r="N62" s="26">
        <f t="shared" si="1"/>
        <v>4.1860670400000008E-2</v>
      </c>
      <c r="Q62" s="32">
        <f t="shared" si="2"/>
        <v>0.15338000000000002</v>
      </c>
      <c r="R62" s="32">
        <f t="shared" si="3"/>
        <v>0.20459880351556314</v>
      </c>
      <c r="DI62" s="26"/>
    </row>
    <row r="63" spans="1:113" x14ac:dyDescent="0.3">
      <c r="A63" s="26">
        <v>0.38999999999999901</v>
      </c>
      <c r="B63" s="26">
        <f t="shared" si="4"/>
        <v>0.61000000000000099</v>
      </c>
      <c r="C63" s="26"/>
      <c r="H63" s="26">
        <v>4.0060736999999971E-2</v>
      </c>
      <c r="I63" s="26">
        <v>4.3101977400000026E-2</v>
      </c>
      <c r="K63" s="26">
        <f t="shared" si="0"/>
        <v>0.38999999999999901</v>
      </c>
      <c r="L63" s="26">
        <f t="shared" si="0"/>
        <v>0.61000000000000099</v>
      </c>
      <c r="N63" s="26">
        <f t="shared" si="1"/>
        <v>4.1915893644000009E-2</v>
      </c>
      <c r="Q63" s="32">
        <f t="shared" si="2"/>
        <v>0.15328799999999998</v>
      </c>
      <c r="R63" s="32">
        <f t="shared" si="3"/>
        <v>0.20473371398966025</v>
      </c>
      <c r="DI63" s="26"/>
    </row>
    <row r="64" spans="1:113" x14ac:dyDescent="0.3">
      <c r="A64" s="26">
        <v>0.37999999999999901</v>
      </c>
      <c r="B64" s="26">
        <f t="shared" si="4"/>
        <v>0.62000000000000099</v>
      </c>
      <c r="C64" s="26"/>
      <c r="H64" s="26">
        <v>3.9749453999999969E-2</v>
      </c>
      <c r="I64" s="26">
        <v>4.3350850800000021E-2</v>
      </c>
      <c r="K64" s="26">
        <f t="shared" si="0"/>
        <v>0.37999999999999901</v>
      </c>
      <c r="L64" s="26">
        <f t="shared" si="0"/>
        <v>0.62000000000000099</v>
      </c>
      <c r="N64" s="26">
        <f t="shared" si="1"/>
        <v>4.1982320016000003E-2</v>
      </c>
      <c r="Q64" s="32">
        <f t="shared" si="2"/>
        <v>0.153196</v>
      </c>
      <c r="R64" s="32">
        <f t="shared" si="3"/>
        <v>0.20489587603463374</v>
      </c>
      <c r="DI64" s="26"/>
    </row>
    <row r="65" spans="1:113" x14ac:dyDescent="0.3">
      <c r="A65" s="26">
        <v>0.369999999999999</v>
      </c>
      <c r="B65" s="26">
        <f t="shared" si="4"/>
        <v>0.630000000000001</v>
      </c>
      <c r="C65" s="26"/>
      <c r="H65" s="26">
        <v>3.9438170999999966E-2</v>
      </c>
      <c r="I65" s="26">
        <v>4.3599724200000023E-2</v>
      </c>
      <c r="K65" s="26">
        <f t="shared" si="0"/>
        <v>0.369999999999999</v>
      </c>
      <c r="L65" s="26">
        <f t="shared" si="0"/>
        <v>0.630000000000001</v>
      </c>
      <c r="N65" s="26">
        <f t="shared" si="1"/>
        <v>4.2059949516000006E-2</v>
      </c>
      <c r="Q65" s="32">
        <f t="shared" si="2"/>
        <v>0.15310399999999999</v>
      </c>
      <c r="R65" s="32">
        <f t="shared" si="3"/>
        <v>0.20508522500658111</v>
      </c>
      <c r="DI65" s="26"/>
    </row>
    <row r="66" spans="1:113" x14ac:dyDescent="0.3">
      <c r="A66" s="26">
        <v>0.35999999999999899</v>
      </c>
      <c r="B66" s="26">
        <f t="shared" si="4"/>
        <v>0.64000000000000101</v>
      </c>
      <c r="C66" s="26"/>
      <c r="H66" s="26">
        <v>3.9126887999999971E-2</v>
      </c>
      <c r="I66" s="26">
        <v>4.3848597600000025E-2</v>
      </c>
      <c r="K66" s="26">
        <f t="shared" si="0"/>
        <v>0.35999999999999899</v>
      </c>
      <c r="L66" s="26">
        <f t="shared" si="0"/>
        <v>0.64000000000000101</v>
      </c>
      <c r="N66" s="26">
        <f t="shared" si="1"/>
        <v>4.2148782144000009E-2</v>
      </c>
      <c r="Q66" s="32">
        <f t="shared" si="2"/>
        <v>0.15301200000000001</v>
      </c>
      <c r="R66" s="32">
        <f t="shared" si="3"/>
        <v>0.20530168568231486</v>
      </c>
      <c r="DI66" s="26"/>
    </row>
    <row r="67" spans="1:113" x14ac:dyDescent="0.3">
      <c r="A67" s="26">
        <v>0.34999999999999898</v>
      </c>
      <c r="B67" s="26">
        <f t="shared" si="4"/>
        <v>0.65000000000000102</v>
      </c>
      <c r="C67" s="26"/>
      <c r="H67" s="26">
        <v>3.8815604999999968E-2</v>
      </c>
      <c r="I67" s="26">
        <v>4.4097471000000027E-2</v>
      </c>
      <c r="K67" s="26">
        <f t="shared" ref="K67:L102" si="5">A67</f>
        <v>0.34999999999999898</v>
      </c>
      <c r="L67" s="26">
        <f t="shared" si="5"/>
        <v>0.65000000000000102</v>
      </c>
      <c r="N67" s="26">
        <f t="shared" ref="N67:N102" si="6">H67*K67+I67*L67</f>
        <v>4.2248817900000013E-2</v>
      </c>
      <c r="Q67" s="32">
        <f t="shared" ref="Q67:Q102" si="7">K67*O$2+L67*P$2</f>
        <v>0.15292</v>
      </c>
      <c r="R67" s="32">
        <f t="shared" ref="R67:R102" si="8">SQRT(N67)</f>
        <v>0.20554517240742973</v>
      </c>
      <c r="DI67" s="26"/>
    </row>
    <row r="68" spans="1:113" x14ac:dyDescent="0.3">
      <c r="A68" s="26">
        <v>0.33999999999999903</v>
      </c>
      <c r="B68" s="26">
        <f t="shared" ref="B68:B102" si="9">1-A68</f>
        <v>0.66000000000000103</v>
      </c>
      <c r="C68" s="26"/>
      <c r="H68" s="26">
        <v>3.8504321999999966E-2</v>
      </c>
      <c r="I68" s="26">
        <v>4.4346344400000029E-2</v>
      </c>
      <c r="K68" s="26">
        <f t="shared" si="5"/>
        <v>0.33999999999999903</v>
      </c>
      <c r="L68" s="26">
        <f t="shared" si="5"/>
        <v>0.66000000000000103</v>
      </c>
      <c r="N68" s="26">
        <f t="shared" si="6"/>
        <v>4.2360056784000011E-2</v>
      </c>
      <c r="Q68" s="32">
        <f t="shared" si="7"/>
        <v>0.15282800000000002</v>
      </c>
      <c r="R68" s="32">
        <f t="shared" si="8"/>
        <v>0.20581558926378732</v>
      </c>
      <c r="DI68" s="26"/>
    </row>
    <row r="69" spans="1:113" x14ac:dyDescent="0.3">
      <c r="A69" s="26">
        <v>0.32999999999999902</v>
      </c>
      <c r="B69" s="26">
        <f t="shared" si="9"/>
        <v>0.67000000000000104</v>
      </c>
      <c r="C69" s="26"/>
      <c r="H69" s="26">
        <v>3.819303899999997E-2</v>
      </c>
      <c r="I69" s="26">
        <v>4.4595217800000024E-2</v>
      </c>
      <c r="K69" s="26">
        <f t="shared" si="5"/>
        <v>0.32999999999999902</v>
      </c>
      <c r="L69" s="26">
        <f t="shared" si="5"/>
        <v>0.67000000000000104</v>
      </c>
      <c r="N69" s="26">
        <f t="shared" si="6"/>
        <v>4.2482498796000009E-2</v>
      </c>
      <c r="Q69" s="32">
        <f t="shared" si="7"/>
        <v>0.15273599999999998</v>
      </c>
      <c r="R69" s="32">
        <f t="shared" si="8"/>
        <v>0.20611283025566363</v>
      </c>
      <c r="DI69" s="26"/>
    </row>
    <row r="70" spans="1:113" x14ac:dyDescent="0.3">
      <c r="A70" s="26">
        <v>0.31999999999999901</v>
      </c>
      <c r="B70" s="26">
        <f t="shared" si="9"/>
        <v>0.68000000000000105</v>
      </c>
      <c r="C70" s="26"/>
      <c r="H70" s="26">
        <v>3.7881755999999968E-2</v>
      </c>
      <c r="I70" s="26">
        <v>4.4844091200000033E-2</v>
      </c>
      <c r="K70" s="26">
        <f t="shared" si="5"/>
        <v>0.31999999999999901</v>
      </c>
      <c r="L70" s="26">
        <f t="shared" si="5"/>
        <v>0.68000000000000105</v>
      </c>
      <c r="N70" s="26">
        <f t="shared" si="6"/>
        <v>4.2616143936000023E-2</v>
      </c>
      <c r="Q70" s="32">
        <f t="shared" si="7"/>
        <v>0.152644</v>
      </c>
      <c r="R70" s="32">
        <f t="shared" si="8"/>
        <v>0.20643677951372916</v>
      </c>
      <c r="DI70" s="26"/>
    </row>
    <row r="71" spans="1:113" x14ac:dyDescent="0.3">
      <c r="A71" s="26">
        <v>0.309999999999999</v>
      </c>
      <c r="B71" s="26">
        <f t="shared" si="9"/>
        <v>0.69000000000000106</v>
      </c>
      <c r="C71" s="26"/>
      <c r="H71" s="26">
        <v>3.7570472999999965E-2</v>
      </c>
      <c r="I71" s="26">
        <v>4.5092964600000028E-2</v>
      </c>
      <c r="K71" s="26">
        <f t="shared" si="5"/>
        <v>0.309999999999999</v>
      </c>
      <c r="L71" s="26">
        <f t="shared" si="5"/>
        <v>0.69000000000000106</v>
      </c>
      <c r="N71" s="26">
        <f t="shared" si="6"/>
        <v>4.2760992204000016E-2</v>
      </c>
      <c r="Q71" s="32">
        <f t="shared" si="7"/>
        <v>0.15255200000000002</v>
      </c>
      <c r="R71" s="32">
        <f t="shared" si="8"/>
        <v>0.20678731151596322</v>
      </c>
      <c r="DI71" s="26"/>
    </row>
    <row r="72" spans="1:113" x14ac:dyDescent="0.3">
      <c r="A72" s="26">
        <v>0.29999999999999899</v>
      </c>
      <c r="B72" s="26">
        <f t="shared" si="9"/>
        <v>0.70000000000000107</v>
      </c>
      <c r="C72" s="26"/>
      <c r="H72" s="26">
        <v>3.725918999999997E-2</v>
      </c>
      <c r="I72" s="26">
        <v>4.534183800000003E-2</v>
      </c>
      <c r="K72" s="26">
        <f t="shared" si="5"/>
        <v>0.29999999999999899</v>
      </c>
      <c r="L72" s="26">
        <f t="shared" si="5"/>
        <v>0.70000000000000107</v>
      </c>
      <c r="N72" s="26">
        <f t="shared" si="6"/>
        <v>4.2917043600000024E-2</v>
      </c>
      <c r="Q72" s="32">
        <f t="shared" si="7"/>
        <v>0.15246000000000001</v>
      </c>
      <c r="R72" s="32">
        <f t="shared" si="8"/>
        <v>0.20716429132454275</v>
      </c>
      <c r="DI72" s="26"/>
    </row>
    <row r="73" spans="1:113" x14ac:dyDescent="0.3">
      <c r="A73" s="26">
        <v>0.28999999999999898</v>
      </c>
      <c r="B73" s="26">
        <f t="shared" si="9"/>
        <v>0.71000000000000107</v>
      </c>
      <c r="C73" s="26"/>
      <c r="H73" s="26">
        <v>3.6947906999999967E-2</v>
      </c>
      <c r="I73" s="26">
        <v>4.5590711400000025E-2</v>
      </c>
      <c r="K73" s="26">
        <f t="shared" si="5"/>
        <v>0.28999999999999898</v>
      </c>
      <c r="L73" s="26">
        <f t="shared" si="5"/>
        <v>0.71000000000000107</v>
      </c>
      <c r="N73" s="26">
        <f t="shared" si="6"/>
        <v>4.3084298124000026E-2</v>
      </c>
      <c r="Q73" s="32">
        <f t="shared" si="7"/>
        <v>0.152368</v>
      </c>
      <c r="R73" s="32">
        <f t="shared" si="8"/>
        <v>0.20756757483768998</v>
      </c>
      <c r="DI73" s="26"/>
    </row>
    <row r="74" spans="1:113" x14ac:dyDescent="0.3">
      <c r="A74" s="26">
        <v>0.27999999999999903</v>
      </c>
      <c r="B74" s="26">
        <f t="shared" si="9"/>
        <v>0.72000000000000097</v>
      </c>
      <c r="C74" s="26"/>
      <c r="H74" s="26">
        <v>3.6636623999999965E-2</v>
      </c>
      <c r="I74" s="26">
        <v>4.5839584800000027E-2</v>
      </c>
      <c r="K74" s="26">
        <f t="shared" si="5"/>
        <v>0.27999999999999903</v>
      </c>
      <c r="L74" s="26">
        <f t="shared" si="5"/>
        <v>0.72000000000000097</v>
      </c>
      <c r="N74" s="26">
        <f t="shared" si="6"/>
        <v>4.3262755776000021E-2</v>
      </c>
      <c r="Q74" s="32">
        <f t="shared" si="7"/>
        <v>0.15227599999999999</v>
      </c>
      <c r="R74" s="32">
        <f t="shared" si="8"/>
        <v>0.20799700905541893</v>
      </c>
      <c r="DI74" s="26"/>
    </row>
    <row r="75" spans="1:113" x14ac:dyDescent="0.3">
      <c r="A75" s="26">
        <v>0.26999999999999902</v>
      </c>
      <c r="B75" s="26">
        <f t="shared" si="9"/>
        <v>0.73000000000000098</v>
      </c>
      <c r="C75" s="26"/>
      <c r="H75" s="26">
        <v>3.6325340999999969E-2</v>
      </c>
      <c r="I75" s="26">
        <v>4.6088458200000022E-2</v>
      </c>
      <c r="K75" s="26">
        <f t="shared" si="5"/>
        <v>0.26999999999999902</v>
      </c>
      <c r="L75" s="26">
        <f t="shared" si="5"/>
        <v>0.73000000000000098</v>
      </c>
      <c r="N75" s="26">
        <f t="shared" si="6"/>
        <v>4.3452416556000018E-2</v>
      </c>
      <c r="Q75" s="32">
        <f t="shared" si="7"/>
        <v>0.15218399999999999</v>
      </c>
      <c r="R75" s="32">
        <f t="shared" si="8"/>
        <v>0.20845243235808025</v>
      </c>
      <c r="DI75" s="26"/>
    </row>
    <row r="76" spans="1:113" x14ac:dyDescent="0.3">
      <c r="A76" s="26">
        <v>0.25999999999999901</v>
      </c>
      <c r="B76" s="26">
        <f t="shared" si="9"/>
        <v>0.74000000000000099</v>
      </c>
      <c r="C76" s="26"/>
      <c r="H76" s="26">
        <v>3.6014057999999967E-2</v>
      </c>
      <c r="I76" s="26">
        <v>4.6337331600000024E-2</v>
      </c>
      <c r="K76" s="26">
        <f t="shared" si="5"/>
        <v>0.25999999999999901</v>
      </c>
      <c r="L76" s="26">
        <f t="shared" si="5"/>
        <v>0.74000000000000099</v>
      </c>
      <c r="N76" s="26">
        <f t="shared" si="6"/>
        <v>4.3653280464000022E-2</v>
      </c>
      <c r="Q76" s="32">
        <f t="shared" si="7"/>
        <v>0.152092</v>
      </c>
      <c r="R76" s="32">
        <f t="shared" si="8"/>
        <v>0.20893367479657277</v>
      </c>
      <c r="DI76" s="26"/>
    </row>
    <row r="77" spans="1:113" x14ac:dyDescent="0.3">
      <c r="A77" s="26">
        <v>0.249999999999999</v>
      </c>
      <c r="B77" s="26">
        <f t="shared" si="9"/>
        <v>0.750000000000001</v>
      </c>
      <c r="C77" s="26"/>
      <c r="H77" s="26">
        <v>3.5702774999999971E-2</v>
      </c>
      <c r="I77" s="26">
        <v>4.6586205000000026E-2</v>
      </c>
      <c r="K77" s="26">
        <f t="shared" si="5"/>
        <v>0.249999999999999</v>
      </c>
      <c r="L77" s="26">
        <f t="shared" si="5"/>
        <v>0.750000000000001</v>
      </c>
      <c r="N77" s="26">
        <f t="shared" si="6"/>
        <v>4.386534750000002E-2</v>
      </c>
      <c r="Q77" s="32">
        <f t="shared" si="7"/>
        <v>0.152</v>
      </c>
      <c r="R77" s="32">
        <f t="shared" si="8"/>
        <v>0.20944055839306774</v>
      </c>
      <c r="DI77" s="26"/>
    </row>
    <row r="78" spans="1:113" x14ac:dyDescent="0.3">
      <c r="A78" s="26">
        <v>0.23999999999999899</v>
      </c>
      <c r="B78" s="26">
        <f t="shared" si="9"/>
        <v>0.76000000000000101</v>
      </c>
      <c r="C78" s="26"/>
      <c r="H78" s="26">
        <v>3.5391491999999969E-2</v>
      </c>
      <c r="I78" s="26">
        <v>4.6835078400000028E-2</v>
      </c>
      <c r="K78" s="26">
        <f t="shared" si="5"/>
        <v>0.23999999999999899</v>
      </c>
      <c r="L78" s="26">
        <f t="shared" si="5"/>
        <v>0.76000000000000101</v>
      </c>
      <c r="N78" s="26">
        <f t="shared" si="6"/>
        <v>4.4088617664000032E-2</v>
      </c>
      <c r="Q78" s="32">
        <f t="shared" si="7"/>
        <v>0.15190799999999999</v>
      </c>
      <c r="R78" s="32">
        <f t="shared" si="8"/>
        <v>0.20997289745107589</v>
      </c>
      <c r="DI78" s="26"/>
    </row>
    <row r="79" spans="1:113" x14ac:dyDescent="0.3">
      <c r="A79" s="26">
        <v>0.22999999999999901</v>
      </c>
      <c r="B79" s="26">
        <f t="shared" si="9"/>
        <v>0.77000000000000102</v>
      </c>
      <c r="C79" s="26"/>
      <c r="H79" s="26">
        <v>3.5080208999999973E-2</v>
      </c>
      <c r="I79" s="26">
        <v>4.7083951800000023E-2</v>
      </c>
      <c r="K79" s="26">
        <f t="shared" si="5"/>
        <v>0.22999999999999901</v>
      </c>
      <c r="L79" s="26">
        <f t="shared" si="5"/>
        <v>0.77000000000000102</v>
      </c>
      <c r="N79" s="26">
        <f t="shared" si="6"/>
        <v>4.4323090956000025E-2</v>
      </c>
      <c r="Q79" s="32">
        <f t="shared" si="7"/>
        <v>0.15181600000000001</v>
      </c>
      <c r="R79" s="32">
        <f t="shared" si="8"/>
        <v>0.2105304988736787</v>
      </c>
      <c r="DI79" s="26"/>
    </row>
    <row r="80" spans="1:113" x14ac:dyDescent="0.3">
      <c r="A80" s="26">
        <v>0.219999999999999</v>
      </c>
      <c r="B80" s="26">
        <f t="shared" si="9"/>
        <v>0.78000000000000103</v>
      </c>
      <c r="C80" s="26"/>
      <c r="H80" s="26">
        <v>3.4768925999999971E-2</v>
      </c>
      <c r="I80" s="26">
        <v>4.7332825200000025E-2</v>
      </c>
      <c r="K80" s="26">
        <f t="shared" si="5"/>
        <v>0.219999999999999</v>
      </c>
      <c r="L80" s="26">
        <f t="shared" si="5"/>
        <v>0.78000000000000103</v>
      </c>
      <c r="N80" s="26">
        <f t="shared" si="6"/>
        <v>4.4568767376000025E-2</v>
      </c>
      <c r="Q80" s="32">
        <f t="shared" si="7"/>
        <v>0.151724</v>
      </c>
      <c r="R80" s="32">
        <f t="shared" si="8"/>
        <v>0.21111316248874684</v>
      </c>
      <c r="DI80" s="26"/>
    </row>
    <row r="81" spans="1:113" x14ac:dyDescent="0.3">
      <c r="A81" s="26">
        <v>0.20999999999999899</v>
      </c>
      <c r="B81" s="26">
        <f t="shared" si="9"/>
        <v>0.79000000000000103</v>
      </c>
      <c r="C81" s="26"/>
      <c r="H81" s="26">
        <v>3.4457642999999968E-2</v>
      </c>
      <c r="I81" s="26">
        <v>4.7581698600000027E-2</v>
      </c>
      <c r="K81" s="26">
        <f t="shared" si="5"/>
        <v>0.20999999999999899</v>
      </c>
      <c r="L81" s="26">
        <f t="shared" si="5"/>
        <v>0.79000000000000103</v>
      </c>
      <c r="N81" s="26">
        <f t="shared" si="6"/>
        <v>4.4825646924000033E-2</v>
      </c>
      <c r="Q81" s="32">
        <f t="shared" si="7"/>
        <v>0.15163199999999999</v>
      </c>
      <c r="R81" s="32">
        <f t="shared" si="8"/>
        <v>0.21172068137997296</v>
      </c>
      <c r="DI81" s="26"/>
    </row>
    <row r="82" spans="1:113" x14ac:dyDescent="0.3">
      <c r="A82" s="26">
        <v>0.19999999999999901</v>
      </c>
      <c r="B82" s="26">
        <f t="shared" si="9"/>
        <v>0.80000000000000093</v>
      </c>
      <c r="C82" s="26"/>
      <c r="H82" s="26">
        <v>3.4146359999999966E-2</v>
      </c>
      <c r="I82" s="26">
        <v>4.7830572000000023E-2</v>
      </c>
      <c r="K82" s="26">
        <f t="shared" si="5"/>
        <v>0.19999999999999901</v>
      </c>
      <c r="L82" s="26">
        <f t="shared" si="5"/>
        <v>0.80000000000000093</v>
      </c>
      <c r="N82" s="26">
        <f t="shared" si="6"/>
        <v>4.5093729600000021E-2</v>
      </c>
      <c r="Q82" s="32">
        <f t="shared" si="7"/>
        <v>0.15153999999999998</v>
      </c>
      <c r="R82" s="32">
        <f t="shared" si="8"/>
        <v>0.21235284222256132</v>
      </c>
      <c r="DI82" s="26"/>
    </row>
    <row r="83" spans="1:113" x14ac:dyDescent="0.3">
      <c r="A83" s="26">
        <v>0.189999999999999</v>
      </c>
      <c r="B83" s="26">
        <f t="shared" si="9"/>
        <v>0.81000000000000094</v>
      </c>
      <c r="C83" s="26"/>
      <c r="H83" s="26">
        <v>3.3835076999999963E-2</v>
      </c>
      <c r="I83" s="26">
        <v>4.8079445400000018E-2</v>
      </c>
      <c r="K83" s="26">
        <f t="shared" si="5"/>
        <v>0.189999999999999</v>
      </c>
      <c r="L83" s="26">
        <f t="shared" si="5"/>
        <v>0.81000000000000094</v>
      </c>
      <c r="N83" s="26">
        <f t="shared" si="6"/>
        <v>4.5373015404000017E-2</v>
      </c>
      <c r="Q83" s="32">
        <f t="shared" si="7"/>
        <v>0.15144799999999997</v>
      </c>
      <c r="R83" s="32">
        <f t="shared" si="8"/>
        <v>0.21300942562243583</v>
      </c>
      <c r="DI83" s="26"/>
    </row>
    <row r="84" spans="1:113" x14ac:dyDescent="0.3">
      <c r="A84" s="26">
        <v>0.17999999999999899</v>
      </c>
      <c r="B84" s="26">
        <f t="shared" si="9"/>
        <v>0.82000000000000095</v>
      </c>
      <c r="C84" s="26"/>
      <c r="H84" s="26">
        <v>3.3523793999999968E-2</v>
      </c>
      <c r="I84" s="26">
        <v>4.8328318800000027E-2</v>
      </c>
      <c r="K84" s="26">
        <f t="shared" si="5"/>
        <v>0.17999999999999899</v>
      </c>
      <c r="L84" s="26">
        <f t="shared" si="5"/>
        <v>0.82000000000000095</v>
      </c>
      <c r="N84" s="26">
        <f t="shared" si="6"/>
        <v>4.5663504336000027E-2</v>
      </c>
      <c r="Q84" s="32">
        <f t="shared" si="7"/>
        <v>0.15135599999999999</v>
      </c>
      <c r="R84" s="32">
        <f t="shared" si="8"/>
        <v>0.21369020645785344</v>
      </c>
      <c r="DI84" s="26"/>
    </row>
    <row r="85" spans="1:113" x14ac:dyDescent="0.3">
      <c r="A85" s="26">
        <v>0.16999999999999901</v>
      </c>
      <c r="B85" s="26">
        <f t="shared" si="9"/>
        <v>0.83000000000000096</v>
      </c>
      <c r="C85" s="26"/>
      <c r="H85" s="26">
        <v>3.3212510999999965E-2</v>
      </c>
      <c r="I85" s="26">
        <v>4.8577192200000022E-2</v>
      </c>
      <c r="K85" s="26">
        <f t="shared" si="5"/>
        <v>0.16999999999999901</v>
      </c>
      <c r="L85" s="26">
        <f t="shared" si="5"/>
        <v>0.83000000000000096</v>
      </c>
      <c r="N85" s="26">
        <f t="shared" si="6"/>
        <v>4.5965196396000024E-2</v>
      </c>
      <c r="Q85" s="32">
        <f t="shared" si="7"/>
        <v>0.15126399999999998</v>
      </c>
      <c r="R85" s="32">
        <f t="shared" si="8"/>
        <v>0.21439495422234178</v>
      </c>
      <c r="DI85" s="26"/>
    </row>
    <row r="86" spans="1:113" x14ac:dyDescent="0.3">
      <c r="A86" s="26">
        <v>0.159999999999999</v>
      </c>
      <c r="B86" s="26">
        <f t="shared" si="9"/>
        <v>0.84000000000000097</v>
      </c>
      <c r="C86" s="26"/>
      <c r="H86" s="26">
        <v>3.2901227999999963E-2</v>
      </c>
      <c r="I86" s="26">
        <v>4.8826065600000024E-2</v>
      </c>
      <c r="K86" s="26">
        <f t="shared" si="5"/>
        <v>0.159999999999999</v>
      </c>
      <c r="L86" s="26">
        <f t="shared" si="5"/>
        <v>0.84000000000000097</v>
      </c>
      <c r="N86" s="26">
        <f t="shared" si="6"/>
        <v>4.6278091584000029E-2</v>
      </c>
      <c r="Q86" s="32">
        <f t="shared" si="7"/>
        <v>0.15117199999999997</v>
      </c>
      <c r="R86" s="32">
        <f t="shared" si="8"/>
        <v>0.21512343336791562</v>
      </c>
      <c r="DI86" s="26"/>
    </row>
    <row r="87" spans="1:113" x14ac:dyDescent="0.3">
      <c r="A87" s="26">
        <v>0.149999999999999</v>
      </c>
      <c r="B87" s="26">
        <f t="shared" si="9"/>
        <v>0.85000000000000098</v>
      </c>
      <c r="C87" s="26"/>
      <c r="H87" s="26">
        <v>3.2589944999999967E-2</v>
      </c>
      <c r="I87" s="26">
        <v>4.9074939000000019E-2</v>
      </c>
      <c r="K87" s="26">
        <f t="shared" si="5"/>
        <v>0.149999999999999</v>
      </c>
      <c r="L87" s="26">
        <f t="shared" si="5"/>
        <v>0.85000000000000098</v>
      </c>
      <c r="N87" s="26">
        <f t="shared" si="6"/>
        <v>4.6602189900000021E-2</v>
      </c>
      <c r="Q87" s="32">
        <f t="shared" si="7"/>
        <v>0.15107999999999999</v>
      </c>
      <c r="R87" s="32">
        <f t="shared" si="8"/>
        <v>0.21587540364756708</v>
      </c>
      <c r="DI87" s="26"/>
    </row>
    <row r="88" spans="1:113" x14ac:dyDescent="0.3">
      <c r="A88" s="26">
        <v>0.13999999999999899</v>
      </c>
      <c r="B88" s="26">
        <f t="shared" si="9"/>
        <v>0.86000000000000099</v>
      </c>
      <c r="C88" s="26"/>
      <c r="H88" s="26">
        <v>3.2278661999999965E-2</v>
      </c>
      <c r="I88" s="26">
        <v>4.9323812400000028E-2</v>
      </c>
      <c r="K88" s="26">
        <f t="shared" si="5"/>
        <v>0.13999999999999899</v>
      </c>
      <c r="L88" s="26">
        <f t="shared" si="5"/>
        <v>0.86000000000000099</v>
      </c>
      <c r="N88" s="26">
        <f t="shared" si="6"/>
        <v>4.6937491344000035E-2</v>
      </c>
      <c r="Q88" s="32">
        <f t="shared" si="7"/>
        <v>0.15098799999999998</v>
      </c>
      <c r="R88" s="32">
        <f t="shared" si="8"/>
        <v>0.21665062045606986</v>
      </c>
      <c r="DI88" s="26"/>
    </row>
    <row r="89" spans="1:113" x14ac:dyDescent="0.3">
      <c r="A89" s="26">
        <v>0.12999999999999901</v>
      </c>
      <c r="B89" s="26">
        <f t="shared" si="9"/>
        <v>0.87000000000000099</v>
      </c>
      <c r="C89" s="26"/>
      <c r="H89" s="26">
        <v>3.1967378999999969E-2</v>
      </c>
      <c r="I89" s="26">
        <v>4.9572685800000023E-2</v>
      </c>
      <c r="K89" s="26">
        <f t="shared" si="5"/>
        <v>0.12999999999999901</v>
      </c>
      <c r="L89" s="26">
        <f t="shared" si="5"/>
        <v>0.87000000000000099</v>
      </c>
      <c r="N89" s="26">
        <f t="shared" si="6"/>
        <v>4.7283995916000028E-2</v>
      </c>
      <c r="Q89" s="32">
        <f t="shared" si="7"/>
        <v>0.150896</v>
      </c>
      <c r="R89" s="32">
        <f t="shared" si="8"/>
        <v>0.21744883516818395</v>
      </c>
      <c r="DI89" s="26"/>
    </row>
    <row r="90" spans="1:113" x14ac:dyDescent="0.3">
      <c r="A90" s="26">
        <v>0.119999999999999</v>
      </c>
      <c r="B90" s="26">
        <f t="shared" si="9"/>
        <v>0.880000000000001</v>
      </c>
      <c r="C90" s="26"/>
      <c r="H90" s="26">
        <v>3.1656095999999967E-2</v>
      </c>
      <c r="I90" s="26">
        <v>4.9821559200000025E-2</v>
      </c>
      <c r="K90" s="26">
        <f t="shared" si="5"/>
        <v>0.119999999999999</v>
      </c>
      <c r="L90" s="26">
        <f t="shared" si="5"/>
        <v>0.880000000000001</v>
      </c>
      <c r="N90" s="26">
        <f t="shared" si="6"/>
        <v>4.7641703616000036E-2</v>
      </c>
      <c r="Q90" s="32">
        <f t="shared" si="7"/>
        <v>0.15080399999999999</v>
      </c>
      <c r="R90" s="32">
        <f t="shared" si="8"/>
        <v>0.21826979547340039</v>
      </c>
      <c r="DI90" s="26"/>
    </row>
    <row r="91" spans="1:113" x14ac:dyDescent="0.3">
      <c r="A91" s="26">
        <v>0.109999999999999</v>
      </c>
      <c r="B91" s="26">
        <f t="shared" si="9"/>
        <v>0.89000000000000101</v>
      </c>
      <c r="C91" s="26"/>
      <c r="H91" s="26">
        <v>3.1344812999999964E-2</v>
      </c>
      <c r="I91" s="26">
        <v>5.0070432600000027E-2</v>
      </c>
      <c r="K91" s="26">
        <f t="shared" si="5"/>
        <v>0.109999999999999</v>
      </c>
      <c r="L91" s="26">
        <f t="shared" si="5"/>
        <v>0.89000000000000101</v>
      </c>
      <c r="N91" s="26">
        <f t="shared" si="6"/>
        <v>4.8010614444000038E-2</v>
      </c>
      <c r="Q91" s="32">
        <f t="shared" si="7"/>
        <v>0.15071200000000001</v>
      </c>
      <c r="R91" s="32">
        <f t="shared" si="8"/>
        <v>0.21911324570641555</v>
      </c>
      <c r="DI91" s="26"/>
    </row>
    <row r="92" spans="1:113" x14ac:dyDescent="0.3">
      <c r="A92" s="26">
        <v>9.9999999999999006E-2</v>
      </c>
      <c r="B92" s="26">
        <f t="shared" si="9"/>
        <v>0.90000000000000102</v>
      </c>
      <c r="C92" s="26"/>
      <c r="H92" s="26">
        <v>3.1033529999999969E-2</v>
      </c>
      <c r="I92" s="26">
        <v>5.0319306000000029E-2</v>
      </c>
      <c r="K92" s="26">
        <f t="shared" si="5"/>
        <v>9.9999999999999006E-2</v>
      </c>
      <c r="L92" s="26">
        <f t="shared" si="5"/>
        <v>0.90000000000000102</v>
      </c>
      <c r="N92" s="26">
        <f t="shared" si="6"/>
        <v>4.8390728400000048E-2</v>
      </c>
      <c r="Q92" s="32">
        <f t="shared" si="7"/>
        <v>0.15062</v>
      </c>
      <c r="R92" s="32">
        <f t="shared" si="8"/>
        <v>0.2199789271725818</v>
      </c>
      <c r="DI92" s="26"/>
    </row>
    <row r="93" spans="1:113" x14ac:dyDescent="0.3">
      <c r="A93" s="26">
        <v>8.9999999999998997E-2</v>
      </c>
      <c r="B93" s="26">
        <f t="shared" si="9"/>
        <v>0.91000000000000103</v>
      </c>
      <c r="C93" s="26"/>
      <c r="H93" s="26">
        <v>3.0722246999999966E-2</v>
      </c>
      <c r="I93" s="26">
        <v>5.0568179400000024E-2</v>
      </c>
      <c r="K93" s="26">
        <f t="shared" si="5"/>
        <v>8.9999999999998997E-2</v>
      </c>
      <c r="L93" s="26">
        <f t="shared" si="5"/>
        <v>0.91000000000000103</v>
      </c>
      <c r="N93" s="26">
        <f t="shared" si="6"/>
        <v>4.8782045484000038E-2</v>
      </c>
      <c r="Q93" s="32">
        <f t="shared" si="7"/>
        <v>0.150528</v>
      </c>
      <c r="R93" s="32">
        <f t="shared" si="8"/>
        <v>0.22086657846763516</v>
      </c>
      <c r="DI93" s="26"/>
    </row>
    <row r="94" spans="1:113" x14ac:dyDescent="0.3">
      <c r="A94" s="26">
        <v>7.9999999999999002E-2</v>
      </c>
      <c r="B94" s="26">
        <f t="shared" si="9"/>
        <v>0.92000000000000104</v>
      </c>
      <c r="C94" s="26"/>
      <c r="H94" s="26">
        <v>3.0410963999999971E-2</v>
      </c>
      <c r="I94" s="26">
        <v>5.0817052800000026E-2</v>
      </c>
      <c r="K94" s="26">
        <f t="shared" si="5"/>
        <v>7.9999999999999002E-2</v>
      </c>
      <c r="L94" s="26">
        <f t="shared" si="5"/>
        <v>0.92000000000000104</v>
      </c>
      <c r="N94" s="26">
        <f t="shared" si="6"/>
        <v>4.9184565696000042E-2</v>
      </c>
      <c r="Q94" s="32">
        <f t="shared" si="7"/>
        <v>0.15043599999999999</v>
      </c>
      <c r="R94" s="32">
        <f t="shared" si="8"/>
        <v>0.22177593579105925</v>
      </c>
      <c r="DI94" s="26"/>
    </row>
    <row r="95" spans="1:113" x14ac:dyDescent="0.3">
      <c r="A95" s="26">
        <v>6.9999999999998994E-2</v>
      </c>
      <c r="B95" s="26">
        <f t="shared" si="9"/>
        <v>0.93000000000000105</v>
      </c>
      <c r="C95" s="26"/>
      <c r="H95" s="26">
        <v>3.0099680999999972E-2</v>
      </c>
      <c r="I95" s="26">
        <v>5.1065926200000028E-2</v>
      </c>
      <c r="K95" s="26">
        <f t="shared" si="5"/>
        <v>6.9999999999998994E-2</v>
      </c>
      <c r="L95" s="26">
        <f t="shared" si="5"/>
        <v>0.93000000000000105</v>
      </c>
      <c r="N95" s="26">
        <f t="shared" si="6"/>
        <v>4.9598289036000047E-2</v>
      </c>
      <c r="Q95" s="32">
        <f t="shared" si="7"/>
        <v>0.15034399999999998</v>
      </c>
      <c r="R95" s="32">
        <f t="shared" si="8"/>
        <v>0.22270673325249968</v>
      </c>
      <c r="DI95" s="26"/>
    </row>
    <row r="96" spans="1:113" x14ac:dyDescent="0.3">
      <c r="A96" s="26">
        <v>5.9999999999999103E-2</v>
      </c>
      <c r="B96" s="26">
        <f t="shared" si="9"/>
        <v>0.94000000000000095</v>
      </c>
      <c r="C96" s="26"/>
      <c r="H96" s="26">
        <v>2.9788397999999973E-2</v>
      </c>
      <c r="I96" s="26">
        <v>5.1314799600000023E-2</v>
      </c>
      <c r="K96" s="26">
        <f t="shared" si="5"/>
        <v>5.9999999999999103E-2</v>
      </c>
      <c r="L96" s="26">
        <f t="shared" si="5"/>
        <v>0.94000000000000095</v>
      </c>
      <c r="N96" s="26">
        <f t="shared" si="6"/>
        <v>5.0023215504000046E-2</v>
      </c>
      <c r="Q96" s="32">
        <f t="shared" si="7"/>
        <v>0.150252</v>
      </c>
      <c r="R96" s="32">
        <f t="shared" si="8"/>
        <v>0.22365870317070169</v>
      </c>
      <c r="DI96" s="26"/>
    </row>
    <row r="97" spans="1:113" x14ac:dyDescent="0.3">
      <c r="A97" s="26">
        <v>4.9999999999998997E-2</v>
      </c>
      <c r="B97" s="26">
        <f t="shared" si="9"/>
        <v>0.95000000000000095</v>
      </c>
      <c r="C97" s="26"/>
      <c r="H97" s="26">
        <v>2.9477114999999967E-2</v>
      </c>
      <c r="I97" s="26">
        <v>5.1563673000000018E-2</v>
      </c>
      <c r="K97" s="26">
        <f t="shared" si="5"/>
        <v>4.9999999999998997E-2</v>
      </c>
      <c r="L97" s="26">
        <f t="shared" si="5"/>
        <v>0.95000000000000095</v>
      </c>
      <c r="N97" s="26">
        <f t="shared" si="6"/>
        <v>5.0459345100000032E-2</v>
      </c>
      <c r="Q97" s="32">
        <f t="shared" si="7"/>
        <v>0.15015999999999999</v>
      </c>
      <c r="R97" s="32">
        <f t="shared" si="8"/>
        <v>0.22463157636449962</v>
      </c>
      <c r="DI97" s="26"/>
    </row>
    <row r="98" spans="1:113" x14ac:dyDescent="0.3">
      <c r="A98" s="26">
        <v>3.9999999999999002E-2</v>
      </c>
      <c r="B98" s="26">
        <f t="shared" si="9"/>
        <v>0.96000000000000096</v>
      </c>
      <c r="C98" s="26"/>
      <c r="H98" s="26">
        <v>2.9165831999999968E-2</v>
      </c>
      <c r="I98" s="26">
        <v>5.1812546400000027E-2</v>
      </c>
      <c r="K98" s="26">
        <f t="shared" si="5"/>
        <v>3.9999999999999002E-2</v>
      </c>
      <c r="L98" s="26">
        <f t="shared" si="5"/>
        <v>0.96000000000000096</v>
      </c>
      <c r="N98" s="26">
        <f t="shared" si="6"/>
        <v>5.0906677824000046E-2</v>
      </c>
      <c r="Q98" s="32">
        <f t="shared" si="7"/>
        <v>0.15006799999999998</v>
      </c>
      <c r="R98" s="32">
        <f t="shared" si="8"/>
        <v>0.2256250824354421</v>
      </c>
      <c r="DI98" s="26"/>
    </row>
    <row r="99" spans="1:113" x14ac:dyDescent="0.3">
      <c r="A99" s="26">
        <v>2.9999999999999E-2</v>
      </c>
      <c r="B99" s="26">
        <f t="shared" si="9"/>
        <v>0.97000000000000097</v>
      </c>
      <c r="C99" s="26"/>
      <c r="H99" s="26">
        <v>2.8854548999999969E-2</v>
      </c>
      <c r="I99" s="26">
        <v>5.2061419800000022E-2</v>
      </c>
      <c r="K99" s="26">
        <f t="shared" si="5"/>
        <v>2.9999999999999E-2</v>
      </c>
      <c r="L99" s="26">
        <f t="shared" si="5"/>
        <v>0.97000000000000097</v>
      </c>
      <c r="N99" s="26">
        <f t="shared" si="6"/>
        <v>5.1365213676000047E-2</v>
      </c>
      <c r="Q99" s="32">
        <f t="shared" si="7"/>
        <v>0.149976</v>
      </c>
      <c r="R99" s="32">
        <f t="shared" si="8"/>
        <v>0.22663895004169085</v>
      </c>
      <c r="DI99" s="26"/>
    </row>
    <row r="100" spans="1:113" x14ac:dyDescent="0.3">
      <c r="A100" s="26">
        <v>1.9999999999999001E-2</v>
      </c>
      <c r="B100" s="26">
        <f t="shared" si="9"/>
        <v>0.98000000000000098</v>
      </c>
      <c r="C100" s="26"/>
      <c r="H100" s="26">
        <v>2.854326599999997E-2</v>
      </c>
      <c r="I100" s="26">
        <v>5.2310293200000024E-2</v>
      </c>
      <c r="K100" s="26">
        <f t="shared" si="5"/>
        <v>1.9999999999999001E-2</v>
      </c>
      <c r="L100" s="26">
        <f t="shared" si="5"/>
        <v>0.98000000000000098</v>
      </c>
      <c r="N100" s="26">
        <f t="shared" si="6"/>
        <v>5.1834952656000043E-2</v>
      </c>
      <c r="Q100" s="32">
        <f t="shared" si="7"/>
        <v>0.14988399999999999</v>
      </c>
      <c r="R100" s="32">
        <f t="shared" si="8"/>
        <v>0.22767290716288585</v>
      </c>
      <c r="DI100" s="26"/>
    </row>
    <row r="101" spans="1:113" x14ac:dyDescent="0.3">
      <c r="A101" s="26">
        <v>9.9999999999990097E-3</v>
      </c>
      <c r="B101" s="26">
        <f t="shared" si="9"/>
        <v>0.99000000000000099</v>
      </c>
      <c r="C101" s="26"/>
      <c r="H101" s="26">
        <v>2.8231982999999967E-2</v>
      </c>
      <c r="I101" s="26">
        <v>5.2559166600000026E-2</v>
      </c>
      <c r="K101" s="26">
        <f t="shared" si="5"/>
        <v>9.9999999999990097E-3</v>
      </c>
      <c r="L101" s="26">
        <f t="shared" si="5"/>
        <v>0.99000000000000099</v>
      </c>
      <c r="N101" s="26">
        <f t="shared" si="6"/>
        <v>5.2315894764000052E-2</v>
      </c>
      <c r="Q101" s="32">
        <f t="shared" si="7"/>
        <v>0.14979199999999998</v>
      </c>
      <c r="R101" s="32">
        <f t="shared" si="8"/>
        <v>0.22872668135571778</v>
      </c>
      <c r="DI101" s="26"/>
    </row>
    <row r="102" spans="1:113" x14ac:dyDescent="0.3">
      <c r="A102" s="26">
        <v>0</v>
      </c>
      <c r="B102" s="26">
        <f t="shared" si="9"/>
        <v>1</v>
      </c>
      <c r="C102" s="26"/>
      <c r="H102" s="26">
        <v>2.79207E-2</v>
      </c>
      <c r="I102" s="26">
        <v>5.2808040000000001E-2</v>
      </c>
      <c r="K102" s="26">
        <f t="shared" si="5"/>
        <v>0</v>
      </c>
      <c r="L102" s="26">
        <f t="shared" si="5"/>
        <v>1</v>
      </c>
      <c r="N102" s="26">
        <f t="shared" si="6"/>
        <v>5.2808040000000001E-2</v>
      </c>
      <c r="Q102" s="32">
        <f t="shared" si="7"/>
        <v>0.1497</v>
      </c>
      <c r="R102" s="32">
        <f t="shared" si="8"/>
        <v>0.2298</v>
      </c>
      <c r="DI102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opLeftCell="A82" workbookViewId="0">
      <selection activeCell="F104" sqref="F104"/>
    </sheetView>
  </sheetViews>
  <sheetFormatPr defaultRowHeight="15.6" x14ac:dyDescent="0.3"/>
  <sheetData>
    <row r="1" spans="1:6" x14ac:dyDescent="0.3">
      <c r="B1" t="s">
        <v>120</v>
      </c>
      <c r="D1" t="s">
        <v>121</v>
      </c>
    </row>
    <row r="2" spans="1:6" x14ac:dyDescent="0.3">
      <c r="A2" t="s">
        <v>119</v>
      </c>
      <c r="B2" t="s">
        <v>14</v>
      </c>
      <c r="C2" t="s">
        <v>70</v>
      </c>
      <c r="D2" t="s">
        <v>14</v>
      </c>
      <c r="E2" t="s">
        <v>70</v>
      </c>
      <c r="F2" t="s">
        <v>122</v>
      </c>
    </row>
    <row r="3" spans="1:6" x14ac:dyDescent="0.3">
      <c r="A3" s="23">
        <v>0</v>
      </c>
      <c r="B3" s="12">
        <v>0.15890000000000001</v>
      </c>
      <c r="C3" s="12">
        <v>0.24299999999999999</v>
      </c>
      <c r="D3" s="12">
        <v>0.15890000000000001</v>
      </c>
      <c r="E3" s="12">
        <v>0.24299999999999999</v>
      </c>
      <c r="F3" t="s">
        <v>123</v>
      </c>
    </row>
    <row r="4" spans="1:6" x14ac:dyDescent="0.3">
      <c r="A4" s="23">
        <v>1.0000000000000009E-2</v>
      </c>
      <c r="B4" s="12">
        <v>0.158808</v>
      </c>
      <c r="C4" s="12">
        <v>0.24140244913780806</v>
      </c>
      <c r="D4" s="12">
        <v>0.158808</v>
      </c>
      <c r="E4" s="12">
        <v>0.2417271924380871</v>
      </c>
    </row>
    <row r="5" spans="1:6" x14ac:dyDescent="0.3">
      <c r="A5" s="23">
        <v>2.0000000000000018E-2</v>
      </c>
      <c r="B5" s="12">
        <v>0.158716</v>
      </c>
      <c r="C5" s="12">
        <v>0.23982422226565855</v>
      </c>
      <c r="D5" s="12">
        <v>0.158716</v>
      </c>
      <c r="E5" s="12">
        <v>0.24047094264380467</v>
      </c>
    </row>
    <row r="6" spans="1:6" x14ac:dyDescent="0.3">
      <c r="A6" s="23">
        <v>3.0000000000000027E-2</v>
      </c>
      <c r="B6" s="12">
        <v>0.15862400000000001</v>
      </c>
      <c r="C6" s="12">
        <v>0.23826570337920644</v>
      </c>
      <c r="D6" s="12">
        <v>0.15862400000000001</v>
      </c>
      <c r="E6" s="12">
        <v>0.23923151146117855</v>
      </c>
    </row>
    <row r="7" spans="1:6" x14ac:dyDescent="0.3">
      <c r="A7" s="23">
        <v>4.0000000000000036E-2</v>
      </c>
      <c r="B7" s="12">
        <v>0.15853200000000001</v>
      </c>
      <c r="C7" s="12">
        <v>0.23672728172754401</v>
      </c>
      <c r="D7" s="12">
        <v>0.15853200000000001</v>
      </c>
      <c r="E7" s="12">
        <v>0.23800916163879071</v>
      </c>
    </row>
    <row r="8" spans="1:6" x14ac:dyDescent="0.3">
      <c r="A8" s="23">
        <v>5.0000000000000044E-2</v>
      </c>
      <c r="B8" s="12">
        <v>0.15844000000000003</v>
      </c>
      <c r="C8" s="12">
        <v>0.23520935165783691</v>
      </c>
      <c r="D8" s="12">
        <v>0.15844000000000003</v>
      </c>
      <c r="E8" s="12">
        <v>0.23680415769154053</v>
      </c>
    </row>
    <row r="9" spans="1:6" x14ac:dyDescent="0.3">
      <c r="A9" s="23">
        <v>6.0000000000000053E-2</v>
      </c>
      <c r="B9" s="12">
        <v>0.15834800000000002</v>
      </c>
      <c r="C9" s="12">
        <v>0.23371231244064142</v>
      </c>
      <c r="D9" s="12">
        <v>0.15834800000000002</v>
      </c>
      <c r="E9" s="12">
        <v>0.23561676575320356</v>
      </c>
    </row>
    <row r="10" spans="1:6" x14ac:dyDescent="0.3">
      <c r="A10" s="23">
        <v>6.9999999999999951E-2</v>
      </c>
      <c r="B10" s="12">
        <v>0.15825600000000001</v>
      </c>
      <c r="C10" s="12">
        <v>0.2322365680750299</v>
      </c>
      <c r="D10" s="12">
        <v>0.15825600000000001</v>
      </c>
      <c r="E10" s="12">
        <v>0.23444725341961251</v>
      </c>
    </row>
    <row r="11" spans="1:6" x14ac:dyDescent="0.3">
      <c r="A11" s="23">
        <v>7.999999999999996E-2</v>
      </c>
      <c r="B11" s="12">
        <v>0.158164</v>
      </c>
      <c r="C11" s="12">
        <v>0.23078252707267075</v>
      </c>
      <c r="D11" s="12">
        <v>0.158164</v>
      </c>
      <c r="E11" s="12">
        <v>0.23329588958230704</v>
      </c>
    </row>
    <row r="12" spans="1:6" x14ac:dyDescent="0.3">
      <c r="A12" s="23">
        <v>8.9999999999999969E-2</v>
      </c>
      <c r="B12" s="12">
        <v>0.15807199999999999</v>
      </c>
      <c r="C12" s="12">
        <v>0.22935060222003342</v>
      </c>
      <c r="D12" s="12">
        <v>0.15807199999999999</v>
      </c>
      <c r="E12" s="12">
        <v>0.23216294425252276</v>
      </c>
    </row>
    <row r="13" spans="1:6" x14ac:dyDescent="0.3">
      <c r="A13" s="23">
        <v>9.9999999999999978E-2</v>
      </c>
      <c r="B13" s="12">
        <v>0.15798000000000001</v>
      </c>
      <c r="C13" s="12">
        <v>0.22794121031792386</v>
      </c>
      <c r="D13" s="12">
        <v>0.15798000000000001</v>
      </c>
      <c r="E13" s="12">
        <v>0.23104868837541578</v>
      </c>
    </row>
    <row r="14" spans="1:6" x14ac:dyDescent="0.3">
      <c r="A14" s="23">
        <v>0.10999999999999999</v>
      </c>
      <c r="B14" s="12">
        <v>0.15788800000000003</v>
      </c>
      <c r="C14" s="12">
        <v>0.22655477189759657</v>
      </c>
      <c r="D14" s="12">
        <v>0.15788800000000003</v>
      </c>
      <c r="E14" s="12">
        <v>0.22995339363444933</v>
      </c>
    </row>
    <row r="15" spans="1:6" x14ac:dyDescent="0.3">
      <c r="A15" s="23">
        <v>0.12</v>
      </c>
      <c r="B15" s="12">
        <v>0.15779600000000002</v>
      </c>
      <c r="C15" s="12">
        <v>0.22519171091274207</v>
      </c>
      <c r="D15" s="12">
        <v>0.15779600000000002</v>
      </c>
      <c r="E15" s="12">
        <v>0.22887733224589979</v>
      </c>
    </row>
    <row r="16" spans="1:6" x14ac:dyDescent="0.3">
      <c r="A16" s="23">
        <v>0.13</v>
      </c>
      <c r="B16" s="12">
        <v>0.15770400000000001</v>
      </c>
      <c r="C16" s="12">
        <v>0.22385245440670959</v>
      </c>
      <c r="D16" s="12">
        <v>0.15770400000000001</v>
      </c>
      <c r="E16" s="12">
        <v>0.22782077674347437</v>
      </c>
    </row>
    <row r="17" spans="1:5" x14ac:dyDescent="0.3">
      <c r="A17" s="23">
        <v>0.14000000000000001</v>
      </c>
      <c r="B17" s="12">
        <v>0.157612</v>
      </c>
      <c r="C17" s="12">
        <v>0.22253743215439509</v>
      </c>
      <c r="D17" s="12">
        <v>0.157612</v>
      </c>
      <c r="E17" s="12">
        <v>0.22678399975306898</v>
      </c>
    </row>
    <row r="18" spans="1:5" x14ac:dyDescent="0.3">
      <c r="A18" s="23">
        <v>0.15000000000000002</v>
      </c>
      <c r="B18" s="12">
        <v>0.15752000000000002</v>
      </c>
      <c r="C18" s="12">
        <v>0.22124707627830928</v>
      </c>
      <c r="D18" s="12">
        <v>0.15752000000000002</v>
      </c>
      <c r="E18" s="12">
        <v>0.22576727375773487</v>
      </c>
    </row>
    <row r="19" spans="1:5" x14ac:dyDescent="0.3">
      <c r="A19" s="23">
        <v>0.16000000000000003</v>
      </c>
      <c r="B19" s="12">
        <v>0.15742800000000001</v>
      </c>
      <c r="C19" s="12">
        <v>0.21998182083843201</v>
      </c>
      <c r="D19" s="12">
        <v>0.15742800000000001</v>
      </c>
      <c r="E19" s="12">
        <v>0.22477087085296441</v>
      </c>
    </row>
    <row r="20" spans="1:5" x14ac:dyDescent="0.3">
      <c r="A20" s="23">
        <v>0.17000000000000004</v>
      </c>
      <c r="B20" s="12">
        <v>0.157336</v>
      </c>
      <c r="C20" s="12">
        <v>0.21874210139556582</v>
      </c>
      <c r="D20" s="12">
        <v>0.157336</v>
      </c>
      <c r="E20" s="12">
        <v>0.2237950624924509</v>
      </c>
    </row>
    <row r="21" spans="1:5" x14ac:dyDescent="0.3">
      <c r="A21" s="23">
        <v>0.18000000000000005</v>
      </c>
      <c r="B21" s="12">
        <v>0.15724399999999999</v>
      </c>
      <c r="C21" s="12">
        <v>0.21752835454801744</v>
      </c>
      <c r="D21" s="12">
        <v>0.15724399999999999</v>
      </c>
      <c r="E21" s="12">
        <v>0.22284011922452382</v>
      </c>
    </row>
    <row r="22" spans="1:5" x14ac:dyDescent="0.3">
      <c r="A22" s="23">
        <v>0.18999999999999995</v>
      </c>
      <c r="B22" s="12">
        <v>0.15715200000000001</v>
      </c>
      <c r="C22" s="12">
        <v>0.21634101744156609</v>
      </c>
      <c r="D22" s="12">
        <v>0.15715200000000001</v>
      </c>
      <c r="E22" s="12">
        <v>0.22190631041951017</v>
      </c>
    </row>
    <row r="23" spans="1:5" x14ac:dyDescent="0.3">
      <c r="A23" s="23">
        <v>0.19999999999999996</v>
      </c>
      <c r="B23" s="12">
        <v>0.15706000000000001</v>
      </c>
      <c r="C23" s="12">
        <v>0.21518052725281625</v>
      </c>
      <c r="D23" s="12">
        <v>0.15706000000000001</v>
      </c>
      <c r="E23" s="12">
        <v>0.22099390398832272</v>
      </c>
    </row>
    <row r="24" spans="1:5" x14ac:dyDescent="0.3">
      <c r="A24" s="23">
        <v>0.20999999999999996</v>
      </c>
      <c r="B24" s="12">
        <v>0.156968</v>
      </c>
      <c r="C24" s="12">
        <v>0.21404732064618795</v>
      </c>
      <c r="D24" s="12">
        <v>0.156968</v>
      </c>
      <c r="E24" s="12">
        <v>0.22010316609263031</v>
      </c>
    </row>
    <row r="25" spans="1:5" x14ac:dyDescent="0.3">
      <c r="A25" s="23">
        <v>0.21999999999999997</v>
      </c>
      <c r="B25" s="12">
        <v>0.15687600000000002</v>
      </c>
      <c r="C25" s="12">
        <v>0.21294183320495763</v>
      </c>
      <c r="D25" s="12">
        <v>0.15687600000000002</v>
      </c>
      <c r="E25" s="12">
        <v>0.21923436084701686</v>
      </c>
    </row>
    <row r="26" spans="1:5" x14ac:dyDescent="0.3">
      <c r="A26" s="23">
        <v>0.22999999999999998</v>
      </c>
      <c r="B26" s="12">
        <v>0.15678400000000001</v>
      </c>
      <c r="C26" s="12">
        <v>0.21186449883694058</v>
      </c>
      <c r="D26" s="12">
        <v>0.15678400000000001</v>
      </c>
      <c r="E26" s="12">
        <v>0.21838775001359392</v>
      </c>
    </row>
    <row r="27" spans="1:5" x14ac:dyDescent="0.3">
      <c r="A27" s="23">
        <v>0.24</v>
      </c>
      <c r="B27" s="12">
        <v>0.156692</v>
      </c>
      <c r="C27" s="12">
        <v>0.21081574915558848</v>
      </c>
      <c r="D27" s="12">
        <v>0.156692</v>
      </c>
      <c r="E27" s="12">
        <v>0.21756359268958583</v>
      </c>
    </row>
    <row r="28" spans="1:5" x14ac:dyDescent="0.3">
      <c r="A28" s="23">
        <v>0.25</v>
      </c>
      <c r="B28" s="12">
        <v>0.15660000000000002</v>
      </c>
      <c r="C28" s="12">
        <v>0.20979601283747029</v>
      </c>
      <c r="D28" s="12">
        <v>0.15660000000000002</v>
      </c>
      <c r="E28" s="12">
        <v>0.21676214498846424</v>
      </c>
    </row>
    <row r="29" spans="1:5" x14ac:dyDescent="0.3">
      <c r="A29" s="23">
        <v>0.26</v>
      </c>
      <c r="B29" s="12">
        <v>0.15650800000000001</v>
      </c>
      <c r="C29" s="12">
        <v>0.20880571495730668</v>
      </c>
      <c r="D29" s="12">
        <v>0.15650800000000001</v>
      </c>
      <c r="E29" s="12">
        <v>0.21598365971526642</v>
      </c>
    </row>
    <row r="30" spans="1:5" x14ac:dyDescent="0.3">
      <c r="A30" s="23">
        <v>0.27</v>
      </c>
      <c r="B30" s="12">
        <v>0.156416</v>
      </c>
      <c r="C30" s="12">
        <v>0.20784527630193569</v>
      </c>
      <c r="D30" s="12">
        <v>0.156416</v>
      </c>
      <c r="E30" s="12">
        <v>0.21522838603678651</v>
      </c>
    </row>
    <row r="31" spans="1:5" x14ac:dyDescent="0.3">
      <c r="A31" s="23">
        <v>0.28000000000000003</v>
      </c>
      <c r="B31" s="12">
        <v>0.15632400000000002</v>
      </c>
      <c r="C31" s="12">
        <v>0.20691511266480273</v>
      </c>
      <c r="D31" s="12">
        <v>0.15632400000000002</v>
      </c>
      <c r="E31" s="12">
        <v>0.21449656914738752</v>
      </c>
    </row>
    <row r="32" spans="1:5" x14ac:dyDescent="0.3">
      <c r="A32" s="23">
        <v>0.29000000000000004</v>
      </c>
      <c r="B32" s="12">
        <v>0.15623200000000001</v>
      </c>
      <c r="C32" s="12">
        <v>0.20601563412278204</v>
      </c>
      <c r="D32" s="12">
        <v>0.15623200000000001</v>
      </c>
      <c r="E32" s="12">
        <v>0.21378844993123458</v>
      </c>
    </row>
    <row r="33" spans="1:5" x14ac:dyDescent="0.3">
      <c r="A33" s="23">
        <v>0.30000000000000004</v>
      </c>
      <c r="B33" s="12">
        <v>0.15614</v>
      </c>
      <c r="C33" s="12">
        <v>0.20514724429735828</v>
      </c>
      <c r="D33" s="12">
        <v>0.15614</v>
      </c>
      <c r="E33" s="12">
        <v>0.21310426462180429</v>
      </c>
    </row>
    <row r="34" spans="1:5" x14ac:dyDescent="0.3">
      <c r="A34" s="23">
        <v>0.31000000000000005</v>
      </c>
      <c r="B34" s="12">
        <v>0.15604800000000002</v>
      </c>
      <c r="C34" s="12">
        <v>0.20431033960240977</v>
      </c>
      <c r="D34" s="12">
        <v>0.15604800000000002</v>
      </c>
      <c r="E34" s="12">
        <v>0.2124442444595758</v>
      </c>
    </row>
    <row r="35" spans="1:5" x14ac:dyDescent="0.3">
      <c r="A35" s="23">
        <v>0.31999999999999995</v>
      </c>
      <c r="B35" s="12">
        <v>0.15595600000000001</v>
      </c>
      <c r="C35" s="12">
        <v>0.20350530848105167</v>
      </c>
      <c r="D35" s="12">
        <v>0.15595600000000001</v>
      </c>
      <c r="E35" s="12">
        <v>0.21180861534885684</v>
      </c>
    </row>
    <row r="36" spans="1:5" x14ac:dyDescent="0.3">
      <c r="A36" s="23">
        <v>0.32999999999999996</v>
      </c>
      <c r="B36" s="12">
        <v>0.155864</v>
      </c>
      <c r="C36" s="12">
        <v>0.20273253063420285</v>
      </c>
      <c r="D36" s="12">
        <v>0.155864</v>
      </c>
      <c r="E36" s="12">
        <v>0.21119759751474446</v>
      </c>
    </row>
    <row r="37" spans="1:5" x14ac:dyDescent="0.3">
      <c r="A37" s="23">
        <v>0.33999999999999997</v>
      </c>
      <c r="B37" s="12">
        <v>0.15577199999999999</v>
      </c>
      <c r="C37" s="12">
        <v>0.20199237624373848</v>
      </c>
      <c r="D37" s="12">
        <v>0.15577199999999999</v>
      </c>
      <c r="E37" s="12">
        <v>0.21061140516125904</v>
      </c>
    </row>
    <row r="38" spans="1:5" x14ac:dyDescent="0.3">
      <c r="A38" s="23">
        <v>0.35</v>
      </c>
      <c r="B38" s="12">
        <v>0.15568000000000001</v>
      </c>
      <c r="C38" s="12">
        <v>0.20128520519327794</v>
      </c>
      <c r="D38" s="12">
        <v>0.15568000000000001</v>
      </c>
      <c r="E38" s="12">
        <v>0.21005024613172915</v>
      </c>
    </row>
    <row r="39" spans="1:5" x14ac:dyDescent="0.3">
      <c r="A39" s="23">
        <v>0.36</v>
      </c>
      <c r="B39" s="12">
        <v>0.155588</v>
      </c>
      <c r="C39" s="12">
        <v>0.20061136628982915</v>
      </c>
      <c r="D39" s="12">
        <v>0.155588</v>
      </c>
      <c r="E39" s="12">
        <v>0.20951432157253594</v>
      </c>
    </row>
    <row r="40" spans="1:5" x14ac:dyDescent="0.3">
      <c r="A40" s="23">
        <v>0.37</v>
      </c>
      <c r="B40" s="12">
        <v>0.15549600000000002</v>
      </c>
      <c r="C40" s="12">
        <v>0.19997119648966447</v>
      </c>
      <c r="D40" s="12">
        <v>0.15549600000000002</v>
      </c>
      <c r="E40" s="12">
        <v>0.20900382560135114</v>
      </c>
    </row>
    <row r="41" spans="1:5" x14ac:dyDescent="0.3">
      <c r="A41" s="23">
        <v>0.38</v>
      </c>
      <c r="B41" s="12">
        <v>0.15540400000000001</v>
      </c>
      <c r="C41" s="12">
        <v>0.19936502013193788</v>
      </c>
      <c r="D41" s="12">
        <v>0.15540400000000001</v>
      </c>
      <c r="E41" s="12">
        <v>0.20851894498102563</v>
      </c>
    </row>
    <row r="42" spans="1:5" x14ac:dyDescent="0.3">
      <c r="A42" s="23">
        <v>0.39</v>
      </c>
      <c r="B42" s="12">
        <v>0.15531200000000001</v>
      </c>
      <c r="C42" s="12">
        <v>0.1987931481836635</v>
      </c>
      <c r="D42" s="12">
        <v>0.15531200000000001</v>
      </c>
      <c r="E42" s="12">
        <v>0.20805985880029815</v>
      </c>
    </row>
    <row r="43" spans="1:5" x14ac:dyDescent="0.3">
      <c r="A43" s="23">
        <v>0.4</v>
      </c>
      <c r="B43" s="12">
        <v>0.15522000000000002</v>
      </c>
      <c r="C43" s="12">
        <v>0.1982558774997604</v>
      </c>
      <c r="D43" s="12">
        <v>0.15522000000000002</v>
      </c>
      <c r="E43" s="12">
        <v>0.2076267381625016</v>
      </c>
    </row>
    <row r="44" spans="1:5" x14ac:dyDescent="0.3">
      <c r="A44" s="23">
        <v>0.41000000000000003</v>
      </c>
      <c r="B44" s="12">
        <v>0.15512800000000002</v>
      </c>
      <c r="C44" s="12">
        <v>0.19775349010192461</v>
      </c>
      <c r="D44" s="12">
        <v>0.15512800000000002</v>
      </c>
      <c r="E44" s="12">
        <v>0.20721974588344613</v>
      </c>
    </row>
    <row r="45" spans="1:5" x14ac:dyDescent="0.3">
      <c r="A45" s="23">
        <v>0.42000000000000004</v>
      </c>
      <c r="B45" s="12">
        <v>0.15503600000000001</v>
      </c>
      <c r="C45" s="12">
        <v>0.19728625248011578</v>
      </c>
      <c r="D45" s="12">
        <v>0.15503600000000001</v>
      </c>
      <c r="E45" s="12">
        <v>0.20683903619964972</v>
      </c>
    </row>
    <row r="46" spans="1:5" x14ac:dyDescent="0.3">
      <c r="A46" s="23">
        <v>0.43000000000000005</v>
      </c>
      <c r="B46" s="12">
        <v>0.15494400000000003</v>
      </c>
      <c r="C46" s="12">
        <v>0.19685441492043809</v>
      </c>
      <c r="D46" s="12">
        <v>0.15494400000000003</v>
      </c>
      <c r="E46" s="12">
        <v>0.20648475448807352</v>
      </c>
    </row>
    <row r="47" spans="1:5" x14ac:dyDescent="0.3">
      <c r="A47" s="23">
        <v>0.43999999999999995</v>
      </c>
      <c r="B47" s="12">
        <v>0.15485200000000002</v>
      </c>
      <c r="C47" s="12">
        <v>0.19645821086315532</v>
      </c>
      <c r="D47" s="12">
        <v>0.15485200000000002</v>
      </c>
      <c r="E47" s="12">
        <v>0.20615703699849783</v>
      </c>
    </row>
    <row r="48" spans="1:5" x14ac:dyDescent="0.3">
      <c r="A48" s="23">
        <v>0.44999999999999996</v>
      </c>
      <c r="B48" s="12">
        <v>0.15476000000000001</v>
      </c>
      <c r="C48" s="12">
        <v>0.19609785629450413</v>
      </c>
      <c r="D48" s="12">
        <v>0.15476000000000001</v>
      </c>
      <c r="E48" s="12">
        <v>0.2058560105996422</v>
      </c>
    </row>
    <row r="49" spans="1:6" x14ac:dyDescent="0.3">
      <c r="A49" s="23">
        <v>0.45999999999999996</v>
      </c>
      <c r="B49" s="12">
        <v>0.154668</v>
      </c>
      <c r="C49" s="12">
        <v>0.19577354917585776</v>
      </c>
      <c r="D49" s="12">
        <v>0.154668</v>
      </c>
      <c r="E49" s="12">
        <v>0.20558179254009826</v>
      </c>
    </row>
    <row r="50" spans="1:6" x14ac:dyDescent="0.3">
      <c r="A50" s="23">
        <v>0.47</v>
      </c>
      <c r="B50" s="12">
        <v>0.15457599999999999</v>
      </c>
      <c r="C50" s="12">
        <v>0.19548546891364585</v>
      </c>
      <c r="D50" s="12">
        <v>0.15457599999999999</v>
      </c>
      <c r="E50" s="12">
        <v>0.20533449022509589</v>
      </c>
    </row>
    <row r="51" spans="1:6" x14ac:dyDescent="0.3">
      <c r="A51" s="23">
        <v>0.48</v>
      </c>
      <c r="B51" s="12">
        <v>0.15448400000000001</v>
      </c>
      <c r="C51" s="12">
        <v>0.19523377587325408</v>
      </c>
      <c r="D51" s="12">
        <v>0.15448400000000001</v>
      </c>
      <c r="E51" s="12">
        <v>0.20511420101007147</v>
      </c>
    </row>
    <row r="52" spans="1:6" x14ac:dyDescent="0.3">
      <c r="A52" s="23">
        <v>0.49</v>
      </c>
      <c r="B52" s="12">
        <v>0.15439200000000003</v>
      </c>
      <c r="C52" s="12">
        <v>0.19501861093991002</v>
      </c>
      <c r="D52" s="12">
        <v>0.15439200000000003</v>
      </c>
      <c r="E52" s="12">
        <v>0.20492101201194571</v>
      </c>
    </row>
    <row r="53" spans="1:6" x14ac:dyDescent="0.3">
      <c r="A53" s="23">
        <v>0.5</v>
      </c>
      <c r="B53" s="12">
        <v>0.15429999999999999</v>
      </c>
      <c r="C53" s="12">
        <v>0.19484009512931366</v>
      </c>
      <c r="D53" s="12">
        <v>0.15429999999999999</v>
      </c>
      <c r="E53" s="12">
        <v>0.20475499993895144</v>
      </c>
      <c r="F53" t="s">
        <v>124</v>
      </c>
    </row>
    <row r="54" spans="1:6" x14ac:dyDescent="0.3">
      <c r="A54" s="23">
        <v>0.51</v>
      </c>
      <c r="B54" s="12">
        <v>0.15420800000000001</v>
      </c>
      <c r="C54" s="12">
        <v>0.19469832925048944</v>
      </c>
      <c r="D54" s="12">
        <v>0.15420800000000001</v>
      </c>
      <c r="E54" s="12">
        <v>0.20461623093977663</v>
      </c>
    </row>
    <row r="55" spans="1:6" x14ac:dyDescent="0.3">
      <c r="A55" s="23">
        <v>0.52</v>
      </c>
      <c r="B55" s="12">
        <v>0.154116</v>
      </c>
      <c r="C55" s="12">
        <v>0.1945933936230313</v>
      </c>
      <c r="D55" s="12">
        <v>0.154116</v>
      </c>
      <c r="E55" s="12">
        <v>0.2045047604727088</v>
      </c>
    </row>
    <row r="56" spans="1:6" x14ac:dyDescent="0.3">
      <c r="A56" s="23">
        <v>0.53</v>
      </c>
      <c r="B56" s="12">
        <v>0.15402399999999999</v>
      </c>
      <c r="C56" s="12">
        <v>0.19452534785057704</v>
      </c>
      <c r="D56" s="12">
        <v>0.15402399999999999</v>
      </c>
      <c r="E56" s="12">
        <v>0.20442063319537979</v>
      </c>
    </row>
    <row r="57" spans="1:6" x14ac:dyDescent="0.3">
      <c r="A57" s="23">
        <v>0.54</v>
      </c>
      <c r="B57" s="12">
        <v>0.15393200000000001</v>
      </c>
      <c r="C57" s="12">
        <v>0.19449423065199647</v>
      </c>
      <c r="D57" s="12">
        <v>0.15393200000000001</v>
      </c>
      <c r="E57" s="12">
        <v>0.20436388287561968</v>
      </c>
    </row>
    <row r="58" spans="1:6" x14ac:dyDescent="0.3">
      <c r="A58" s="23">
        <v>0.55000000000000004</v>
      </c>
      <c r="B58" s="12">
        <v>0.15384000000000003</v>
      </c>
      <c r="C58" s="12">
        <v>0.19450005975140472</v>
      </c>
      <c r="D58" s="12">
        <v>0.15384000000000003</v>
      </c>
      <c r="E58" s="12">
        <v>0.20433453232383411</v>
      </c>
    </row>
    <row r="59" spans="1:6" x14ac:dyDescent="0.3">
      <c r="A59" s="23">
        <v>0.56000000000000005</v>
      </c>
      <c r="B59" s="12">
        <v>0.153748</v>
      </c>
      <c r="C59" s="12">
        <v>0.19454283182772888</v>
      </c>
      <c r="D59" s="12">
        <v>0.153748</v>
      </c>
      <c r="E59" s="12">
        <v>0.20433259334721907</v>
      </c>
    </row>
    <row r="60" spans="1:6" x14ac:dyDescent="0.3">
      <c r="A60" s="23">
        <v>0.57000000000000095</v>
      </c>
      <c r="B60" s="12">
        <v>0.15365599999999999</v>
      </c>
      <c r="C60" s="12">
        <v>0.19462252252416212</v>
      </c>
      <c r="D60" s="12">
        <v>0.15365599999999999</v>
      </c>
      <c r="E60" s="12">
        <v>0.20435806672602871</v>
      </c>
    </row>
    <row r="61" spans="1:6" x14ac:dyDescent="0.3">
      <c r="A61" s="23">
        <v>0.58000000000000096</v>
      </c>
      <c r="B61" s="12">
        <v>0.15356399999999998</v>
      </c>
      <c r="C61" s="12">
        <v>0.19473908651744262</v>
      </c>
      <c r="D61" s="12">
        <v>0.15356399999999998</v>
      </c>
      <c r="E61" s="12">
        <v>0.20441094221200587</v>
      </c>
    </row>
    <row r="62" spans="1:6" x14ac:dyDescent="0.3">
      <c r="A62" s="23">
        <v>0.59000000000000097</v>
      </c>
      <c r="B62" s="12">
        <v>0.153472</v>
      </c>
      <c r="C62" s="12">
        <v>0.19489245764649796</v>
      </c>
      <c r="D62" s="12">
        <v>0.153472</v>
      </c>
      <c r="E62" s="12">
        <v>0.20449119854898401</v>
      </c>
    </row>
    <row r="63" spans="1:6" x14ac:dyDescent="0.3">
      <c r="A63" s="23">
        <v>0.60000000000000098</v>
      </c>
      <c r="B63" s="12">
        <v>0.15338000000000002</v>
      </c>
      <c r="C63" s="12">
        <v>0.19508254909960554</v>
      </c>
      <c r="D63" s="12">
        <v>0.15338000000000002</v>
      </c>
      <c r="E63" s="12">
        <v>0.20459880351556314</v>
      </c>
    </row>
    <row r="64" spans="1:6" x14ac:dyDescent="0.3">
      <c r="A64" s="23">
        <v>0.61000000000000099</v>
      </c>
      <c r="B64" s="12">
        <v>0.15328799999999998</v>
      </c>
      <c r="C64" s="12">
        <v>0.1953092536588372</v>
      </c>
      <c r="D64" s="12">
        <v>0.15328799999999998</v>
      </c>
      <c r="E64" s="12">
        <v>0.20473371398966025</v>
      </c>
    </row>
    <row r="65" spans="1:5" x14ac:dyDescent="0.3">
      <c r="A65" s="23">
        <v>0.62000000000000099</v>
      </c>
      <c r="B65" s="12">
        <v>0.153196</v>
      </c>
      <c r="C65" s="12">
        <v>0.19557244400019141</v>
      </c>
      <c r="D65" s="12">
        <v>0.153196</v>
      </c>
      <c r="E65" s="12">
        <v>0.20489587603463374</v>
      </c>
    </row>
    <row r="66" spans="1:5" x14ac:dyDescent="0.3">
      <c r="A66" s="23">
        <v>0.630000000000001</v>
      </c>
      <c r="B66" s="12">
        <v>0.15310399999999999</v>
      </c>
      <c r="C66" s="12">
        <v>0.19587197304746795</v>
      </c>
      <c r="D66" s="12">
        <v>0.15310399999999999</v>
      </c>
      <c r="E66" s="12">
        <v>0.20508522500658111</v>
      </c>
    </row>
    <row r="67" spans="1:5" x14ac:dyDescent="0.3">
      <c r="A67" s="23">
        <v>0.64000000000000101</v>
      </c>
      <c r="B67" s="12">
        <v>0.15301200000000001</v>
      </c>
      <c r="C67" s="12">
        <v>0.19620767437761452</v>
      </c>
      <c r="D67" s="12">
        <v>0.15301200000000001</v>
      </c>
      <c r="E67" s="12">
        <v>0.20530168568231486</v>
      </c>
    </row>
    <row r="68" spans="1:5" x14ac:dyDescent="0.3">
      <c r="A68" s="23">
        <v>0.65000000000000102</v>
      </c>
      <c r="B68" s="12">
        <v>0.15292</v>
      </c>
      <c r="C68" s="12">
        <v>0.19657936267497669</v>
      </c>
      <c r="D68" s="12">
        <v>0.15292</v>
      </c>
      <c r="E68" s="12">
        <v>0.20554517240742973</v>
      </c>
    </row>
    <row r="69" spans="1:5" x14ac:dyDescent="0.3">
      <c r="A69" s="23">
        <v>0.66000000000000103</v>
      </c>
      <c r="B69" s="12">
        <v>0.15282800000000002</v>
      </c>
      <c r="C69" s="12">
        <v>0.19698683423161056</v>
      </c>
      <c r="D69" s="12">
        <v>0.15282800000000002</v>
      </c>
      <c r="E69" s="12">
        <v>0.20581558926378732</v>
      </c>
    </row>
    <row r="70" spans="1:5" x14ac:dyDescent="0.3">
      <c r="A70" s="23">
        <v>0.67000000000000104</v>
      </c>
      <c r="B70" s="12">
        <v>0.15273599999999998</v>
      </c>
      <c r="C70" s="12">
        <v>0.19742986749058009</v>
      </c>
      <c r="D70" s="12">
        <v>0.15273599999999998</v>
      </c>
      <c r="E70" s="12">
        <v>0.20611283025566363</v>
      </c>
    </row>
    <row r="71" spans="1:5" x14ac:dyDescent="0.3">
      <c r="A71" s="23">
        <v>0.68000000000000105</v>
      </c>
      <c r="B71" s="12">
        <v>0.152644</v>
      </c>
      <c r="C71" s="12">
        <v>0.19790822362895388</v>
      </c>
      <c r="D71" s="12">
        <v>0.152644</v>
      </c>
      <c r="E71" s="12">
        <v>0.20643677951372916</v>
      </c>
    </row>
    <row r="72" spans="1:5" x14ac:dyDescent="0.3">
      <c r="A72" s="23">
        <v>0.69000000000000106</v>
      </c>
      <c r="B72" s="12">
        <v>0.15255200000000002</v>
      </c>
      <c r="C72" s="12">
        <v>0.19842164717704575</v>
      </c>
      <c r="D72" s="12">
        <v>0.15255200000000002</v>
      </c>
      <c r="E72" s="12">
        <v>0.20678731151596322</v>
      </c>
    </row>
    <row r="73" spans="1:5" x14ac:dyDescent="0.3">
      <c r="A73" s="23">
        <v>0.70000000000000107</v>
      </c>
      <c r="B73" s="12">
        <v>0.15246000000000001</v>
      </c>
      <c r="C73" s="12">
        <v>0.19896986667030772</v>
      </c>
      <c r="D73" s="12">
        <v>0.15246000000000001</v>
      </c>
      <c r="E73" s="12">
        <v>0.20716429132454275</v>
      </c>
    </row>
    <row r="74" spans="1:5" x14ac:dyDescent="0.3">
      <c r="A74" s="23">
        <v>0.71000000000000107</v>
      </c>
      <c r="B74" s="12">
        <v>0.152368</v>
      </c>
      <c r="C74" s="12">
        <v>0.19955259533018363</v>
      </c>
      <c r="D74" s="12">
        <v>0.152368</v>
      </c>
      <c r="E74" s="12">
        <v>0.20756757483768998</v>
      </c>
    </row>
    <row r="75" spans="1:5" x14ac:dyDescent="0.3">
      <c r="A75" s="23">
        <v>0.72000000000000097</v>
      </c>
      <c r="B75" s="12">
        <v>0.15227599999999999</v>
      </c>
      <c r="C75" s="12">
        <v>0.20016953177016733</v>
      </c>
      <c r="D75" s="12">
        <v>0.15227599999999999</v>
      </c>
      <c r="E75" s="12">
        <v>0.20799700905541893</v>
      </c>
    </row>
    <row r="76" spans="1:5" x14ac:dyDescent="0.3">
      <c r="A76" s="23">
        <v>0.73000000000000098</v>
      </c>
      <c r="B76" s="12">
        <v>0.15218399999999999</v>
      </c>
      <c r="C76" s="12">
        <v>0.2008203607232793</v>
      </c>
      <c r="D76" s="12">
        <v>0.15218399999999999</v>
      </c>
      <c r="E76" s="12">
        <v>0.20845243235808025</v>
      </c>
    </row>
    <row r="77" spans="1:5" x14ac:dyDescent="0.3">
      <c r="A77" s="23">
        <v>0.74000000000000099</v>
      </c>
      <c r="B77" s="12">
        <v>0.152092</v>
      </c>
      <c r="C77" s="12">
        <v>0.20150475378718</v>
      </c>
      <c r="D77" s="12">
        <v>0.152092</v>
      </c>
      <c r="E77" s="12">
        <v>0.20893367479657277</v>
      </c>
    </row>
    <row r="78" spans="1:5" x14ac:dyDescent="0.3">
      <c r="A78" s="23">
        <v>0.750000000000001</v>
      </c>
      <c r="B78" s="12">
        <v>0.152</v>
      </c>
      <c r="C78" s="12">
        <v>0.20222237018317243</v>
      </c>
      <c r="D78" s="12">
        <v>0.152</v>
      </c>
      <c r="E78" s="12">
        <v>0.20944055839306774</v>
      </c>
    </row>
    <row r="79" spans="1:5" x14ac:dyDescent="0.3">
      <c r="A79" s="23">
        <v>0.76000000000000101</v>
      </c>
      <c r="B79" s="12">
        <v>0.15190799999999999</v>
      </c>
      <c r="C79" s="12">
        <v>0.20297285752541405</v>
      </c>
      <c r="D79" s="12">
        <v>0.15190799999999999</v>
      </c>
      <c r="E79" s="12">
        <v>0.20997289745107589</v>
      </c>
    </row>
    <row r="80" spans="1:5" x14ac:dyDescent="0.3">
      <c r="A80" s="23">
        <v>0.77000000000000102</v>
      </c>
      <c r="B80" s="12">
        <v>0.15181600000000001</v>
      </c>
      <c r="C80" s="12">
        <v>0.2037558525967488</v>
      </c>
      <c r="D80" s="12">
        <v>0.15181600000000001</v>
      </c>
      <c r="E80" s="12">
        <v>0.2105304988736787</v>
      </c>
    </row>
    <row r="81" spans="1:5" x14ac:dyDescent="0.3">
      <c r="A81" s="23">
        <v>0.78000000000000103</v>
      </c>
      <c r="B81" s="12">
        <v>0.151724</v>
      </c>
      <c r="C81" s="12">
        <v>0.2045709821276909</v>
      </c>
      <c r="D81" s="12">
        <v>0.151724</v>
      </c>
      <c r="E81" s="12">
        <v>0.21111316248874684</v>
      </c>
    </row>
    <row r="82" spans="1:5" x14ac:dyDescent="0.3">
      <c r="A82" s="23">
        <v>0.79000000000000103</v>
      </c>
      <c r="B82" s="12">
        <v>0.15163199999999999</v>
      </c>
      <c r="C82" s="12">
        <v>0.20541786357523059</v>
      </c>
      <c r="D82" s="12">
        <v>0.15163199999999999</v>
      </c>
      <c r="E82" s="12">
        <v>0.21172068137997296</v>
      </c>
    </row>
    <row r="83" spans="1:5" x14ac:dyDescent="0.3">
      <c r="A83" s="23">
        <v>0.80000000000000093</v>
      </c>
      <c r="B83" s="12">
        <v>0.15153999999999998</v>
      </c>
      <c r="C83" s="12">
        <v>0.20629610589829375</v>
      </c>
      <c r="D83" s="12">
        <v>0.15153999999999998</v>
      </c>
      <c r="E83" s="12">
        <v>0.21235284222256132</v>
      </c>
    </row>
    <row r="84" spans="1:5" x14ac:dyDescent="0.3">
      <c r="A84" s="23">
        <v>0.81000000000000094</v>
      </c>
      <c r="B84" s="12">
        <v>0.15144799999999997</v>
      </c>
      <c r="C84" s="12">
        <v>0.20720531032686404</v>
      </c>
      <c r="D84" s="12">
        <v>0.15144799999999997</v>
      </c>
      <c r="E84" s="12">
        <v>0.21300942562243583</v>
      </c>
    </row>
    <row r="85" spans="1:5" x14ac:dyDescent="0.3">
      <c r="A85" s="23">
        <v>0.82000000000000095</v>
      </c>
      <c r="B85" s="12">
        <v>0.15135599999999999</v>
      </c>
      <c r="C85" s="12">
        <v>0.2081450711219654</v>
      </c>
      <c r="D85" s="12">
        <v>0.15135599999999999</v>
      </c>
      <c r="E85" s="12">
        <v>0.21369020645785344</v>
      </c>
    </row>
    <row r="86" spans="1:5" x14ac:dyDescent="0.3">
      <c r="A86" s="23">
        <v>0.83000000000000096</v>
      </c>
      <c r="B86" s="12">
        <v>0.15126399999999998</v>
      </c>
      <c r="C86" s="12">
        <v>0.20911497632390666</v>
      </c>
      <c r="D86" s="12">
        <v>0.15126399999999998</v>
      </c>
      <c r="E86" s="12">
        <v>0.21439495422234178</v>
      </c>
    </row>
    <row r="87" spans="1:5" x14ac:dyDescent="0.3">
      <c r="A87" s="23">
        <v>0.84000000000000097</v>
      </c>
      <c r="B87" s="12">
        <v>0.15117199999999997</v>
      </c>
      <c r="C87" s="12">
        <v>0.21011460848639735</v>
      </c>
      <c r="D87" s="12">
        <v>0.15117199999999997</v>
      </c>
      <c r="E87" s="12">
        <v>0.21512343336791562</v>
      </c>
    </row>
    <row r="88" spans="1:5" x14ac:dyDescent="0.3">
      <c r="A88" s="23">
        <v>0.85000000000000098</v>
      </c>
      <c r="B88" s="12">
        <v>0.15107999999999999</v>
      </c>
      <c r="C88" s="12">
        <v>0.2111435453943597</v>
      </c>
      <c r="D88" s="12">
        <v>0.15107999999999999</v>
      </c>
      <c r="E88" s="12">
        <v>0.21587540364756708</v>
      </c>
    </row>
    <row r="89" spans="1:5" x14ac:dyDescent="0.3">
      <c r="A89" s="23">
        <v>0.86000000000000099</v>
      </c>
      <c r="B89" s="12">
        <v>0.15098799999999998</v>
      </c>
      <c r="C89" s="12">
        <v>0.2122013607634787</v>
      </c>
      <c r="D89" s="12">
        <v>0.15098799999999998</v>
      </c>
      <c r="E89" s="12">
        <v>0.21665062045606986</v>
      </c>
    </row>
    <row r="90" spans="1:5" x14ac:dyDescent="0.3">
      <c r="A90" s="23">
        <v>0.87000000000000099</v>
      </c>
      <c r="B90" s="12">
        <v>0.150896</v>
      </c>
      <c r="C90" s="12">
        <v>0.2132876249197502</v>
      </c>
      <c r="D90" s="12">
        <v>0.150896</v>
      </c>
      <c r="E90" s="12">
        <v>0.21744883516818395</v>
      </c>
    </row>
    <row r="91" spans="1:5" x14ac:dyDescent="0.3">
      <c r="A91" s="23">
        <v>0.880000000000001</v>
      </c>
      <c r="B91" s="12">
        <v>0.15080399999999999</v>
      </c>
      <c r="C91" s="12">
        <v>0.21440190545750298</v>
      </c>
      <c r="D91" s="12">
        <v>0.15080399999999999</v>
      </c>
      <c r="E91" s="12">
        <v>0.21826979547340039</v>
      </c>
    </row>
    <row r="92" spans="1:5" x14ac:dyDescent="0.3">
      <c r="A92" s="23">
        <v>0.89000000000000101</v>
      </c>
      <c r="B92" s="12">
        <v>0.15071200000000001</v>
      </c>
      <c r="C92" s="12">
        <v>0.21554376787458285</v>
      </c>
      <c r="D92" s="12">
        <v>0.15071200000000001</v>
      </c>
      <c r="E92" s="12">
        <v>0.21911324570641555</v>
      </c>
    </row>
    <row r="93" spans="1:5" x14ac:dyDescent="0.3">
      <c r="A93" s="23">
        <v>0.90000000000000102</v>
      </c>
      <c r="B93" s="12">
        <v>0.15062</v>
      </c>
      <c r="C93" s="12">
        <v>0.21671277618359294</v>
      </c>
      <c r="D93" s="12">
        <v>0.15062</v>
      </c>
      <c r="E93" s="12">
        <v>0.2199789271725818</v>
      </c>
    </row>
    <row r="94" spans="1:5" x14ac:dyDescent="0.3">
      <c r="A94" s="23">
        <v>0.91000000000000103</v>
      </c>
      <c r="B94" s="12">
        <v>0.150528</v>
      </c>
      <c r="C94" s="12">
        <v>0.21790849349828484</v>
      </c>
      <c r="D94" s="12">
        <v>0.150528</v>
      </c>
      <c r="E94" s="12">
        <v>0.22086657846763516</v>
      </c>
    </row>
    <row r="95" spans="1:5" x14ac:dyDescent="0.3">
      <c r="A95" s="23">
        <v>0.92000000000000104</v>
      </c>
      <c r="B95" s="12">
        <v>0.15043599999999999</v>
      </c>
      <c r="C95" s="12">
        <v>0.21913048259438497</v>
      </c>
      <c r="D95" s="12">
        <v>0.15043599999999999</v>
      </c>
      <c r="E95" s="12">
        <v>0.22177593579105925</v>
      </c>
    </row>
    <row r="96" spans="1:5" x14ac:dyDescent="0.3">
      <c r="A96" s="23">
        <v>0.93000000000000105</v>
      </c>
      <c r="B96" s="12">
        <v>0.15034399999999998</v>
      </c>
      <c r="C96" s="12">
        <v>0.2203783064443233</v>
      </c>
      <c r="D96" s="12">
        <v>0.15034399999999998</v>
      </c>
      <c r="E96" s="12">
        <v>0.22270673325249968</v>
      </c>
    </row>
    <row r="97" spans="1:6" x14ac:dyDescent="0.3">
      <c r="A97" s="23">
        <v>0.94000000000000095</v>
      </c>
      <c r="B97" s="12">
        <v>0.150252</v>
      </c>
      <c r="C97" s="12">
        <v>0.22165152872550203</v>
      </c>
      <c r="D97" s="12">
        <v>0.150252</v>
      </c>
      <c r="E97" s="12">
        <v>0.22365870317070169</v>
      </c>
    </row>
    <row r="98" spans="1:6" x14ac:dyDescent="0.3">
      <c r="A98" s="23">
        <v>0.95000000000000095</v>
      </c>
      <c r="B98" s="12">
        <v>0.15015999999999999</v>
      </c>
      <c r="C98" s="12">
        <v>0.22294971430190275</v>
      </c>
      <c r="D98" s="12">
        <v>0.15015999999999999</v>
      </c>
      <c r="E98" s="12">
        <v>0.22463157636449962</v>
      </c>
    </row>
    <row r="99" spans="1:6" x14ac:dyDescent="0.3">
      <c r="A99" s="23">
        <v>0.96000000000000096</v>
      </c>
      <c r="B99" s="12">
        <v>0.15006799999999998</v>
      </c>
      <c r="C99" s="12">
        <v>0.22427242967897784</v>
      </c>
      <c r="D99" s="12">
        <v>0.15006799999999998</v>
      </c>
      <c r="E99" s="12">
        <v>0.2256250824354421</v>
      </c>
    </row>
    <row r="100" spans="1:6" x14ac:dyDescent="0.3">
      <c r="A100" s="23">
        <v>0.97000000000000097</v>
      </c>
      <c r="B100" s="12">
        <v>0.149976</v>
      </c>
      <c r="C100" s="12">
        <v>0.22561924343191131</v>
      </c>
      <c r="D100" s="12">
        <v>0.149976</v>
      </c>
      <c r="E100" s="12">
        <v>0.22663895004169085</v>
      </c>
    </row>
    <row r="101" spans="1:6" x14ac:dyDescent="0.3">
      <c r="A101" s="23">
        <v>0.98000000000000098</v>
      </c>
      <c r="B101" s="12">
        <v>0.14988399999999999</v>
      </c>
      <c r="C101" s="12">
        <v>0.22698972660745698</v>
      </c>
      <c r="D101" s="12">
        <v>0.14988399999999999</v>
      </c>
      <c r="E101" s="12">
        <v>0.22767290716288585</v>
      </c>
    </row>
    <row r="102" spans="1:6" x14ac:dyDescent="0.3">
      <c r="A102" s="23">
        <v>0.99000000000000099</v>
      </c>
      <c r="B102" s="12">
        <v>0.14979199999999998</v>
      </c>
      <c r="C102" s="12">
        <v>0.22838345309967634</v>
      </c>
      <c r="D102" s="12">
        <v>0.14979199999999998</v>
      </c>
      <c r="E102" s="12">
        <v>0.22872668135571778</v>
      </c>
    </row>
    <row r="103" spans="1:6" x14ac:dyDescent="0.3">
      <c r="A103" s="23">
        <v>1</v>
      </c>
      <c r="B103" s="12">
        <v>0.1497</v>
      </c>
      <c r="C103" s="12">
        <v>0.2298</v>
      </c>
      <c r="D103" s="12">
        <v>0.1497</v>
      </c>
      <c r="E103" s="12">
        <v>0.2298</v>
      </c>
      <c r="F103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3" sqref="L13"/>
    </sheetView>
  </sheetViews>
  <sheetFormatPr defaultRowHeight="15.6" x14ac:dyDescent="0.3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6"/>
  <sheetViews>
    <sheetView workbookViewId="0">
      <selection activeCell="B3" sqref="B3"/>
    </sheetView>
  </sheetViews>
  <sheetFormatPr defaultRowHeight="15.6" x14ac:dyDescent="0.3"/>
  <cols>
    <col min="1" max="1" width="12.6328125" bestFit="1" customWidth="1"/>
    <col min="2" max="4" width="6.81640625" bestFit="1" customWidth="1"/>
    <col min="5" max="5" width="9.6328125" bestFit="1" customWidth="1"/>
    <col min="7" max="7" width="12.36328125" customWidth="1"/>
    <col min="8" max="8" width="13.90625" style="1" bestFit="1" customWidth="1"/>
    <col min="9" max="9" width="12.90625" style="1" bestFit="1" customWidth="1"/>
    <col min="10" max="11" width="8.7265625" style="23"/>
  </cols>
  <sheetData>
    <row r="2" spans="1:14" x14ac:dyDescent="0.3">
      <c r="A2" t="s">
        <v>128</v>
      </c>
      <c r="B2" s="23">
        <v>4</v>
      </c>
    </row>
    <row r="3" spans="1:14" x14ac:dyDescent="0.3">
      <c r="B3" s="23"/>
    </row>
    <row r="4" spans="1:14" x14ac:dyDescent="0.3">
      <c r="A4" t="s">
        <v>129</v>
      </c>
      <c r="B4" t="s">
        <v>14</v>
      </c>
      <c r="C4" t="s">
        <v>70</v>
      </c>
      <c r="D4" t="s">
        <v>24</v>
      </c>
      <c r="E4" t="s">
        <v>130</v>
      </c>
      <c r="G4" t="s">
        <v>129</v>
      </c>
      <c r="H4" s="1" t="s">
        <v>133</v>
      </c>
      <c r="I4" s="1" t="s">
        <v>134</v>
      </c>
      <c r="J4" s="23" t="s">
        <v>1</v>
      </c>
      <c r="K4" s="23" t="s">
        <v>135</v>
      </c>
      <c r="L4" t="s">
        <v>136</v>
      </c>
      <c r="M4" t="s">
        <v>137</v>
      </c>
      <c r="N4" t="s">
        <v>138</v>
      </c>
    </row>
    <row r="5" spans="1:14" x14ac:dyDescent="0.3">
      <c r="A5" t="s">
        <v>56</v>
      </c>
      <c r="B5" s="2">
        <v>0.2</v>
      </c>
      <c r="C5" s="2">
        <v>0.3</v>
      </c>
      <c r="D5" s="34">
        <f t="shared" ref="D5:D7" si="0">C5*C5</f>
        <v>0.09</v>
      </c>
      <c r="E5" s="34">
        <f t="shared" ref="E5:E7" si="1">B5-0.5*$B$2*D5</f>
        <v>2.0000000000000018E-2</v>
      </c>
      <c r="G5" t="s">
        <v>56</v>
      </c>
      <c r="H5" s="1">
        <v>150000</v>
      </c>
      <c r="I5" s="1">
        <v>50000</v>
      </c>
      <c r="J5" s="23">
        <v>0.5</v>
      </c>
      <c r="K5" s="23">
        <f>1-J5</f>
        <v>0.5</v>
      </c>
      <c r="L5">
        <f t="shared" ref="L5:M6" si="2">LN(H5)</f>
        <v>11.918390573078392</v>
      </c>
      <c r="M5">
        <f t="shared" si="2"/>
        <v>10.819778284410283</v>
      </c>
      <c r="N5">
        <f t="shared" ref="N5:N6" si="3">J5*L5+K5*M5</f>
        <v>11.369084428744337</v>
      </c>
    </row>
    <row r="6" spans="1:14" x14ac:dyDescent="0.3">
      <c r="A6" t="s">
        <v>57</v>
      </c>
      <c r="B6" s="2">
        <v>0.13</v>
      </c>
      <c r="C6" s="2">
        <v>0.15</v>
      </c>
      <c r="D6" s="34">
        <f t="shared" si="0"/>
        <v>2.2499999999999999E-2</v>
      </c>
      <c r="E6" s="34">
        <f t="shared" si="1"/>
        <v>8.5000000000000006E-2</v>
      </c>
      <c r="G6" t="s">
        <v>57</v>
      </c>
      <c r="H6" s="1">
        <v>125000</v>
      </c>
      <c r="I6" s="1">
        <v>55000</v>
      </c>
      <c r="J6" s="23">
        <f>2/3</f>
        <v>0.66666666666666663</v>
      </c>
      <c r="K6" s="23">
        <f>1-J6</f>
        <v>0.33333333333333337</v>
      </c>
      <c r="L6">
        <f t="shared" si="2"/>
        <v>11.736069016284437</v>
      </c>
      <c r="M6">
        <f t="shared" si="2"/>
        <v>10.915088464214607</v>
      </c>
      <c r="N6">
        <f t="shared" si="3"/>
        <v>11.462408832261161</v>
      </c>
    </row>
    <row r="7" spans="1:14" x14ac:dyDescent="0.3">
      <c r="A7" t="s">
        <v>58</v>
      </c>
      <c r="B7" s="2">
        <v>0.23</v>
      </c>
      <c r="C7" s="2">
        <v>0.45</v>
      </c>
      <c r="D7" s="34">
        <f t="shared" si="0"/>
        <v>0.20250000000000001</v>
      </c>
      <c r="E7" s="34">
        <f t="shared" si="1"/>
        <v>-0.17500000000000002</v>
      </c>
    </row>
    <row r="9" spans="1:14" x14ac:dyDescent="0.3">
      <c r="A9" t="s">
        <v>129</v>
      </c>
      <c r="B9" t="s">
        <v>14</v>
      </c>
      <c r="C9" t="s">
        <v>70</v>
      </c>
      <c r="D9" t="s">
        <v>24</v>
      </c>
      <c r="E9" t="s">
        <v>130</v>
      </c>
    </row>
    <row r="10" spans="1:14" x14ac:dyDescent="0.3">
      <c r="A10" t="s">
        <v>132</v>
      </c>
      <c r="B10" s="2">
        <v>0.2</v>
      </c>
      <c r="C10" s="2">
        <v>0.3</v>
      </c>
      <c r="D10" s="34">
        <f t="shared" ref="D10:D11" si="4">C10*C10</f>
        <v>0.09</v>
      </c>
      <c r="E10" s="34">
        <f t="shared" ref="E10:E11" si="5">B10-0.5*$B$2*D10</f>
        <v>2.0000000000000018E-2</v>
      </c>
    </row>
    <row r="11" spans="1:14" x14ac:dyDescent="0.3">
      <c r="A11" t="s">
        <v>131</v>
      </c>
      <c r="B11" s="2">
        <v>0.05</v>
      </c>
      <c r="C11" s="2">
        <v>0</v>
      </c>
      <c r="D11" s="34">
        <f t="shared" si="4"/>
        <v>0</v>
      </c>
      <c r="E11" s="34">
        <f t="shared" si="5"/>
        <v>0.05</v>
      </c>
    </row>
    <row r="13" spans="1:14" x14ac:dyDescent="0.3">
      <c r="A13" t="s">
        <v>129</v>
      </c>
      <c r="B13" t="s">
        <v>14</v>
      </c>
      <c r="C13" t="s">
        <v>70</v>
      </c>
      <c r="D13" t="s">
        <v>24</v>
      </c>
      <c r="E13" t="s">
        <v>130</v>
      </c>
    </row>
    <row r="14" spans="1:14" x14ac:dyDescent="0.3">
      <c r="A14" t="s">
        <v>56</v>
      </c>
      <c r="B14" s="2">
        <v>0.15</v>
      </c>
      <c r="C14" s="2">
        <v>0.25</v>
      </c>
      <c r="D14" s="34">
        <f t="shared" ref="D14:D16" si="6">C14*C14</f>
        <v>6.25E-2</v>
      </c>
      <c r="E14" s="34">
        <f t="shared" ref="E14:E16" si="7">B14-0.5*$B$2*D14</f>
        <v>2.4999999999999994E-2</v>
      </c>
    </row>
    <row r="15" spans="1:14" x14ac:dyDescent="0.3">
      <c r="A15" t="s">
        <v>57</v>
      </c>
      <c r="B15" s="2">
        <v>0.2</v>
      </c>
      <c r="C15" s="2">
        <v>0.3</v>
      </c>
      <c r="D15" s="34">
        <f t="shared" si="6"/>
        <v>0.09</v>
      </c>
      <c r="E15" s="34">
        <f t="shared" si="7"/>
        <v>2.0000000000000018E-2</v>
      </c>
    </row>
    <row r="16" spans="1:14" x14ac:dyDescent="0.3">
      <c r="A16" t="s">
        <v>58</v>
      </c>
      <c r="B16" s="2">
        <v>0.25</v>
      </c>
      <c r="C16" s="2">
        <v>0.45</v>
      </c>
      <c r="D16" s="34">
        <f t="shared" si="6"/>
        <v>0.20250000000000001</v>
      </c>
      <c r="E16" s="34">
        <f t="shared" si="7"/>
        <v>-0.15500000000000003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opLeftCell="O1" workbookViewId="0">
      <selection activeCell="AA3" sqref="AA3"/>
    </sheetView>
  </sheetViews>
  <sheetFormatPr defaultRowHeight="15.6" x14ac:dyDescent="0.3"/>
  <cols>
    <col min="1" max="1" width="8.6328125" style="2" bestFit="1" customWidth="1"/>
    <col min="2" max="2" width="6.81640625" style="2" bestFit="1" customWidth="1"/>
    <col min="3" max="3" width="14.7265625" style="2" bestFit="1" customWidth="1"/>
    <col min="4" max="4" width="13.6328125" style="24" bestFit="1" customWidth="1"/>
    <col min="6" max="6" width="14.36328125" style="2" customWidth="1"/>
    <col min="7" max="7" width="8.7265625" style="2"/>
    <col min="8" max="8" width="14.36328125" style="2" customWidth="1"/>
    <col min="10" max="10" width="8.7265625" style="24"/>
    <col min="13" max="13" width="10.36328125" style="2" customWidth="1"/>
    <col min="14" max="14" width="13.36328125" style="2" customWidth="1"/>
    <col min="15" max="15" width="11.36328125" style="2" customWidth="1"/>
    <col min="16" max="16" width="8.7265625" style="34"/>
    <col min="18" max="18" width="9.36328125" style="2" customWidth="1"/>
    <col min="19" max="19" width="10.36328125" style="2" customWidth="1"/>
    <col min="20" max="20" width="8.7265625" style="2"/>
    <col min="22" max="22" width="9.36328125" style="2" customWidth="1"/>
    <col min="23" max="23" width="10.36328125" style="2" customWidth="1"/>
    <col min="24" max="24" width="13.36328125" style="2" customWidth="1"/>
    <col min="25" max="25" width="8.7265625" style="2"/>
    <col min="26" max="26" width="9.36328125" style="34" customWidth="1"/>
    <col min="27" max="27" width="9.54296875" style="2" customWidth="1"/>
  </cols>
  <sheetData>
    <row r="1" spans="1:27" x14ac:dyDescent="0.3">
      <c r="A1" s="2" t="s">
        <v>53</v>
      </c>
      <c r="B1" s="2" t="s">
        <v>70</v>
      </c>
      <c r="C1" s="2" t="s">
        <v>139</v>
      </c>
      <c r="D1" s="24" t="s">
        <v>140</v>
      </c>
      <c r="F1" s="2" t="s">
        <v>141</v>
      </c>
      <c r="G1" s="2" t="s">
        <v>70</v>
      </c>
      <c r="H1" s="2" t="s">
        <v>139</v>
      </c>
      <c r="I1" s="2" t="s">
        <v>56</v>
      </c>
      <c r="J1" s="25" t="s">
        <v>24</v>
      </c>
      <c r="K1" s="2" t="s">
        <v>119</v>
      </c>
      <c r="M1" s="2" t="s">
        <v>142</v>
      </c>
      <c r="N1" s="2" t="s">
        <v>143</v>
      </c>
      <c r="O1" s="2" t="s">
        <v>144</v>
      </c>
      <c r="P1" s="34" t="s">
        <v>145</v>
      </c>
      <c r="R1" s="2" t="s">
        <v>146</v>
      </c>
      <c r="S1" s="2" t="s">
        <v>147</v>
      </c>
      <c r="T1" s="2" t="s">
        <v>145</v>
      </c>
      <c r="V1" s="2" t="s">
        <v>148</v>
      </c>
      <c r="W1" s="2" t="s">
        <v>149</v>
      </c>
      <c r="X1" s="2" t="s">
        <v>150</v>
      </c>
      <c r="Y1" s="2" t="s">
        <v>151</v>
      </c>
      <c r="Z1" s="34" t="s">
        <v>152</v>
      </c>
      <c r="AA1" s="2" t="s">
        <v>105</v>
      </c>
    </row>
    <row r="2" spans="1:27" x14ac:dyDescent="0.3">
      <c r="A2" s="2">
        <v>0.18</v>
      </c>
      <c r="B2" s="2">
        <v>0.32</v>
      </c>
      <c r="C2" s="2">
        <v>7.0000000000000007E-2</v>
      </c>
      <c r="D2" s="24">
        <f>(A2-C2)/B2</f>
        <v>0.34374999999999994</v>
      </c>
      <c r="F2" s="2">
        <v>0.08</v>
      </c>
      <c r="G2" s="2">
        <v>0.2</v>
      </c>
      <c r="H2" s="2">
        <v>0.04</v>
      </c>
      <c r="I2" s="35">
        <v>4</v>
      </c>
      <c r="J2" s="25">
        <f>G2*G2</f>
        <v>4.0000000000000008E-2</v>
      </c>
      <c r="K2" s="2">
        <f>F2/(I2*J2)</f>
        <v>0.49999999999999989</v>
      </c>
      <c r="M2" s="2">
        <v>0.18</v>
      </c>
      <c r="N2" s="2">
        <v>7.0000000000000007E-2</v>
      </c>
      <c r="O2" s="2">
        <v>0.16</v>
      </c>
      <c r="P2" s="34">
        <f>(O2-N2)/(M2-N2)</f>
        <v>0.81818181818181823</v>
      </c>
      <c r="R2" s="2">
        <v>0.32</v>
      </c>
      <c r="S2" s="2">
        <v>0.45</v>
      </c>
      <c r="T2" s="2">
        <f>S2/R2</f>
        <v>1.40625</v>
      </c>
      <c r="V2" s="2">
        <v>0.25</v>
      </c>
      <c r="W2" s="2">
        <v>0.15</v>
      </c>
      <c r="X2" s="2">
        <v>0.06</v>
      </c>
      <c r="Y2" s="2">
        <v>0.2</v>
      </c>
      <c r="Z2" s="34">
        <f>Y2/V2</f>
        <v>0.8</v>
      </c>
      <c r="AA2" s="2">
        <f>Z2*W2+(1-Z2)*X2</f>
        <v>0.13200000000000001</v>
      </c>
    </row>
    <row r="3" spans="1:27" x14ac:dyDescent="0.3">
      <c r="A3" s="2">
        <v>0.1</v>
      </c>
      <c r="B3" s="2">
        <v>0.17</v>
      </c>
      <c r="C3" s="2">
        <v>1.4999999999999999E-2</v>
      </c>
      <c r="D3" s="24">
        <f>(A3-C3)/B3</f>
        <v>0.5</v>
      </c>
      <c r="F3" s="2">
        <v>0.05</v>
      </c>
      <c r="G3" s="2">
        <v>0.15</v>
      </c>
      <c r="H3" s="2">
        <v>0.05</v>
      </c>
      <c r="I3" s="35">
        <v>3</v>
      </c>
      <c r="J3" s="25">
        <f>G3*G3</f>
        <v>2.2499999999999999E-2</v>
      </c>
      <c r="K3" s="2">
        <f>F3/(I3*J3)</f>
        <v>0.7407407407407407</v>
      </c>
      <c r="R3" s="2">
        <v>0.25</v>
      </c>
      <c r="S3" s="2">
        <v>0.3</v>
      </c>
      <c r="T3" s="2">
        <f>S3/R3</f>
        <v>1.2</v>
      </c>
    </row>
    <row r="4" spans="1:27" x14ac:dyDescent="0.3">
      <c r="F4" s="2">
        <v>4.7600000000000003E-2</v>
      </c>
      <c r="G4" s="2">
        <v>8.1920692799618278E-2</v>
      </c>
      <c r="H4" s="2">
        <v>0.03</v>
      </c>
      <c r="I4" s="35">
        <v>4</v>
      </c>
      <c r="J4" s="25">
        <f>G4*G4</f>
        <v>6.71099990876943E-3</v>
      </c>
      <c r="K4" s="2">
        <f>F4/(I4*J4)</f>
        <v>1.7732081898034264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"/>
  <sheetViews>
    <sheetView tabSelected="1" topLeftCell="AF1" workbookViewId="0">
      <selection activeCell="AM4" sqref="AM4"/>
    </sheetView>
  </sheetViews>
  <sheetFormatPr defaultRowHeight="15.6" x14ac:dyDescent="0.3"/>
  <cols>
    <col min="1" max="1" width="13.90625" style="37" bestFit="1" customWidth="1"/>
    <col min="2" max="2" width="11.90625" style="37" customWidth="1"/>
    <col min="3" max="3" width="13.90625" style="37" bestFit="1" customWidth="1"/>
    <col min="4" max="4" width="8.7265625" style="34"/>
    <col min="5" max="5" width="9.36328125" style="34" customWidth="1"/>
    <col min="6" max="6" width="8.7265625" style="34"/>
    <col min="9" max="10" width="8.7265625" style="2"/>
    <col min="11" max="11" width="8.7265625" style="34"/>
    <col min="13" max="14" width="8.7265625" style="12"/>
    <col min="15" max="15" width="8.7265625" style="36"/>
    <col min="16" max="16" width="8.7265625" style="34"/>
    <col min="38" max="38" width="8.7265625" style="15"/>
  </cols>
  <sheetData>
    <row r="1" spans="1:39" x14ac:dyDescent="0.3">
      <c r="A1" s="37" t="s">
        <v>153</v>
      </c>
      <c r="B1" s="37" t="s">
        <v>154</v>
      </c>
      <c r="C1" s="37" t="s">
        <v>20</v>
      </c>
      <c r="D1" s="34" t="s">
        <v>155</v>
      </c>
      <c r="E1" s="34" t="s">
        <v>156</v>
      </c>
      <c r="F1" s="34" t="s">
        <v>157</v>
      </c>
      <c r="H1" t="s">
        <v>111</v>
      </c>
      <c r="I1" s="2" t="s">
        <v>14</v>
      </c>
      <c r="J1" s="2" t="s">
        <v>70</v>
      </c>
      <c r="K1" s="34" t="s">
        <v>24</v>
      </c>
      <c r="M1" s="12" t="s">
        <v>105</v>
      </c>
      <c r="O1" s="36" t="s">
        <v>160</v>
      </c>
      <c r="P1" s="34" t="s">
        <v>161</v>
      </c>
    </row>
    <row r="2" spans="1:39" x14ac:dyDescent="0.3">
      <c r="A2" s="37">
        <v>600000</v>
      </c>
      <c r="B2" s="37">
        <v>100000</v>
      </c>
      <c r="C2" s="37">
        <f>A2+B2</f>
        <v>700000</v>
      </c>
      <c r="D2" s="34">
        <f>A2/C2</f>
        <v>0.8571428571428571</v>
      </c>
      <c r="E2" s="34">
        <f>B2/C2</f>
        <v>0.14285714285714285</v>
      </c>
      <c r="F2" s="34">
        <f>D2+E2</f>
        <v>1</v>
      </c>
      <c r="H2" t="s">
        <v>158</v>
      </c>
      <c r="I2" s="2">
        <v>0.08</v>
      </c>
      <c r="J2" s="2">
        <v>0.28000000000000003</v>
      </c>
      <c r="K2" s="34">
        <f t="shared" ref="K2:K3" si="0">J2*J2</f>
        <v>7.8400000000000011E-2</v>
      </c>
      <c r="M2" s="12">
        <f>D2*I2+E2*I3</f>
        <v>0.09</v>
      </c>
      <c r="O2" s="36">
        <v>0.4</v>
      </c>
      <c r="P2" s="34">
        <f>O2*J2*J3</f>
        <v>3.9200000000000006E-2</v>
      </c>
      <c r="R2" t="s">
        <v>158</v>
      </c>
      <c r="S2" t="s">
        <v>159</v>
      </c>
      <c r="V2" t="s">
        <v>158</v>
      </c>
      <c r="W2" t="s">
        <v>159</v>
      </c>
      <c r="Y2" t="s">
        <v>162</v>
      </c>
      <c r="AB2" t="s">
        <v>163</v>
      </c>
      <c r="AD2" t="s">
        <v>24</v>
      </c>
      <c r="AE2" t="s">
        <v>70</v>
      </c>
      <c r="AG2" t="s">
        <v>164</v>
      </c>
      <c r="AH2" t="s">
        <v>165</v>
      </c>
      <c r="AI2" t="s">
        <v>168</v>
      </c>
      <c r="AJ2" t="s">
        <v>155</v>
      </c>
      <c r="AK2" t="s">
        <v>166</v>
      </c>
      <c r="AL2" s="15" t="s">
        <v>167</v>
      </c>
      <c r="AM2" t="s">
        <v>169</v>
      </c>
    </row>
    <row r="3" spans="1:39" x14ac:dyDescent="0.3">
      <c r="H3" t="s">
        <v>159</v>
      </c>
      <c r="I3" s="2">
        <v>0.15</v>
      </c>
      <c r="J3" s="2">
        <v>0.35</v>
      </c>
      <c r="K3" s="34">
        <f t="shared" si="0"/>
        <v>0.12249999999999998</v>
      </c>
      <c r="R3" s="24">
        <f>D2</f>
        <v>0.8571428571428571</v>
      </c>
      <c r="S3" s="24">
        <f>E2</f>
        <v>0.14285714285714285</v>
      </c>
      <c r="U3" t="s">
        <v>158</v>
      </c>
      <c r="V3" s="24">
        <f>K2</f>
        <v>7.8400000000000011E-2</v>
      </c>
      <c r="W3" s="24">
        <f>$P$2</f>
        <v>3.9200000000000006E-2</v>
      </c>
      <c r="Y3">
        <f t="array" ref="Y3:Z3">MMULT(R3:S3,V3:W4)</f>
        <v>7.2800000000000004E-2</v>
      </c>
      <c r="Z3">
        <v>5.1100000000000007E-2</v>
      </c>
      <c r="AB3">
        <f t="array" ref="AB3:AB4">TRANSPOSE(R3:S3)</f>
        <v>0.8571428571428571</v>
      </c>
      <c r="AD3">
        <f>MMULT(Y3:Z3,AB3:AB4)</f>
        <v>6.9699999999999998E-2</v>
      </c>
      <c r="AE3" s="2">
        <f>SQRT(AD3)</f>
        <v>0.26400757564888172</v>
      </c>
      <c r="AG3">
        <v>0.08</v>
      </c>
      <c r="AH3">
        <v>0.05</v>
      </c>
      <c r="AI3">
        <v>0.28000000000000003</v>
      </c>
      <c r="AJ3">
        <v>0.8571428571428571</v>
      </c>
      <c r="AK3">
        <v>0.14285714285714285</v>
      </c>
      <c r="AL3" s="15">
        <f>SUMPRODUCT(AG3:AH3,AJ3:AK3)</f>
        <v>7.571428571428572E-2</v>
      </c>
      <c r="AM3">
        <f>AI3*AJ3</f>
        <v>0.24000000000000002</v>
      </c>
    </row>
    <row r="4" spans="1:39" x14ac:dyDescent="0.3">
      <c r="U4" t="s">
        <v>159</v>
      </c>
      <c r="V4" s="24">
        <f>$P$2</f>
        <v>3.9200000000000006E-2</v>
      </c>
      <c r="W4" s="24">
        <f>K3</f>
        <v>0.12249999999999998</v>
      </c>
      <c r="AB4">
        <v>0.14285714285714285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wk01</vt:lpstr>
      <vt:lpstr>wk02</vt:lpstr>
      <vt:lpstr>cov</vt:lpstr>
      <vt:lpstr>covHw3_1</vt:lpstr>
      <vt:lpstr>covHw3_2</vt:lpstr>
      <vt:lpstr>covHw3data</vt:lpstr>
      <vt:lpstr>Hw3chart</vt:lpstr>
      <vt:lpstr>wk03</vt:lpstr>
      <vt:lpstr>wk04</vt:lpstr>
      <vt:lpstr>Felix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 Farrier</dc:creator>
  <cp:lastModifiedBy>Marshall Farrier</cp:lastModifiedBy>
  <dcterms:created xsi:type="dcterms:W3CDTF">2016-11-02T03:23:16Z</dcterms:created>
  <dcterms:modified xsi:type="dcterms:W3CDTF">2016-11-27T06:33:31Z</dcterms:modified>
</cp:coreProperties>
</file>