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Z:\Users\marshallfarrier\Workspace\solutions\ClassesTaken\Coursera\2016\InvManagementRice\02PortfolioRisk\"/>
    </mc:Choice>
  </mc:AlternateContent>
  <bookViews>
    <workbookView xWindow="0" yWindow="0" windowWidth="22188" windowHeight="8364"/>
  </bookViews>
  <sheets>
    <sheet name="wk0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1" l="1"/>
  <c r="T40" i="1"/>
  <c r="R40" i="1"/>
  <c r="S40" i="1" s="1"/>
  <c r="R39" i="1"/>
  <c r="S39" i="1" s="1"/>
  <c r="R32" i="1"/>
  <c r="R33" i="1"/>
  <c r="S33" i="1" s="1"/>
  <c r="R34" i="1"/>
  <c r="R35" i="1"/>
  <c r="S35" i="1" s="1"/>
  <c r="S34" i="1"/>
  <c r="S32" i="1"/>
  <c r="H28" i="1"/>
  <c r="H27" i="1"/>
  <c r="G29" i="1"/>
  <c r="H26" i="1"/>
  <c r="H25" i="1"/>
  <c r="H24" i="1"/>
  <c r="K24" i="1" s="1"/>
  <c r="R26" i="1"/>
  <c r="S25" i="1"/>
  <c r="R25" i="1"/>
  <c r="S24" i="1"/>
  <c r="R24" i="1"/>
  <c r="G19" i="1"/>
  <c r="H18" i="1"/>
  <c r="H17" i="1"/>
  <c r="H16" i="1"/>
  <c r="I28" i="1" l="1"/>
  <c r="I26" i="1"/>
  <c r="I24" i="1"/>
  <c r="K27" i="1"/>
  <c r="K25" i="1"/>
  <c r="S36" i="1"/>
  <c r="I27" i="1"/>
  <c r="I25" i="1"/>
  <c r="J25" i="1" s="1"/>
  <c r="K28" i="1"/>
  <c r="K26" i="1"/>
  <c r="L26" i="1" s="1"/>
  <c r="S41" i="1"/>
  <c r="J28" i="1"/>
  <c r="K16" i="1"/>
  <c r="L28" i="1"/>
  <c r="J27" i="1"/>
  <c r="I17" i="1"/>
  <c r="J17" i="1" s="1"/>
  <c r="K18" i="1"/>
  <c r="J24" i="1"/>
  <c r="L27" i="1"/>
  <c r="I18" i="1"/>
  <c r="J18" i="1" s="1"/>
  <c r="I16" i="1"/>
  <c r="J16" i="1" s="1"/>
  <c r="K17" i="1"/>
  <c r="L17" i="1" s="1"/>
  <c r="L25" i="1"/>
  <c r="L24" i="1"/>
  <c r="J26" i="1"/>
  <c r="S26" i="1"/>
  <c r="S27" i="1" s="1"/>
  <c r="U40" i="1" s="1"/>
  <c r="L16" i="1"/>
  <c r="L18" i="1"/>
  <c r="R19" i="1"/>
  <c r="S19" i="1" s="1"/>
  <c r="R18" i="1"/>
  <c r="S18" i="1" s="1"/>
  <c r="R17" i="1"/>
  <c r="S17" i="1" s="1"/>
  <c r="R12" i="1"/>
  <c r="S12" i="1" s="1"/>
  <c r="R11" i="1"/>
  <c r="S11" i="1" s="1"/>
  <c r="R10" i="1"/>
  <c r="S10" i="1" s="1"/>
  <c r="U39" i="1" l="1"/>
  <c r="U41" i="1"/>
  <c r="V41" i="1" s="1"/>
  <c r="T24" i="1"/>
  <c r="U24" i="1" s="1"/>
  <c r="T26" i="1"/>
  <c r="U26" i="1" s="1"/>
  <c r="T25" i="1"/>
  <c r="U25" i="1" s="1"/>
  <c r="S20" i="1"/>
  <c r="T18" i="1" s="1"/>
  <c r="U18" i="1" s="1"/>
  <c r="S13" i="1"/>
  <c r="T11" i="1" s="1"/>
  <c r="U11" i="1" s="1"/>
  <c r="G13" i="1"/>
  <c r="H12" i="1"/>
  <c r="H11" i="1"/>
  <c r="H10" i="1"/>
  <c r="T17" i="1" l="1"/>
  <c r="U17" i="1" s="1"/>
  <c r="T19" i="1"/>
  <c r="U19" i="1" s="1"/>
  <c r="U27" i="1"/>
  <c r="V27" i="1" s="1"/>
  <c r="U20" i="1"/>
  <c r="V20" i="1" s="1"/>
  <c r="T10" i="1"/>
  <c r="U10" i="1" s="1"/>
  <c r="T12" i="1"/>
  <c r="U12" i="1" s="1"/>
  <c r="K12" i="1"/>
  <c r="K11" i="1"/>
  <c r="K10" i="1"/>
  <c r="I11" i="1"/>
  <c r="I12" i="1"/>
  <c r="I10" i="1"/>
  <c r="G7" i="1"/>
  <c r="R2" i="1"/>
  <c r="S2" i="1" s="1"/>
  <c r="R3" i="1"/>
  <c r="S3" i="1" s="1"/>
  <c r="R4" i="1"/>
  <c r="S4" i="1" s="1"/>
  <c r="R5" i="1"/>
  <c r="S5" i="1" s="1"/>
  <c r="H2" i="1"/>
  <c r="I2" i="1" s="1"/>
  <c r="J2" i="1" s="1"/>
  <c r="H3" i="1"/>
  <c r="H4" i="1"/>
  <c r="H5" i="1"/>
  <c r="H6" i="1"/>
  <c r="D2" i="1"/>
  <c r="U13" i="1" l="1"/>
  <c r="V13" i="1" s="1"/>
  <c r="L12" i="1"/>
  <c r="L10" i="1"/>
  <c r="L11" i="1"/>
  <c r="J12" i="1"/>
  <c r="J10" i="1"/>
  <c r="J11" i="1"/>
  <c r="S6" i="1"/>
  <c r="I4" i="1"/>
  <c r="J4" i="1" s="1"/>
  <c r="K5" i="1"/>
  <c r="L5" i="1" s="1"/>
  <c r="K3" i="1"/>
  <c r="L3" i="1" s="1"/>
  <c r="K6" i="1"/>
  <c r="L6" i="1" s="1"/>
  <c r="K4" i="1"/>
  <c r="L4" i="1" s="1"/>
  <c r="K2" i="1"/>
  <c r="L2" i="1" s="1"/>
  <c r="I6" i="1"/>
  <c r="J6" i="1" s="1"/>
  <c r="I5" i="1"/>
  <c r="J5" i="1" s="1"/>
  <c r="I3" i="1"/>
  <c r="J3" i="1" s="1"/>
</calcChain>
</file>

<file path=xl/sharedStrings.xml><?xml version="1.0" encoding="utf-8"?>
<sst xmlns="http://schemas.openxmlformats.org/spreadsheetml/2006/main" count="94" uniqueCount="27">
  <si>
    <t>P0</t>
  </si>
  <si>
    <t>P1</t>
  </si>
  <si>
    <t>CashFlows</t>
  </si>
  <si>
    <t>PeriodRet</t>
  </si>
  <si>
    <t>Yr</t>
  </si>
  <si>
    <t>Return</t>
  </si>
  <si>
    <t>GrossRet</t>
  </si>
  <si>
    <t>CumVal</t>
  </si>
  <si>
    <t>HoldPerRet</t>
  </si>
  <si>
    <t>GeoMean</t>
  </si>
  <si>
    <t>State</t>
  </si>
  <si>
    <t>Probability</t>
  </si>
  <si>
    <t>YrEndPrice</t>
  </si>
  <si>
    <t>CashFlow</t>
  </si>
  <si>
    <t>Ret</t>
  </si>
  <si>
    <t>Excellent</t>
  </si>
  <si>
    <t>Good</t>
  </si>
  <si>
    <t>Poor</t>
  </si>
  <si>
    <t>Crash</t>
  </si>
  <si>
    <t>Weighted</t>
  </si>
  <si>
    <t>Total</t>
  </si>
  <si>
    <t>GeoAveRet</t>
  </si>
  <si>
    <t>Expected</t>
  </si>
  <si>
    <t>Expected Value</t>
  </si>
  <si>
    <t>Var</t>
  </si>
  <si>
    <t>WtdVar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</si>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</sst>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_(* #,##0.0000_);_(* \(#,##0.0000\);_(* &quot;-&quot;????_);_(@_)"/>
  </numFmts>
  <fonts count="2" x14ac:knownFonts="1">
    <font>
      <sz val="12"/>
      <color theme="1"/>
      <name val="Consolas"/>
      <family val="2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2" applyFont="1"/>
    <xf numFmtId="10" fontId="0" fillId="0" borderId="0" xfId="3" applyNumberFormat="1" applyFont="1"/>
    <xf numFmtId="43" fontId="0" fillId="0" borderId="0" xfId="1" applyFont="1"/>
    <xf numFmtId="164" fontId="0" fillId="0" borderId="0" xfId="1" applyNumberFormat="1" applyFont="1"/>
    <xf numFmtId="0" fontId="0" fillId="0" borderId="0" xfId="0" applyNumberFormat="1"/>
    <xf numFmtId="10" fontId="0" fillId="0" borderId="0" xfId="0" applyNumberFormat="1"/>
    <xf numFmtId="165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11">
    <dxf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64" formatCode="_(* #,##0.0000_);_(* \(#,##0.0000\);_(* &quot;-&quot;??_);_(@_)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64" formatCode="_(* #,##0.0000_);_(* \(#,##0.0000\);_(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64" formatCode="_(* #,##0.0000_);_(* \(#,##0.0000\);_(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64" formatCode="_(* #,##0.0000_);_(* \(#,##0.0000\);_(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64" formatCode="_(* #,##0.0000_);_(* \(#,##0.0000\);_(* &quot;-&quot;??_);_(@_)"/>
    </dxf>
    <dxf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64" formatCode="_(* #,##0.0000_);_(* \(#,##0.0000\);_(* &quot;-&quot;??_);_(@_)"/>
    </dxf>
    <dxf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64" formatCode="_(* #,##0.0000_);_(* \(#,##0.0000\);_(* &quot;-&quot;??_);_(@_)"/>
    </dxf>
    <dxf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64" formatCode="_(* #,##0.0000_);_(* \(#,##0.0000\);_(* &quot;-&quot;??_);_(@_)"/>
    </dxf>
    <dxf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2"/>
        <scheme val="none"/>
      </font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64" formatCode="_(* #,##0.0000_);_(* \(#,##0.0000\);_(* &quot;-&quot;??_);_(@_)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64" formatCode="_(* #,##0.0000_);_(* \(#,##0.0000\);_(* &quot;-&quot;??_);_(@_)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" totalsRowShown="0">
  <autoFilter ref="A1:D2"/>
  <tableColumns count="4">
    <tableColumn id="1" name="P0" dataCellStyle="Currency"/>
    <tableColumn id="2" name="P1" dataCellStyle="Currency"/>
    <tableColumn id="3" name="CashFlows" dataCellStyle="Currency"/>
    <tableColumn id="4" name="PeriodRet" dataDxfId="110" dataCellStyle="Percent">
      <calculatedColumnFormula>($B2+$C2)/$A2-1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Table311" displayName="Table311" ref="N31:S36" totalsRowCount="1">
  <autoFilter ref="N31:S35"/>
  <tableColumns count="6">
    <tableColumn id="1" name="State" totalsRowLabel="Total"/>
    <tableColumn id="2" name="Probability" totalsRowDxfId="18" dataCellStyle="Comma"/>
    <tableColumn id="3" name="YrEndPrice" totalsRowDxfId="17" dataCellStyle="Currency"/>
    <tableColumn id="4" name="CashFlow" totalsRowDxfId="16" dataCellStyle="Currency"/>
    <tableColumn id="5" name="Ret" dataDxfId="13" totalsRowDxfId="15" dataCellStyle="Percent">
      <calculatedColumnFormula>($P32+$Q32)/160-1</calculatedColumnFormula>
    </tableColumn>
    <tableColumn id="6" name="Weighted" totalsRowFunction="sum" dataDxfId="19" totalsRowDxfId="14" dataCellStyle="Percent" totalsRowCellStyle="Percent">
      <calculatedColumnFormula>$O32*$R32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1" name="Table378912" displayName="Table378912" ref="O38:V41" totalsRowCount="1">
  <autoFilter ref="O38:V40"/>
  <tableColumns count="8">
    <tableColumn id="2" name="Probability" totalsRowLabel="Expected Value" totalsRowDxfId="8" dataCellStyle="Comma"/>
    <tableColumn id="3" name="YrEndPrice" totalsRowDxfId="7" dataCellStyle="Currency"/>
    <tableColumn id="4" name="CashFlow" totalsRowDxfId="6" dataCellStyle="Currency"/>
    <tableColumn id="5" name="Ret" dataDxfId="12" totalsRowDxfId="5" dataCellStyle="Percent">
      <calculatedColumnFormula>($P39+$Q39)/100-1</calculatedColumnFormula>
    </tableColumn>
    <tableColumn id="6" name="Weighted" totalsRowFunction="sum" dataDxfId="11" totalsRowDxfId="4" dataCellStyle="Percent" totalsRowCellStyle="Percent">
      <calculatedColumnFormula>$O39*$R39</calculatedColumnFormula>
    </tableColumn>
    <tableColumn id="1" name="Var" dataDxfId="0" totalsRowDxfId="3" dataCellStyle="Comma" totalsRowCellStyle="Comma">
      <calculatedColumnFormula>POWER($R39-$S$41,2)</calculatedColumnFormula>
    </tableColumn>
    <tableColumn id="7" name="WtdVar" totalsRowFunction="sum" dataDxfId="10" totalsRowDxfId="2" dataCellStyle="Comma" totalsRowCellStyle="Comma">
      <calculatedColumnFormula>$T39*$O39</calculatedColumnFormula>
    </tableColumn>
    <tableColumn id="8" name="StdDev" totalsRowFunction="custom" dataDxfId="9" totalsRowDxfId="1" dataCellStyle="Percent" totalsRowCellStyle="Percent">
      <totalsRowFormula>SQRT($U41)</totalsRow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:L7" totalsRowCount="1">
  <autoFilter ref="F1:L6"/>
  <tableColumns count="7">
    <tableColumn id="1" name="Yr" totalsRowLabel="Expected"/>
    <tableColumn id="2" name="Return" totalsRowFunction="average" dataDxfId="109" totalsRowDxfId="108" dataCellStyle="Percent"/>
    <tableColumn id="3" name="GrossRet" dataDxfId="107" totalsRowDxfId="106" dataCellStyle="Percent">
      <calculatedColumnFormula>1+$G2</calculatedColumnFormula>
    </tableColumn>
    <tableColumn id="4" name="CumVal" dataDxfId="105" totalsRowDxfId="104" dataCellStyle="Comma">
      <calculatedColumnFormula>PRODUCT($H$2:$H2)</calculatedColumnFormula>
    </tableColumn>
    <tableColumn id="5" name="HoldPerRet" dataDxfId="103" totalsRowDxfId="102" dataCellStyle="Percent">
      <calculatedColumnFormula>$I2-1</calculatedColumnFormula>
    </tableColumn>
    <tableColumn id="6" name="GeoMean" dataDxfId="101" totalsRowDxfId="100" dataCellStyle="Percent">
      <calculatedColumnFormula>GEOMEAN($H$2:$H2)</calculatedColumnFormula>
    </tableColumn>
    <tableColumn id="7" name="GeoAveRet" dataDxfId="99" totalsRowDxfId="98" dataCellStyle="Percent">
      <calculatedColumnFormula>$K2-1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1:S6" totalsRowCount="1">
  <autoFilter ref="N1:S5"/>
  <tableColumns count="6">
    <tableColumn id="1" name="State" totalsRowLabel="Total"/>
    <tableColumn id="2" name="Probability" dataCellStyle="Comma" totalsRowCellStyle="Comma"/>
    <tableColumn id="3" name="YrEndPrice" dataCellStyle="Currency" totalsRowCellStyle="Currency"/>
    <tableColumn id="4" name="CashFlow" dataCellStyle="Currency" totalsRowCellStyle="Currency"/>
    <tableColumn id="5" name="Ret" dataDxfId="97" dataCellStyle="Percent" totalsRowCellStyle="Percent">
      <calculatedColumnFormula>($P2+$Q2)/100-1</calculatedColumnFormula>
    </tableColumn>
    <tableColumn id="6" name="Weighted" totalsRowFunction="sum" dataDxfId="96" totalsRowDxfId="95" dataCellStyle="Percent" totalsRowCellStyle="Percent">
      <calculatedColumnFormula>$O2*$R2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F9:L13" totalsRowCount="1">
  <autoFilter ref="F9:L12"/>
  <tableColumns count="7">
    <tableColumn id="1" name="Yr" totalsRowLabel="Expected"/>
    <tableColumn id="2" name="Return" totalsRowFunction="average" dataDxfId="94" totalsRowDxfId="93" dataCellStyle="Percent"/>
    <tableColumn id="3" name="GrossRet" dataDxfId="92" totalsRowDxfId="91" dataCellStyle="Percent">
      <calculatedColumnFormula>1+$G10</calculatedColumnFormula>
    </tableColumn>
    <tableColumn id="4" name="CumVal" dataDxfId="90" totalsRowDxfId="89" dataCellStyle="Comma">
      <calculatedColumnFormula>PRODUCT($H$10:$H10)</calculatedColumnFormula>
    </tableColumn>
    <tableColumn id="5" name="HoldPerRet" dataDxfId="88" totalsRowDxfId="87" dataCellStyle="Percent">
      <calculatedColumnFormula>$I10-1</calculatedColumnFormula>
    </tableColumn>
    <tableColumn id="6" name="GeoMean" dataDxfId="86" totalsRowDxfId="85" dataCellStyle="Percent">
      <calculatedColumnFormula>GEOMEAN($H$10:$H10)</calculatedColumnFormula>
    </tableColumn>
    <tableColumn id="7" name="GeoAveRet" dataDxfId="84" totalsRowDxfId="83" dataCellStyle="Percent">
      <calculatedColumnFormula>$K10-1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37" displayName="Table37" ref="O9:V13" totalsRowCount="1">
  <autoFilter ref="O9:V12"/>
  <tableColumns count="8">
    <tableColumn id="2" name="Probability" totalsRowLabel="Expected Value" totalsRowDxfId="82" dataCellStyle="Comma"/>
    <tableColumn id="3" name="YrEndPrice" totalsRowDxfId="81" dataCellStyle="Currency"/>
    <tableColumn id="4" name="CashFlow" totalsRowDxfId="80" dataCellStyle="Currency"/>
    <tableColumn id="5" name="Ret" dataDxfId="79" totalsRowDxfId="78" dataCellStyle="Percent">
      <calculatedColumnFormula>($P10+$Q10)/100-1</calculatedColumnFormula>
    </tableColumn>
    <tableColumn id="6" name="Weighted" totalsRowFunction="sum" dataDxfId="77" totalsRowDxfId="76" dataCellStyle="Percent" totalsRowCellStyle="Percent">
      <calculatedColumnFormula>$O10*$R10</calculatedColumnFormula>
    </tableColumn>
    <tableColumn id="1" name="Var" dataDxfId="75" totalsRowDxfId="74" dataCellStyle="Comma" totalsRowCellStyle="Comma">
      <calculatedColumnFormula>POWER($R10-$S$13,2)</calculatedColumnFormula>
    </tableColumn>
    <tableColumn id="7" name="WtdVar" totalsRowFunction="sum" dataDxfId="73" totalsRowDxfId="72" dataCellStyle="Comma" totalsRowCellStyle="Comma">
      <calculatedColumnFormula>$T10*$O10</calculatedColumnFormula>
    </tableColumn>
    <tableColumn id="8" name="StdDev" totalsRowFunction="custom" dataDxfId="71" totalsRowDxfId="70" dataCellStyle="Percent" totalsRowCellStyle="Percent">
      <totalsRowFormula>SQRT($U13)</totalsRow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7" name="Table378" displayName="Table378" ref="O16:V20" totalsRowCount="1">
  <autoFilter ref="O16:V19"/>
  <tableColumns count="8">
    <tableColumn id="2" name="Probability" totalsRowLabel="Expected Value" totalsRowDxfId="69" dataCellStyle="Comma"/>
    <tableColumn id="3" name="YrEndPrice" totalsRowDxfId="68" dataCellStyle="Currency"/>
    <tableColumn id="4" name="CashFlow" totalsRowDxfId="67" dataCellStyle="Currency"/>
    <tableColumn id="5" name="Ret" dataDxfId="66" totalsRowDxfId="65" dataCellStyle="Percent">
      <calculatedColumnFormula>($P17+$Q17)/100-1</calculatedColumnFormula>
    </tableColumn>
    <tableColumn id="6" name="Weighted" totalsRowFunction="sum" dataDxfId="64" totalsRowDxfId="63" dataCellStyle="Percent" totalsRowCellStyle="Percent">
      <calculatedColumnFormula>$O17*$R17</calculatedColumnFormula>
    </tableColumn>
    <tableColumn id="1" name="Var" dataDxfId="62" totalsRowDxfId="61" dataCellStyle="Comma" totalsRowCellStyle="Comma">
      <calculatedColumnFormula>POWER($R17-$S$20,2)</calculatedColumnFormula>
    </tableColumn>
    <tableColumn id="7" name="WtdVar" totalsRowFunction="sum" dataDxfId="60" totalsRowDxfId="59" dataCellStyle="Comma" totalsRowCellStyle="Comma">
      <calculatedColumnFormula>$T17*$O17</calculatedColumnFormula>
    </tableColumn>
    <tableColumn id="8" name="StdDev" totalsRowFunction="custom" dataDxfId="58" totalsRowDxfId="57" dataCellStyle="Percent" totalsRowCellStyle="Percent">
      <totalsRowFormula>SQRT($U20)</totalsRow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5" name="Table256" displayName="Table256" ref="F15:L19" totalsRowCount="1">
  <autoFilter ref="F15:L18"/>
  <tableColumns count="7">
    <tableColumn id="1" name="Yr" totalsRowLabel="Expected"/>
    <tableColumn id="2" name="Return" totalsRowFunction="average" dataDxfId="56" totalsRowDxfId="51" dataCellStyle="Percent"/>
    <tableColumn id="3" name="GrossRet" dataDxfId="55" totalsRowDxfId="50" dataCellStyle="Percent">
      <calculatedColumnFormula>1+$G16</calculatedColumnFormula>
    </tableColumn>
    <tableColumn id="4" name="CumVal" dataDxfId="52" totalsRowDxfId="49" dataCellStyle="Comma">
      <calculatedColumnFormula>PRODUCT($H$16:$H16)</calculatedColumnFormula>
    </tableColumn>
    <tableColumn id="5" name="HoldPerRet" dataDxfId="54" totalsRowDxfId="48" dataCellStyle="Percent">
      <calculatedColumnFormula>$I16-1</calculatedColumnFormula>
    </tableColumn>
    <tableColumn id="6" name="GeoMean" dataDxfId="45" totalsRowDxfId="47" dataCellStyle="Percent">
      <calculatedColumnFormula>GEOMEAN($H$16:$H16)</calculatedColumnFormula>
    </tableColumn>
    <tableColumn id="7" name="GeoAveRet" dataDxfId="53" totalsRowDxfId="46" dataCellStyle="Percent">
      <calculatedColumnFormula>$K16-1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Table3789" displayName="Table3789" ref="O23:V27" totalsRowCount="1">
  <autoFilter ref="O23:V26"/>
  <tableColumns count="8">
    <tableColumn id="2" name="Probability" totalsRowLabel="Expected Value" totalsRowDxfId="40" dataCellStyle="Comma"/>
    <tableColumn id="3" name="YrEndPrice" totalsRowDxfId="39" dataCellStyle="Currency"/>
    <tableColumn id="4" name="CashFlow" totalsRowDxfId="38" dataCellStyle="Currency"/>
    <tableColumn id="5" name="Ret" dataDxfId="44" totalsRowDxfId="37" dataCellStyle="Percent">
      <calculatedColumnFormula>($P24+$Q24)/100-1</calculatedColumnFormula>
    </tableColumn>
    <tableColumn id="6" name="Weighted" totalsRowFunction="sum" dataDxfId="43" totalsRowDxfId="36" dataCellStyle="Percent" totalsRowCellStyle="Percent">
      <calculatedColumnFormula>$O24*$R24</calculatedColumnFormula>
    </tableColumn>
    <tableColumn id="1" name="Var" dataDxfId="32" totalsRowDxfId="35" dataCellStyle="Comma" totalsRowCellStyle="Comma">
      <calculatedColumnFormula>POWER($R24-$S$27,2)</calculatedColumnFormula>
    </tableColumn>
    <tableColumn id="7" name="WtdVar" totalsRowFunction="sum" dataDxfId="42" totalsRowDxfId="34" dataCellStyle="Comma" totalsRowCellStyle="Comma">
      <calculatedColumnFormula>$T24*$O24</calculatedColumnFormula>
    </tableColumn>
    <tableColumn id="8" name="StdDev" totalsRowFunction="custom" dataDxfId="41" totalsRowDxfId="33" dataCellStyle="Percent" totalsRowCellStyle="Percent">
      <totalsRowFormula>SQRT($U27)</totalsRow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9" name="Table25610" displayName="Table25610" ref="F23:L29" totalsRowCount="1">
  <autoFilter ref="F23:L28"/>
  <tableColumns count="7">
    <tableColumn id="1" name="Yr" totalsRowLabel="Expected"/>
    <tableColumn id="2" name="Return" totalsRowFunction="average" dataDxfId="31" totalsRowDxfId="26" dataCellStyle="Percent"/>
    <tableColumn id="3" name="GrossRet" dataDxfId="30" totalsRowDxfId="25" dataCellStyle="Percent">
      <calculatedColumnFormula>1+$G24</calculatedColumnFormula>
    </tableColumn>
    <tableColumn id="4" name="CumVal" dataDxfId="27" totalsRowDxfId="24" dataCellStyle="Comma">
      <calculatedColumnFormula>PRODUCT($H$24:$H24)</calculatedColumnFormula>
    </tableColumn>
    <tableColumn id="5" name="HoldPerRet" dataDxfId="29" totalsRowDxfId="23" dataCellStyle="Percent">
      <calculatedColumnFormula>$I24-1</calculatedColumnFormula>
    </tableColumn>
    <tableColumn id="6" name="GeoMean" dataDxfId="20" totalsRowDxfId="22" dataCellStyle="Percent">
      <calculatedColumnFormula>GEOMEAN($H$24:$H24)</calculatedColumnFormula>
    </tableColumn>
    <tableColumn id="7" name="GeoAveRet" dataDxfId="28" totalsRowDxfId="21" dataCellStyle="Percent">
      <calculatedColumnFormula>$K24-1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K24" workbookViewId="0">
      <selection activeCell="T40" sqref="T40"/>
    </sheetView>
  </sheetViews>
  <sheetFormatPr defaultRowHeight="15.6" x14ac:dyDescent="0.3"/>
  <cols>
    <col min="1" max="2" width="9.81640625" style="1" bestFit="1" customWidth="1"/>
    <col min="3" max="3" width="13.6328125" style="1" bestFit="1" customWidth="1"/>
    <col min="4" max="4" width="11.6328125" style="2" bestFit="1" customWidth="1"/>
    <col min="6" max="6" width="9.08984375" customWidth="1"/>
    <col min="7" max="7" width="8.6328125" style="2" bestFit="1" customWidth="1"/>
    <col min="8" max="8" width="10.6328125" style="2" bestFit="1" customWidth="1"/>
    <col min="9" max="9" width="10.6328125" style="4" bestFit="1" customWidth="1"/>
    <col min="10" max="10" width="12.6328125" style="2" bestFit="1" customWidth="1"/>
    <col min="11" max="11" width="9.6328125" bestFit="1" customWidth="1"/>
    <col min="12" max="12" width="11.6328125" bestFit="1" customWidth="1"/>
    <col min="14" max="14" width="9.81640625" bestFit="1" customWidth="1"/>
    <col min="15" max="15" width="15.7265625" style="3" bestFit="1" customWidth="1"/>
    <col min="16" max="16" width="14.7265625" style="1" bestFit="1" customWidth="1"/>
    <col min="17" max="17" width="12.6328125" style="1" bestFit="1" customWidth="1"/>
    <col min="18" max="18" width="7.81640625" style="2" bestFit="1" customWidth="1"/>
    <col min="19" max="19" width="10.6328125" style="2" bestFit="1" customWidth="1"/>
    <col min="20" max="21" width="8.7265625" style="4"/>
    <col min="22" max="22" width="8.7265625" style="2"/>
  </cols>
  <sheetData>
    <row r="1" spans="1:22" x14ac:dyDescent="0.3">
      <c r="A1" s="1" t="s">
        <v>0</v>
      </c>
      <c r="B1" s="1" t="s">
        <v>1</v>
      </c>
      <c r="C1" s="1" t="s">
        <v>2</v>
      </c>
      <c r="D1" s="2" t="s">
        <v>3</v>
      </c>
      <c r="F1" t="s">
        <v>4</v>
      </c>
      <c r="G1" s="2" t="s">
        <v>5</v>
      </c>
      <c r="H1" s="2" t="s">
        <v>6</v>
      </c>
      <c r="I1" s="4" t="s">
        <v>7</v>
      </c>
      <c r="J1" s="2" t="s">
        <v>8</v>
      </c>
      <c r="K1" t="s">
        <v>9</v>
      </c>
      <c r="L1" t="s">
        <v>21</v>
      </c>
      <c r="N1" t="s">
        <v>10</v>
      </c>
      <c r="O1" s="3" t="s">
        <v>11</v>
      </c>
      <c r="P1" s="1" t="s">
        <v>12</v>
      </c>
      <c r="Q1" s="1" t="s">
        <v>13</v>
      </c>
      <c r="R1" s="2" t="s">
        <v>14</v>
      </c>
      <c r="S1" s="2" t="s">
        <v>19</v>
      </c>
    </row>
    <row r="2" spans="1:22" x14ac:dyDescent="0.3">
      <c r="A2" s="1">
        <v>100</v>
      </c>
      <c r="B2" s="1">
        <v>105</v>
      </c>
      <c r="C2" s="1">
        <v>5</v>
      </c>
      <c r="D2" s="2">
        <f>($B2+$C2)/$A2-1</f>
        <v>0.10000000000000009</v>
      </c>
      <c r="F2">
        <v>1</v>
      </c>
      <c r="G2" s="2">
        <v>-0.11890000000000001</v>
      </c>
      <c r="H2" s="2">
        <f t="shared" ref="H2:H6" si="0">1+$G2</f>
        <v>0.88109999999999999</v>
      </c>
      <c r="I2" s="4">
        <f>PRODUCT($H$2:$H2)</f>
        <v>0.88109999999999999</v>
      </c>
      <c r="J2" s="2">
        <f t="shared" ref="J2:J6" si="1">$I2-1</f>
        <v>-0.11890000000000001</v>
      </c>
      <c r="K2" s="2">
        <f>GEOMEAN($H$2:$H2)</f>
        <v>0.88109999999999999</v>
      </c>
      <c r="L2" s="2">
        <f t="shared" ref="L2:L6" si="2">$K2-1</f>
        <v>-0.11890000000000001</v>
      </c>
      <c r="N2" t="s">
        <v>15</v>
      </c>
      <c r="O2" s="3">
        <v>0.25</v>
      </c>
      <c r="P2" s="1">
        <v>126.5</v>
      </c>
      <c r="Q2" s="1">
        <v>4.5</v>
      </c>
      <c r="R2" s="2">
        <f t="shared" ref="R2:R5" si="3">($P2+$Q2)/100-1</f>
        <v>0.31000000000000005</v>
      </c>
      <c r="S2" s="2">
        <f t="shared" ref="S2:S5" si="4">$O2*$R2</f>
        <v>7.7500000000000013E-2</v>
      </c>
    </row>
    <row r="3" spans="1:22" x14ac:dyDescent="0.3">
      <c r="F3">
        <v>2</v>
      </c>
      <c r="G3" s="2">
        <v>-0.221</v>
      </c>
      <c r="H3" s="2">
        <f t="shared" si="0"/>
        <v>0.77900000000000003</v>
      </c>
      <c r="I3" s="4">
        <f>PRODUCT($H$2:$H3)</f>
        <v>0.68637690000000007</v>
      </c>
      <c r="J3" s="2">
        <f t="shared" si="1"/>
        <v>-0.31362309999999993</v>
      </c>
      <c r="K3" s="2">
        <f>GEOMEAN($H$2:$H3)</f>
        <v>0.82847866598965603</v>
      </c>
      <c r="L3" s="2">
        <f t="shared" si="2"/>
        <v>-0.17152133401034397</v>
      </c>
      <c r="N3" t="s">
        <v>16</v>
      </c>
      <c r="O3" s="3">
        <v>0.45</v>
      </c>
      <c r="P3" s="1">
        <v>110</v>
      </c>
      <c r="Q3" s="1">
        <v>4</v>
      </c>
      <c r="R3" s="2">
        <f t="shared" si="3"/>
        <v>0.1399999999999999</v>
      </c>
      <c r="S3" s="2">
        <f t="shared" si="4"/>
        <v>6.2999999999999959E-2</v>
      </c>
    </row>
    <row r="4" spans="1:22" x14ac:dyDescent="0.3">
      <c r="F4">
        <v>3</v>
      </c>
      <c r="G4" s="2">
        <v>0.28689999999999999</v>
      </c>
      <c r="H4" s="2">
        <f t="shared" si="0"/>
        <v>1.2868999999999999</v>
      </c>
      <c r="I4" s="4">
        <f>PRODUCT($H$2:$H4)</f>
        <v>0.88329843261000007</v>
      </c>
      <c r="J4" s="2">
        <f t="shared" si="1"/>
        <v>-0.11670156738999993</v>
      </c>
      <c r="K4" s="2">
        <f>GEOMEAN($H$2:$H4)</f>
        <v>0.95947976464616169</v>
      </c>
      <c r="L4" s="2">
        <f t="shared" si="2"/>
        <v>-4.0520235353838308E-2</v>
      </c>
      <c r="N4" t="s">
        <v>17</v>
      </c>
      <c r="O4" s="3">
        <v>0.25</v>
      </c>
      <c r="P4" s="1">
        <v>89.75</v>
      </c>
      <c r="Q4" s="1">
        <v>3.5</v>
      </c>
      <c r="R4" s="2">
        <f t="shared" si="3"/>
        <v>-6.7500000000000004E-2</v>
      </c>
      <c r="S4" s="2">
        <f t="shared" si="4"/>
        <v>-1.6875000000000001E-2</v>
      </c>
    </row>
    <row r="5" spans="1:22" x14ac:dyDescent="0.3">
      <c r="F5">
        <v>4</v>
      </c>
      <c r="G5" s="2">
        <v>0.10879999999999999</v>
      </c>
      <c r="H5" s="2">
        <f t="shared" si="0"/>
        <v>1.1088</v>
      </c>
      <c r="I5" s="4">
        <f>PRODUCT($H$2:$H5)</f>
        <v>0.97940130207796805</v>
      </c>
      <c r="J5" s="2">
        <f t="shared" si="1"/>
        <v>-2.059869792203195E-2</v>
      </c>
      <c r="K5" s="2">
        <f>GEOMEAN($H$2:$H5)</f>
        <v>0.99481006194595845</v>
      </c>
      <c r="L5" s="2">
        <f t="shared" si="2"/>
        <v>-5.1899380540415541E-3</v>
      </c>
      <c r="N5" t="s">
        <v>18</v>
      </c>
      <c r="O5" s="3">
        <v>0.05</v>
      </c>
      <c r="P5" s="1">
        <v>46</v>
      </c>
      <c r="Q5" s="1">
        <v>2</v>
      </c>
      <c r="R5" s="2">
        <f t="shared" si="3"/>
        <v>-0.52</v>
      </c>
      <c r="S5" s="2">
        <f t="shared" si="4"/>
        <v>-2.6000000000000002E-2</v>
      </c>
    </row>
    <row r="6" spans="1:22" x14ac:dyDescent="0.3">
      <c r="F6">
        <v>5</v>
      </c>
      <c r="G6" s="2">
        <v>4.9099999999999998E-2</v>
      </c>
      <c r="H6" s="2">
        <f t="shared" si="0"/>
        <v>1.0490999999999999</v>
      </c>
      <c r="I6" s="4">
        <f>PRODUCT($H$2:$H6)</f>
        <v>1.0274899060099962</v>
      </c>
      <c r="J6" s="2">
        <f t="shared" si="1"/>
        <v>2.7489906009996234E-2</v>
      </c>
      <c r="K6" s="2">
        <f>GEOMEAN($H$2:$H6)</f>
        <v>1.0054385039627223</v>
      </c>
      <c r="L6" s="2">
        <f t="shared" si="2"/>
        <v>5.4385039627222742E-3</v>
      </c>
      <c r="N6" t="s">
        <v>20</v>
      </c>
      <c r="O6" s="5"/>
      <c r="P6" s="5"/>
      <c r="Q6" s="5"/>
      <c r="R6" s="5"/>
      <c r="S6" s="2">
        <f>SUBTOTAL(109,Table3[Weighted])</f>
        <v>9.7624999999999962E-2</v>
      </c>
    </row>
    <row r="7" spans="1:22" x14ac:dyDescent="0.3">
      <c r="F7" t="s">
        <v>22</v>
      </c>
      <c r="G7" s="6">
        <f>SUBTOTAL(101,Table2[Return])</f>
        <v>2.0979999999999999E-2</v>
      </c>
      <c r="H7" s="5"/>
      <c r="I7" s="5"/>
      <c r="J7" s="5"/>
      <c r="K7" s="5"/>
      <c r="L7" s="6"/>
    </row>
    <row r="9" spans="1:22" x14ac:dyDescent="0.3">
      <c r="F9" t="s">
        <v>4</v>
      </c>
      <c r="G9" s="2" t="s">
        <v>5</v>
      </c>
      <c r="H9" s="2" t="s">
        <v>6</v>
      </c>
      <c r="I9" s="4" t="s">
        <v>7</v>
      </c>
      <c r="J9" s="2" t="s">
        <v>8</v>
      </c>
      <c r="K9" t="s">
        <v>9</v>
      </c>
      <c r="L9" t="s">
        <v>21</v>
      </c>
      <c r="O9" s="3" t="s">
        <v>11</v>
      </c>
      <c r="P9" s="1" t="s">
        <v>12</v>
      </c>
      <c r="Q9" s="1" t="s">
        <v>13</v>
      </c>
      <c r="R9" s="2" t="s">
        <v>14</v>
      </c>
      <c r="S9" s="2" t="s">
        <v>19</v>
      </c>
      <c r="T9" s="4" t="s">
        <v>24</v>
      </c>
      <c r="U9" s="4" t="s">
        <v>25</v>
      </c>
      <c r="V9" s="2" t="s">
        <v>26</v>
      </c>
    </row>
    <row r="10" spans="1:22" x14ac:dyDescent="0.3">
      <c r="F10">
        <v>1</v>
      </c>
      <c r="G10" s="2">
        <v>-0.1</v>
      </c>
      <c r="H10" s="2">
        <f t="shared" ref="H10:H12" si="5">1+$G10</f>
        <v>0.9</v>
      </c>
      <c r="I10" s="4">
        <f>PRODUCT($H$10:$H10)</f>
        <v>0.9</v>
      </c>
      <c r="J10" s="2">
        <f t="shared" ref="J10:J12" si="6">$I10-1</f>
        <v>-9.9999999999999978E-2</v>
      </c>
      <c r="K10" s="2">
        <f>GEOMEAN($H$10:$H10)</f>
        <v>0.9</v>
      </c>
      <c r="L10" s="2">
        <f t="shared" ref="L10:L12" si="7">$K10-1</f>
        <v>-9.9999999999999978E-2</v>
      </c>
      <c r="O10" s="3">
        <v>0.25</v>
      </c>
      <c r="P10" s="1">
        <v>140</v>
      </c>
      <c r="Q10" s="1">
        <v>0</v>
      </c>
      <c r="R10" s="2">
        <f>($P10+$Q10)/100-1</f>
        <v>0.39999999999999991</v>
      </c>
      <c r="S10" s="2">
        <f>$O10*$R10</f>
        <v>9.9999999999999978E-2</v>
      </c>
      <c r="T10" s="4">
        <f t="shared" ref="T10:T12" si="8">POWER($R10-$S$13,2)</f>
        <v>8.9999999999999927E-2</v>
      </c>
      <c r="U10" s="4">
        <f t="shared" ref="U10:U12" si="9">$T10*$O10</f>
        <v>2.2499999999999982E-2</v>
      </c>
    </row>
    <row r="11" spans="1:22" x14ac:dyDescent="0.3">
      <c r="F11">
        <v>2</v>
      </c>
      <c r="G11" s="2">
        <v>0.2</v>
      </c>
      <c r="H11" s="2">
        <f t="shared" si="5"/>
        <v>1.2</v>
      </c>
      <c r="I11" s="4">
        <f>PRODUCT($H$10:$H11)</f>
        <v>1.08</v>
      </c>
      <c r="J11" s="2">
        <f t="shared" si="6"/>
        <v>8.0000000000000071E-2</v>
      </c>
      <c r="K11" s="2">
        <f>GEOMEAN($H$10:$H11)</f>
        <v>1.0392304845413265</v>
      </c>
      <c r="L11" s="2">
        <f t="shared" si="7"/>
        <v>3.9230484541326494E-2</v>
      </c>
      <c r="O11" s="3">
        <v>0.5</v>
      </c>
      <c r="P11" s="1">
        <v>110</v>
      </c>
      <c r="Q11" s="1">
        <v>0</v>
      </c>
      <c r="R11" s="2">
        <f>($P11+$Q11)/100-1</f>
        <v>0.10000000000000009</v>
      </c>
      <c r="S11" s="2">
        <f>$O11*$R11</f>
        <v>5.0000000000000044E-2</v>
      </c>
      <c r="T11" s="4">
        <f t="shared" si="8"/>
        <v>3.0814879110195774E-33</v>
      </c>
      <c r="U11" s="4">
        <f t="shared" si="9"/>
        <v>1.5407439555097887E-33</v>
      </c>
    </row>
    <row r="12" spans="1:22" x14ac:dyDescent="0.3">
      <c r="F12">
        <v>3</v>
      </c>
      <c r="G12" s="2">
        <v>0.3</v>
      </c>
      <c r="H12" s="2">
        <f t="shared" si="5"/>
        <v>1.3</v>
      </c>
      <c r="I12" s="4">
        <f>PRODUCT($H$10:$H12)</f>
        <v>1.4040000000000001</v>
      </c>
      <c r="J12" s="2">
        <f t="shared" si="6"/>
        <v>0.40400000000000014</v>
      </c>
      <c r="K12" s="2">
        <f>GEOMEAN($H$10:$H12)</f>
        <v>1.1197533470451746</v>
      </c>
      <c r="L12" s="2">
        <f t="shared" si="7"/>
        <v>0.1197533470451746</v>
      </c>
      <c r="O12" s="3">
        <v>0.25</v>
      </c>
      <c r="P12" s="1">
        <v>80</v>
      </c>
      <c r="Q12" s="1">
        <v>0</v>
      </c>
      <c r="R12" s="2">
        <f>($P12+$Q12)/100-1</f>
        <v>-0.19999999999999996</v>
      </c>
      <c r="S12" s="2">
        <f>$O12*$R12</f>
        <v>-4.9999999999999989E-2</v>
      </c>
      <c r="T12" s="4">
        <f t="shared" si="8"/>
        <v>0.09</v>
      </c>
      <c r="U12" s="4">
        <f t="shared" si="9"/>
        <v>2.2499999999999999E-2</v>
      </c>
    </row>
    <row r="13" spans="1:22" x14ac:dyDescent="0.3">
      <c r="F13" t="s">
        <v>22</v>
      </c>
      <c r="G13" s="6">
        <f>SUBTOTAL(101,Table25[Return])</f>
        <v>0.13333333333333333</v>
      </c>
      <c r="H13" s="5"/>
      <c r="I13" s="5"/>
      <c r="J13" s="5"/>
      <c r="K13" s="5"/>
      <c r="L13" s="6"/>
      <c r="O13" s="5" t="s">
        <v>23</v>
      </c>
      <c r="P13" s="5"/>
      <c r="Q13" s="5"/>
      <c r="R13" s="5"/>
      <c r="S13" s="2">
        <f>SUBTOTAL(109,Table37[Weighted])</f>
        <v>0.10000000000000003</v>
      </c>
      <c r="U13" s="4">
        <f>SUBTOTAL(109,Table37[WtdVar])</f>
        <v>4.4999999999999984E-2</v>
      </c>
      <c r="V13" s="2">
        <f>SQRT($U13)</f>
        <v>0.21213203435596423</v>
      </c>
    </row>
    <row r="15" spans="1:22" x14ac:dyDescent="0.3">
      <c r="F15" t="s">
        <v>4</v>
      </c>
      <c r="G15" s="2" t="s">
        <v>5</v>
      </c>
      <c r="H15" s="2" t="s">
        <v>6</v>
      </c>
      <c r="I15" s="4" t="s">
        <v>7</v>
      </c>
      <c r="J15" s="2" t="s">
        <v>8</v>
      </c>
      <c r="K15" t="s">
        <v>9</v>
      </c>
      <c r="L15" t="s">
        <v>21</v>
      </c>
    </row>
    <row r="16" spans="1:22" x14ac:dyDescent="0.3">
      <c r="F16">
        <v>1</v>
      </c>
      <c r="G16" s="2">
        <v>0.12</v>
      </c>
      <c r="H16" s="2">
        <f t="shared" ref="H16:H18" si="10">1+$G16</f>
        <v>1.1200000000000001</v>
      </c>
      <c r="I16" s="4">
        <f>PRODUCT($H$16:$H16)</f>
        <v>1.1200000000000001</v>
      </c>
      <c r="J16" s="2">
        <f t="shared" ref="J16:J18" si="11">$I16-1</f>
        <v>0.12000000000000011</v>
      </c>
      <c r="K16" s="2">
        <f>GEOMEAN($H$16:$H16)</f>
        <v>1.1200000000000001</v>
      </c>
      <c r="L16" s="2">
        <f t="shared" ref="L16:L18" si="12">$K16-1</f>
        <v>0.12000000000000011</v>
      </c>
      <c r="O16" s="3" t="s">
        <v>11</v>
      </c>
      <c r="P16" s="1" t="s">
        <v>12</v>
      </c>
      <c r="Q16" s="1" t="s">
        <v>13</v>
      </c>
      <c r="R16" s="2" t="s">
        <v>14</v>
      </c>
      <c r="S16" s="2" t="s">
        <v>19</v>
      </c>
      <c r="T16" s="4" t="s">
        <v>24</v>
      </c>
      <c r="U16" s="4" t="s">
        <v>25</v>
      </c>
      <c r="V16" s="2" t="s">
        <v>26</v>
      </c>
    </row>
    <row r="17" spans="6:22" x14ac:dyDescent="0.3">
      <c r="F17">
        <v>2</v>
      </c>
      <c r="G17" s="2">
        <v>-0.1</v>
      </c>
      <c r="H17" s="2">
        <f t="shared" si="10"/>
        <v>0.9</v>
      </c>
      <c r="I17" s="4">
        <f>PRODUCT($H$16:$H17)</f>
        <v>1.0080000000000002</v>
      </c>
      <c r="J17" s="2">
        <f t="shared" si="11"/>
        <v>8.0000000000002292E-3</v>
      </c>
      <c r="K17" s="2">
        <f>GEOMEAN($H$16:$H17)</f>
        <v>1.0039920318408908</v>
      </c>
      <c r="L17" s="2">
        <f t="shared" si="12"/>
        <v>3.9920318408908084E-3</v>
      </c>
      <c r="O17" s="3">
        <v>0.3</v>
      </c>
      <c r="P17" s="1">
        <v>110</v>
      </c>
      <c r="Q17" s="1">
        <v>0</v>
      </c>
      <c r="R17" s="2">
        <f>($P17+$Q17)/100-1</f>
        <v>0.10000000000000009</v>
      </c>
      <c r="S17" s="2">
        <f>$O17*$R17</f>
        <v>3.0000000000000027E-2</v>
      </c>
      <c r="T17" s="4">
        <f t="shared" ref="T17:T19" si="13">POWER($R17-$S$20,2)</f>
        <v>1.5999999999999983E-3</v>
      </c>
      <c r="U17" s="4">
        <f t="shared" ref="U17:U19" si="14">$T17*$O17</f>
        <v>4.7999999999999947E-4</v>
      </c>
    </row>
    <row r="18" spans="6:22" x14ac:dyDescent="0.3">
      <c r="F18">
        <v>3</v>
      </c>
      <c r="G18" s="2">
        <v>0.05</v>
      </c>
      <c r="H18" s="2">
        <f t="shared" si="10"/>
        <v>1.05</v>
      </c>
      <c r="I18" s="4">
        <f>PRODUCT($H$16:$H18)</f>
        <v>1.0584000000000002</v>
      </c>
      <c r="J18" s="2">
        <f t="shared" si="11"/>
        <v>5.840000000000023E-2</v>
      </c>
      <c r="K18" s="2">
        <f>GEOMEAN($H$16:$H18)</f>
        <v>1.0190995513450865</v>
      </c>
      <c r="L18" s="2">
        <f t="shared" si="12"/>
        <v>1.9099551345086452E-2</v>
      </c>
      <c r="O18" s="3">
        <v>0.4</v>
      </c>
      <c r="P18" s="1">
        <v>105</v>
      </c>
      <c r="Q18" s="1">
        <v>0</v>
      </c>
      <c r="R18" s="2">
        <f>($P18+$Q18)/100-1</f>
        <v>5.0000000000000044E-2</v>
      </c>
      <c r="S18" s="2">
        <f>$O18*$R18</f>
        <v>2.0000000000000018E-2</v>
      </c>
      <c r="T18" s="4">
        <f t="shared" si="13"/>
        <v>8.1000000000000048E-3</v>
      </c>
      <c r="U18" s="4">
        <f t="shared" si="14"/>
        <v>3.240000000000002E-3</v>
      </c>
    </row>
    <row r="19" spans="6:22" x14ac:dyDescent="0.3">
      <c r="F19" t="s">
        <v>22</v>
      </c>
      <c r="G19" s="6">
        <f>SUBTOTAL(101,Table256[Return])</f>
        <v>2.3333333333333331E-2</v>
      </c>
      <c r="H19" s="5"/>
      <c r="I19" s="5"/>
      <c r="J19" s="5"/>
      <c r="K19" s="5"/>
      <c r="L19" s="6"/>
      <c r="O19" s="3">
        <v>0.3</v>
      </c>
      <c r="P19" s="1">
        <v>130</v>
      </c>
      <c r="Q19" s="1">
        <v>0</v>
      </c>
      <c r="R19" s="2">
        <f>($P19+$Q19)/100-1</f>
        <v>0.30000000000000004</v>
      </c>
      <c r="S19" s="2">
        <f>$O19*$R19</f>
        <v>9.0000000000000011E-2</v>
      </c>
      <c r="T19" s="4">
        <f t="shared" si="13"/>
        <v>2.5599999999999991E-2</v>
      </c>
      <c r="U19" s="4">
        <f t="shared" si="14"/>
        <v>7.6799999999999967E-3</v>
      </c>
    </row>
    <row r="20" spans="6:22" x14ac:dyDescent="0.3">
      <c r="O20" s="5" t="s">
        <v>23</v>
      </c>
      <c r="P20" s="5"/>
      <c r="Q20" s="5"/>
      <c r="R20" s="5"/>
      <c r="S20" s="2">
        <f>SUBTOTAL(109,Table378[Weighted])</f>
        <v>0.14000000000000007</v>
      </c>
      <c r="U20" s="4">
        <f>SUBTOTAL(109,Table378[WtdVar])</f>
        <v>1.1399999999999999E-2</v>
      </c>
      <c r="V20" s="2">
        <f>SQRT($U20)</f>
        <v>0.10677078252031311</v>
      </c>
    </row>
    <row r="23" spans="6:22" x14ac:dyDescent="0.3">
      <c r="F23" t="s">
        <v>4</v>
      </c>
      <c r="G23" s="2" t="s">
        <v>5</v>
      </c>
      <c r="H23" s="2" t="s">
        <v>6</v>
      </c>
      <c r="I23" s="4" t="s">
        <v>7</v>
      </c>
      <c r="J23" s="2" t="s">
        <v>8</v>
      </c>
      <c r="K23" t="s">
        <v>9</v>
      </c>
      <c r="L23" t="s">
        <v>21</v>
      </c>
      <c r="O23" s="3" t="s">
        <v>11</v>
      </c>
      <c r="P23" s="1" t="s">
        <v>12</v>
      </c>
      <c r="Q23" s="1" t="s">
        <v>13</v>
      </c>
      <c r="R23" s="2" t="s">
        <v>14</v>
      </c>
      <c r="S23" s="2" t="s">
        <v>19</v>
      </c>
      <c r="T23" s="4" t="s">
        <v>24</v>
      </c>
      <c r="U23" s="4" t="s">
        <v>25</v>
      </c>
      <c r="V23" s="2" t="s">
        <v>26</v>
      </c>
    </row>
    <row r="24" spans="6:22" x14ac:dyDescent="0.3">
      <c r="F24">
        <v>1</v>
      </c>
      <c r="G24" s="2">
        <v>-0.1</v>
      </c>
      <c r="H24" s="2">
        <f t="shared" ref="H24:H26" si="15">1+$G24</f>
        <v>0.9</v>
      </c>
      <c r="I24" s="4">
        <f>PRODUCT($H$24:$H24)</f>
        <v>0.9</v>
      </c>
      <c r="J24" s="2">
        <f t="shared" ref="J24:J26" si="16">$I24-1</f>
        <v>-9.9999999999999978E-2</v>
      </c>
      <c r="K24" s="2">
        <f>GEOMEAN($H$24:$H24)</f>
        <v>0.9</v>
      </c>
      <c r="L24" s="2">
        <f t="shared" ref="L24:L26" si="17">$K24-1</f>
        <v>-9.9999999999999978E-2</v>
      </c>
      <c r="O24" s="3">
        <v>0.4</v>
      </c>
      <c r="P24" s="1">
        <v>110</v>
      </c>
      <c r="Q24" s="1">
        <v>0</v>
      </c>
      <c r="R24" s="2">
        <f>($P24+$Q24)/100-1</f>
        <v>0.10000000000000009</v>
      </c>
      <c r="S24" s="2">
        <f>$O24*$R24</f>
        <v>4.0000000000000036E-2</v>
      </c>
      <c r="T24" s="4">
        <f t="shared" ref="T24:T26" si="18">POWER($R24-$S$27,2)</f>
        <v>1.4399999999999972E-2</v>
      </c>
      <c r="U24" s="4">
        <f t="shared" ref="U24:U26" si="19">$T24*$O24</f>
        <v>5.7599999999999891E-3</v>
      </c>
    </row>
    <row r="25" spans="6:22" x14ac:dyDescent="0.3">
      <c r="F25">
        <v>2</v>
      </c>
      <c r="G25" s="2">
        <v>-0.2</v>
      </c>
      <c r="H25" s="2">
        <f t="shared" si="15"/>
        <v>0.8</v>
      </c>
      <c r="I25" s="4">
        <f>PRODUCT($H$24:$H25)</f>
        <v>0.72000000000000008</v>
      </c>
      <c r="J25" s="2">
        <f t="shared" si="16"/>
        <v>-0.27999999999999992</v>
      </c>
      <c r="K25" s="2">
        <f>GEOMEAN($H$24:$H25)</f>
        <v>0.84852813742385713</v>
      </c>
      <c r="L25" s="2">
        <f t="shared" si="17"/>
        <v>-0.15147186257614287</v>
      </c>
      <c r="O25" s="3">
        <v>0.3</v>
      </c>
      <c r="P25" s="1">
        <v>140</v>
      </c>
      <c r="Q25" s="1">
        <v>0</v>
      </c>
      <c r="R25" s="2">
        <f>($P25+$Q25)/100-1</f>
        <v>0.39999999999999991</v>
      </c>
      <c r="S25" s="2">
        <f>$O25*$R25</f>
        <v>0.11999999999999997</v>
      </c>
      <c r="T25" s="4">
        <f t="shared" si="18"/>
        <v>3.2399999999999977E-2</v>
      </c>
      <c r="U25" s="4">
        <f t="shared" si="19"/>
        <v>9.7199999999999925E-3</v>
      </c>
    </row>
    <row r="26" spans="6:22" x14ac:dyDescent="0.3">
      <c r="F26">
        <v>3</v>
      </c>
      <c r="G26" s="2">
        <v>0.3</v>
      </c>
      <c r="H26" s="2">
        <f t="shared" si="15"/>
        <v>1.3</v>
      </c>
      <c r="I26" s="4">
        <f>PRODUCT($H$24:$H26)</f>
        <v>0.93600000000000017</v>
      </c>
      <c r="J26" s="2">
        <f t="shared" si="16"/>
        <v>-6.3999999999999835E-2</v>
      </c>
      <c r="K26" s="2">
        <f>GEOMEAN($H$24:$H26)</f>
        <v>0.97819464930174971</v>
      </c>
      <c r="L26" s="2">
        <f t="shared" si="17"/>
        <v>-2.1805350698250292E-2</v>
      </c>
      <c r="O26" s="3">
        <v>0.3</v>
      </c>
      <c r="P26" s="1">
        <v>120</v>
      </c>
      <c r="Q26" s="1">
        <v>0</v>
      </c>
      <c r="R26" s="2">
        <f>($P26+$Q26)/100-1</f>
        <v>0.19999999999999996</v>
      </c>
      <c r="S26" s="2">
        <f>$O26*$R26</f>
        <v>5.9999999999999984E-2</v>
      </c>
      <c r="T26" s="4">
        <f t="shared" si="18"/>
        <v>4.0000000000000072E-4</v>
      </c>
      <c r="U26" s="4">
        <f t="shared" si="19"/>
        <v>1.2000000000000021E-4</v>
      </c>
    </row>
    <row r="27" spans="6:22" x14ac:dyDescent="0.3">
      <c r="F27">
        <v>4</v>
      </c>
      <c r="G27" s="2">
        <v>0.2</v>
      </c>
      <c r="H27" s="2">
        <f>1+$G27</f>
        <v>1.2</v>
      </c>
      <c r="I27" s="4">
        <f>PRODUCT($H$24:$H27)</f>
        <v>1.1232000000000002</v>
      </c>
      <c r="J27" s="7">
        <f>$I27-1</f>
        <v>0.1232000000000002</v>
      </c>
      <c r="K27" s="2">
        <f>GEOMEAN($H$24:$H27)</f>
        <v>1.0294713711217722</v>
      </c>
      <c r="L27" s="2">
        <f>$K27-1</f>
        <v>2.9471371121772227E-2</v>
      </c>
      <c r="O27" s="5" t="s">
        <v>23</v>
      </c>
      <c r="P27" s="5"/>
      <c r="Q27" s="5"/>
      <c r="R27" s="5"/>
      <c r="S27" s="2">
        <f>SUBTOTAL(109,Table3789[Weighted])</f>
        <v>0.21999999999999997</v>
      </c>
      <c r="U27" s="4">
        <f>SUBTOTAL(109,Table3789[WtdVar])</f>
        <v>1.5599999999999982E-2</v>
      </c>
      <c r="V27" s="2">
        <f>SQRT($U27)</f>
        <v>0.12489995996796789</v>
      </c>
    </row>
    <row r="28" spans="6:22" x14ac:dyDescent="0.3">
      <c r="F28">
        <v>5</v>
      </c>
      <c r="G28" s="2">
        <v>0.15</v>
      </c>
      <c r="H28" s="2">
        <f>1+$G28</f>
        <v>1.1499999999999999</v>
      </c>
      <c r="I28" s="4">
        <f>PRODUCT($H$24:$H28)</f>
        <v>1.2916800000000002</v>
      </c>
      <c r="J28" s="7">
        <f>$I28-1</f>
        <v>0.29168000000000016</v>
      </c>
      <c r="K28" s="2">
        <f>GEOMEAN($H$24:$H28)</f>
        <v>1.0525215267484762</v>
      </c>
      <c r="L28" s="2">
        <f>$K28-1</f>
        <v>5.252152674847621E-2</v>
      </c>
    </row>
    <row r="29" spans="6:22" x14ac:dyDescent="0.3">
      <c r="F29" t="s">
        <v>22</v>
      </c>
      <c r="G29" s="6">
        <f>SUBTOTAL(101,Table25610[Return])</f>
        <v>6.9999999999999993E-2</v>
      </c>
      <c r="H29" s="5"/>
      <c r="I29" s="5"/>
      <c r="J29" s="5"/>
      <c r="K29" s="5"/>
      <c r="L29" s="6"/>
    </row>
    <row r="31" spans="6:22" x14ac:dyDescent="0.3">
      <c r="N31" t="s">
        <v>10</v>
      </c>
      <c r="O31" s="3" t="s">
        <v>11</v>
      </c>
      <c r="P31" s="1" t="s">
        <v>12</v>
      </c>
      <c r="Q31" s="1" t="s">
        <v>13</v>
      </c>
      <c r="R31" s="2" t="s">
        <v>14</v>
      </c>
      <c r="S31" s="2" t="s">
        <v>19</v>
      </c>
    </row>
    <row r="32" spans="6:22" x14ac:dyDescent="0.3">
      <c r="N32" t="s">
        <v>18</v>
      </c>
      <c r="O32" s="3">
        <v>0.25</v>
      </c>
      <c r="P32" s="1">
        <v>160</v>
      </c>
      <c r="Q32" s="1">
        <v>5</v>
      </c>
      <c r="R32" s="2">
        <f t="shared" ref="R32:R35" si="20">($P32+$Q32)/160-1</f>
        <v>3.125E-2</v>
      </c>
      <c r="S32" s="2">
        <f t="shared" ref="S32:S35" si="21">$O32*$R32</f>
        <v>7.8125E-3</v>
      </c>
    </row>
    <row r="33" spans="14:22" x14ac:dyDescent="0.3">
      <c r="N33" t="s">
        <v>17</v>
      </c>
      <c r="O33" s="3">
        <v>0.4</v>
      </c>
      <c r="P33" s="1">
        <v>150</v>
      </c>
      <c r="Q33" s="1">
        <v>10</v>
      </c>
      <c r="R33" s="2">
        <f t="shared" si="20"/>
        <v>0</v>
      </c>
      <c r="S33" s="2">
        <f t="shared" si="21"/>
        <v>0</v>
      </c>
    </row>
    <row r="34" spans="14:22" x14ac:dyDescent="0.3">
      <c r="N34" t="s">
        <v>16</v>
      </c>
      <c r="O34" s="3">
        <v>0.3</v>
      </c>
      <c r="P34" s="1">
        <v>160</v>
      </c>
      <c r="Q34" s="1">
        <v>20</v>
      </c>
      <c r="R34" s="2">
        <f t="shared" si="20"/>
        <v>0.125</v>
      </c>
      <c r="S34" s="2">
        <f t="shared" si="21"/>
        <v>3.7499999999999999E-2</v>
      </c>
    </row>
    <row r="35" spans="14:22" x14ac:dyDescent="0.3">
      <c r="N35" t="s">
        <v>15</v>
      </c>
      <c r="O35" s="3">
        <v>0.05</v>
      </c>
      <c r="P35" s="1">
        <v>200</v>
      </c>
      <c r="Q35" s="1">
        <v>30</v>
      </c>
      <c r="R35" s="2">
        <f t="shared" si="20"/>
        <v>0.4375</v>
      </c>
      <c r="S35" s="2">
        <f t="shared" si="21"/>
        <v>2.1875000000000002E-2</v>
      </c>
    </row>
    <row r="36" spans="14:22" x14ac:dyDescent="0.3">
      <c r="N36" t="s">
        <v>20</v>
      </c>
      <c r="O36" s="5"/>
      <c r="P36" s="5"/>
      <c r="Q36" s="5"/>
      <c r="R36" s="5"/>
      <c r="S36" s="2">
        <f>SUBTOTAL(109,Table311[Weighted])</f>
        <v>6.7187499999999997E-2</v>
      </c>
    </row>
    <row r="38" spans="14:22" x14ac:dyDescent="0.3">
      <c r="O38" s="3" t="s">
        <v>11</v>
      </c>
      <c r="P38" s="1" t="s">
        <v>12</v>
      </c>
      <c r="Q38" s="1" t="s">
        <v>13</v>
      </c>
      <c r="R38" s="2" t="s">
        <v>14</v>
      </c>
      <c r="S38" s="2" t="s">
        <v>19</v>
      </c>
      <c r="T38" s="4" t="s">
        <v>24</v>
      </c>
      <c r="U38" s="4" t="s">
        <v>25</v>
      </c>
      <c r="V38" s="2" t="s">
        <v>26</v>
      </c>
    </row>
    <row r="39" spans="14:22" x14ac:dyDescent="0.3">
      <c r="O39" s="3">
        <v>0.6</v>
      </c>
      <c r="P39" s="1">
        <v>150</v>
      </c>
      <c r="Q39" s="1">
        <v>0</v>
      </c>
      <c r="R39" s="2">
        <f>($P39+$Q39)/100-1</f>
        <v>0.5</v>
      </c>
      <c r="S39" s="2">
        <f>$O39*$R39</f>
        <v>0.3</v>
      </c>
      <c r="T39" s="4">
        <f t="shared" ref="T39:T40" si="22">POWER($R39-$S$41,2)</f>
        <v>0.10240000000000005</v>
      </c>
      <c r="U39" s="4">
        <f t="shared" ref="U39:U40" si="23">$T39*$O39</f>
        <v>6.1440000000000022E-2</v>
      </c>
    </row>
    <row r="40" spans="14:22" x14ac:dyDescent="0.3">
      <c r="O40" s="3">
        <v>0.4</v>
      </c>
      <c r="P40" s="1">
        <v>70</v>
      </c>
      <c r="Q40" s="1">
        <v>0</v>
      </c>
      <c r="R40" s="2">
        <f>($P40+$Q40)/100-1</f>
        <v>-0.30000000000000004</v>
      </c>
      <c r="S40" s="2">
        <f>$O40*$R40</f>
        <v>-0.12000000000000002</v>
      </c>
      <c r="T40" s="4">
        <f t="shared" si="22"/>
        <v>0.23039999999999999</v>
      </c>
      <c r="U40" s="4">
        <f t="shared" si="23"/>
        <v>9.2160000000000006E-2</v>
      </c>
    </row>
    <row r="41" spans="14:22" x14ac:dyDescent="0.3">
      <c r="O41" s="5" t="s">
        <v>23</v>
      </c>
      <c r="P41" s="5"/>
      <c r="Q41" s="5"/>
      <c r="R41" s="5"/>
      <c r="S41" s="2">
        <f>SUBTOTAL(109,Table378912[Weighted])</f>
        <v>0.17999999999999997</v>
      </c>
      <c r="U41" s="4">
        <f>SUBTOTAL(109,Table378912[WtdVar])</f>
        <v>0.15360000000000001</v>
      </c>
      <c r="V41" s="2">
        <f>SQRT($U41)</f>
        <v>0.39191835884530851</v>
      </c>
    </row>
  </sheetData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2016-11-02T03:23:16Z</dcterms:created>
  <dcterms:modified xsi:type="dcterms:W3CDTF">2016-11-05T20:38:19Z</dcterms:modified>
</cp:coreProperties>
</file>