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drawings/drawing2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drawings/drawing3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psxau2_nottingham_ac_uk/Documents/LDO/RS/"/>
    </mc:Choice>
  </mc:AlternateContent>
  <xr:revisionPtr revIDLastSave="1" documentId="8_{3E4E148F-318A-4BA6-8825-E80209192731}" xr6:coauthVersionLast="47" xr6:coauthVersionMax="47" xr10:uidLastSave="{EEBD1C70-BE8C-456F-9E3D-A04F905D630F}"/>
  <bookViews>
    <workbookView xWindow="-120" yWindow="-120" windowWidth="20730" windowHeight="11160" firstSheet="1" activeTab="1" xr2:uid="{00000000-000D-0000-FFFF-FFFF00000000}"/>
  </bookViews>
  <sheets>
    <sheet name="CarRental_I_Model_II (2)" sheetId="12" r:id="rId1"/>
    <sheet name="Data" sheetId="5" r:id="rId2"/>
    <sheet name="CarRental_I_Model" sheetId="4" r:id="rId3"/>
    <sheet name="CarRental_II_Model" sheetId="13" r:id="rId4"/>
  </sheets>
  <definedNames>
    <definedName name="b_1" localSheetId="0">CarRental_II_Model!$E$93</definedName>
    <definedName name="b_2" localSheetId="0">CarRental_II_Model!$J$93</definedName>
    <definedName name="Birmingham_PerC">Data!$C$53:$G$56</definedName>
    <definedName name="Cars">CarRental_I_Model!$D$7</definedName>
    <definedName name="Cars_2" localSheetId="3">CarRental_II_Model!$D$7</definedName>
    <definedName name="Damage_Fee">Data!$H$40</definedName>
    <definedName name="Damaged_CarsPerC">Data!$H$39</definedName>
    <definedName name="Days">CarRental_I_Model!$AQ$2:$AQ$8</definedName>
    <definedName name="Days_2" localSheetId="3">CarRental_II_Model!$AQ$2:$AQ$8</definedName>
    <definedName name="Discount_Amount" localSheetId="0">Discount_Details[Discount Amount]</definedName>
    <definedName name="Discount_Amount" localSheetId="3">Discount_Details[Discount Amount]</definedName>
    <definedName name="Discount_Amount">Discount_Details[Discount Amount]</definedName>
    <definedName name="Glasgow_PerC">Data!$C$45:$G$48</definedName>
    <definedName name="m_1" localSheetId="0">CarRental_II_Model!$E$89</definedName>
    <definedName name="m_2" localSheetId="0">CarRental_II_Model!$J$89</definedName>
    <definedName name="Manchester_PerC">Data!$J$45:$N$48</definedName>
    <definedName name="OpenSolver_ChosenSolver" localSheetId="2" hidden="1">CBC</definedName>
    <definedName name="OpenSolver_ChosenSolver" localSheetId="0" hidden="1">CBC</definedName>
    <definedName name="OpenSolver_ChosenSolver" localSheetId="3" hidden="1">CBC</definedName>
    <definedName name="OpenSolver_DualsNewSheet" localSheetId="2" hidden="1">0</definedName>
    <definedName name="OpenSolver_DualsNewSheet" localSheetId="0" hidden="1">0</definedName>
    <definedName name="OpenSolver_DualsNewSheet" localSheetId="3" hidden="1">0</definedName>
    <definedName name="OpenSolver_LinearityCheck" localSheetId="2" hidden="1">1</definedName>
    <definedName name="OpenSolver_LinearityCheck" localSheetId="0" hidden="1">1</definedName>
    <definedName name="OpenSolver_LinearityCheck" localSheetId="3" hidden="1">1</definedName>
    <definedName name="Opportunity_Cost">Data!$H$37</definedName>
    <definedName name="p_1" localSheetId="0">CarRental_II_Model!$O$89</definedName>
    <definedName name="Plymouth_PerC">Data!$J$53:$N$56</definedName>
    <definedName name="solver_adj" localSheetId="2" hidden="1">CarRental_I_Model!$D$7,CarRental_I_Model!$D$12:$I$15,CarRental_I_Model!$D$20:$I$23,CarRental_I_Model!$D$28:$I$31,CarRental_I_Model!$D$36:$I$39,CarRental_I_Model!$D$44:$I$47,CarRental_I_Model!$D$52:$I$55,CarRental_I_Model!$M$52:$R$55,CarRental_I_Model!$D$58:$I$61,CarRental_I_Model!$M$58:$R$61,CarRental_I_Model!$D$67:$I$70,CarRental_I_Model!$M$67:$R$70,CarRental_I_Model!$D$73:$I$76,CarRental_I_Model!$M$73:$R$76,CarRental_I_Model!$D$82:$I$85</definedName>
    <definedName name="solver_adj" localSheetId="0" hidden="1">'CarRental_I_Model_II (2)'!$D$7,'CarRental_I_Model_II (2)'!$D$12:$I$15,'CarRental_I_Model_II (2)'!$D$20:$I$23,'CarRental_I_Model_II (2)'!$D$28:$I$31,'CarRental_I_Model_II (2)'!$D$36:$I$39,'CarRental_I_Model_II (2)'!$D$44:$I$47,'CarRental_I_Model_II (2)'!$D$52:$I$55,'CarRental_I_Model_II (2)'!$M$52:$R$55,'CarRental_I_Model_II (2)'!$D$58:$I$61,'CarRental_I_Model_II (2)'!$M$58:$R$61,'CarRental_I_Model_II (2)'!$D$67:$I$70,'CarRental_I_Model_II (2)'!$M$67:$R$70,'CarRental_I_Model_II (2)'!$D$73:$I$76,'CarRental_I_Model_II (2)'!$M$73:$R$76,'CarRental_I_Model_II (2)'!$D$82:$I$85,'CarRental_I_Model_II (2)'!$D$89,'CarRental_I_Model_II (2)'!$I$89,'CarRental_I_Model_II (2)'!$N$89,'CarRental_I_Model_II (2)'!$D$93,'CarRental_I_Model_II (2)'!$I$93</definedName>
    <definedName name="solver_adj" localSheetId="3" hidden="1">CarRental_II_Model!$D$7,CarRental_II_Model!$D$12:$I$15,CarRental_II_Model!$D$20:$I$23,CarRental_II_Model!$D$28:$I$31,CarRental_II_Model!$D$36:$I$39,CarRental_II_Model!$D$44:$I$47,CarRental_II_Model!$D$52:$I$55,CarRental_II_Model!$M$52:$R$55,CarRental_II_Model!$D$58:$I$61,CarRental_II_Model!$M$58:$R$61,CarRental_II_Model!$D$67:$I$70,CarRental_II_Model!$M$67:$R$70,CarRental_II_Model!$D$73:$I$76,CarRental_II_Model!$M$73:$R$76,CarRental_II_Model!$D$82:$I$85,CarRental_II_Model!$E$89,CarRental_II_Model!$J$89,CarRental_II_Model!$O$89,CarRental_II_Model!$E$93,CarRental_II_Model!$J$93</definedName>
    <definedName name="solver_cvg" localSheetId="2" hidden="1">0.0001</definedName>
    <definedName name="solver_cvg" localSheetId="0" hidden="1">0.0001</definedName>
    <definedName name="solver_cvg" localSheetId="3" hidden="1">0.0001</definedName>
    <definedName name="solver_drv" localSheetId="2" hidden="1">2</definedName>
    <definedName name="solver_drv" localSheetId="0" hidden="1">2</definedName>
    <definedName name="solver_drv" localSheetId="3" hidden="1">2</definedName>
    <definedName name="solver_eng" localSheetId="2" hidden="1">2</definedName>
    <definedName name="solver_eng" localSheetId="0" hidden="1">2</definedName>
    <definedName name="solver_eng" localSheetId="3" hidden="1">2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3" hidden="1">1</definedName>
    <definedName name="solver_itr" localSheetId="2" hidden="1">2147483647</definedName>
    <definedName name="solver_itr" localSheetId="0" hidden="1">2147483647</definedName>
    <definedName name="solver_itr" localSheetId="3" hidden="1">2147483647</definedName>
    <definedName name="solver_lhs0" localSheetId="2" hidden="1">CarRental_I_Model!$W$77</definedName>
    <definedName name="solver_lhs0" localSheetId="0" hidden="1">'CarRental_I_Model_II (2)'!$W$77</definedName>
    <definedName name="solver_lhs0" localSheetId="3" hidden="1">CarRental_II_Model!$W$60</definedName>
    <definedName name="solver_lhs1" localSheetId="2" hidden="1">CarRental_I_Model!$AA$18:$AA$23</definedName>
    <definedName name="solver_lhs1" localSheetId="0" hidden="1">'CarRental_I_Model_II (2)'!$AA$18:$AA$23</definedName>
    <definedName name="solver_lhs1" localSheetId="3" hidden="1">CarRental_II_Model!$W$54</definedName>
    <definedName name="solver_lhs10" localSheetId="2" hidden="1">CarRental_I_Model!$AI$30:$AI$35</definedName>
    <definedName name="solver_lhs10" localSheetId="0" hidden="1">'CarRental_I_Model_II (2)'!$AI$30:$AI$35</definedName>
    <definedName name="solver_lhs10" localSheetId="3" hidden="1">CarRental_II_Model!$E$93</definedName>
    <definedName name="solver_lhs11" localSheetId="2" hidden="1">CarRental_I_Model!$AI$42:$AI$47</definedName>
    <definedName name="solver_lhs11" localSheetId="0" hidden="1">'CarRental_I_Model_II (2)'!$AI$42:$AI$47</definedName>
    <definedName name="solver_lhs11" localSheetId="3" hidden="1">CarRental_II_Model!$E$93</definedName>
    <definedName name="solver_lhs12" localSheetId="2" hidden="1">CarRental_I_Model!$AI$6:$AI$11</definedName>
    <definedName name="solver_lhs12" localSheetId="0" hidden="1">'CarRental_I_Model_II (2)'!$AI$6:$AI$11</definedName>
    <definedName name="solver_lhs12" localSheetId="3" hidden="1">CarRental_II_Model!$E$89</definedName>
    <definedName name="solver_lhs13" localSheetId="2" hidden="1">CarRental_I_Model!$D$28:$I$28</definedName>
    <definedName name="solver_lhs13" localSheetId="0" hidden="1">'CarRental_I_Model_II (2)'!$D$28:$I$28</definedName>
    <definedName name="solver_lhs13" localSheetId="3" hidden="1">CarRental_II_Model!$E$89</definedName>
    <definedName name="solver_lhs14" localSheetId="2" hidden="1">CarRental_I_Model!$D$29:$I$29</definedName>
    <definedName name="solver_lhs14" localSheetId="0" hidden="1">'CarRental_I_Model_II (2)'!$D$29:$I$29</definedName>
    <definedName name="solver_lhs14" localSheetId="3" hidden="1">CarRental_II_Model!$D$85:$I$85</definedName>
    <definedName name="solver_lhs15" localSheetId="2" hidden="1">CarRental_I_Model!$D$30:$I$30</definedName>
    <definedName name="solver_lhs15" localSheetId="0" hidden="1">'CarRental_I_Model_II (2)'!$D$30:$I$30</definedName>
    <definedName name="solver_lhs15" localSheetId="3" hidden="1">CarRental_II_Model!$D$84:$I$84</definedName>
    <definedName name="solver_lhs16" localSheetId="2" hidden="1">CarRental_I_Model!$D$31:$I$31</definedName>
    <definedName name="solver_lhs16" localSheetId="0" hidden="1">'CarRental_I_Model_II (2)'!$D$31:$I$31</definedName>
    <definedName name="solver_lhs16" localSheetId="3" hidden="1">CarRental_II_Model!$D$83:$I$83</definedName>
    <definedName name="solver_lhs17" localSheetId="2" hidden="1">CarRental_I_Model!$D$82:$I$82</definedName>
    <definedName name="solver_lhs17" localSheetId="0" hidden="1">'CarRental_I_Model_II (2)'!$D$82:$I$82</definedName>
    <definedName name="solver_lhs17" localSheetId="3" hidden="1">CarRental_II_Model!$D$82:$I$82</definedName>
    <definedName name="solver_lhs18" localSheetId="2" hidden="1">CarRental_I_Model!$D$83:$I$83</definedName>
    <definedName name="solver_lhs18" localSheetId="0" hidden="1">'CarRental_I_Model_II (2)'!$D$83:$I$83</definedName>
    <definedName name="solver_lhs18" localSheetId="3" hidden="1">CarRental_II_Model!$D$31:$I$31</definedName>
    <definedName name="solver_lhs19" localSheetId="2" hidden="1">CarRental_I_Model!$D$84:$I$84</definedName>
    <definedName name="solver_lhs19" localSheetId="0" hidden="1">'CarRental_I_Model_II (2)'!$D$84:$I$84</definedName>
    <definedName name="solver_lhs19" localSheetId="3" hidden="1">CarRental_II_Model!$D$30:$I$30</definedName>
    <definedName name="solver_lhs2" localSheetId="2" hidden="1">CarRental_I_Model!$AA$30:$AA$35</definedName>
    <definedName name="solver_lhs2" localSheetId="0" hidden="1">'CarRental_I_Model_II (2)'!$AA$30:$AA$35</definedName>
    <definedName name="solver_lhs2" localSheetId="3" hidden="1">CarRental_II_Model!$W$18:$W$23</definedName>
    <definedName name="solver_lhs20" localSheetId="2" hidden="1">CarRental_I_Model!$D$85:$I$85</definedName>
    <definedName name="solver_lhs20" localSheetId="0" hidden="1">'CarRental_I_Model_II (2)'!$D$85:$I$85</definedName>
    <definedName name="solver_lhs20" localSheetId="3" hidden="1">CarRental_II_Model!$D$29:$I$29</definedName>
    <definedName name="solver_lhs21" localSheetId="2" hidden="1">CarRental_I_Model!$W$18:$W$23</definedName>
    <definedName name="solver_lhs21" localSheetId="0" hidden="1">'CarRental_I_Model_II (2)'!$W$18:$W$23</definedName>
    <definedName name="solver_lhs21" localSheetId="3" hidden="1">CarRental_II_Model!$D$28:$I$28</definedName>
    <definedName name="solver_lhs22" localSheetId="2" hidden="1">CarRental_I_Model!$W$30:$W$35</definedName>
    <definedName name="solver_lhs22" localSheetId="0" hidden="1">'CarRental_I_Model_II (2)'!$W$30:$W$35</definedName>
    <definedName name="solver_lhs22" localSheetId="3" hidden="1">CarRental_II_Model!$AI$6:$AI$11</definedName>
    <definedName name="solver_lhs23" localSheetId="2" hidden="1">CarRental_I_Model!$W$42:$W$47</definedName>
    <definedName name="solver_lhs23" localSheetId="0" hidden="1">'CarRental_I_Model_II (2)'!$W$42:$W$47</definedName>
    <definedName name="solver_lhs23" localSheetId="3" hidden="1">CarRental_II_Model!$AI$42:$AI$47</definedName>
    <definedName name="solver_lhs24" localSheetId="2" hidden="1">CarRental_I_Model!$W$6:$W$11</definedName>
    <definedName name="solver_lhs24" localSheetId="0" hidden="1">'CarRental_I_Model_II (2)'!$W$6:$W$11</definedName>
    <definedName name="solver_lhs24" localSheetId="3" hidden="1">CarRental_II_Model!$AI$30:$AI$35</definedName>
    <definedName name="solver_lhs25" localSheetId="2" hidden="1">CarRental_I_Model!$W$77</definedName>
    <definedName name="solver_lhs25" localSheetId="0" hidden="1">'CarRental_I_Model_II (2)'!$W$77</definedName>
    <definedName name="solver_lhs25" localSheetId="3" hidden="1">CarRental_II_Model!$AI$18:$AI$23</definedName>
    <definedName name="solver_lhs26" localSheetId="0" hidden="1">'CarRental_I_Model_II (2)'!$W$83</definedName>
    <definedName name="solver_lhs26" localSheetId="3" hidden="1">CarRental_II_Model!$AE$6:$AE$11</definedName>
    <definedName name="solver_lhs27" localSheetId="0" hidden="1">'CarRental_I_Model_II (2)'!$D$93</definedName>
    <definedName name="solver_lhs27" localSheetId="3" hidden="1">CarRental_II_Model!$AE$42:$AE$47</definedName>
    <definedName name="solver_lhs28" localSheetId="0" hidden="1">'CarRental_I_Model_II (2)'!$D$93</definedName>
    <definedName name="solver_lhs28" localSheetId="3" hidden="1">CarRental_II_Model!$AE$30:$AE$35</definedName>
    <definedName name="solver_lhs29" localSheetId="0" hidden="1">'CarRental_I_Model_II (2)'!$I$93</definedName>
    <definedName name="solver_lhs29" localSheetId="3" hidden="1">CarRental_II_Model!$AE$18:$AE$23</definedName>
    <definedName name="solver_lhs3" localSheetId="2" hidden="1">CarRental_I_Model!$AA$42:$AA$47</definedName>
    <definedName name="solver_lhs3" localSheetId="0" hidden="1">'CarRental_I_Model_II (2)'!$AA$42:$AA$47</definedName>
    <definedName name="solver_lhs3" localSheetId="3" hidden="1">CarRental_II_Model!$W$42:$W$47</definedName>
    <definedName name="solver_lhs30" localSheetId="0" hidden="1">'CarRental_I_Model_II (2)'!$D$89</definedName>
    <definedName name="solver_lhs30" localSheetId="3" hidden="1">CarRental_II_Model!$AA$6:$AA$11</definedName>
    <definedName name="solver_lhs31" localSheetId="0" hidden="1">'CarRental_I_Model_II (2)'!$D$89</definedName>
    <definedName name="solver_lhs31" localSheetId="3" hidden="1">CarRental_II_Model!$AA$30:$AA$35</definedName>
    <definedName name="solver_lhs32" localSheetId="0" hidden="1">'CarRental_I_Model_II (2)'!$I$89</definedName>
    <definedName name="solver_lhs32" localSheetId="3" hidden="1">CarRental_II_Model!$AA$18:$AA$23</definedName>
    <definedName name="solver_lhs33" localSheetId="0" hidden="1">'CarRental_I_Model_II (2)'!$N$89</definedName>
    <definedName name="solver_lhs33" localSheetId="3" hidden="1">CarRental_II_Model!$AA$42:$AA$47</definedName>
    <definedName name="solver_lhs4" localSheetId="2" hidden="1">CarRental_I_Model!$AA$6:$AA$11</definedName>
    <definedName name="solver_lhs4" localSheetId="0" hidden="1">'CarRental_I_Model_II (2)'!$AA$6:$AA$11</definedName>
    <definedName name="solver_lhs4" localSheetId="3" hidden="1">CarRental_II_Model!$W$30:$W$35</definedName>
    <definedName name="solver_lhs5" localSheetId="2" hidden="1">CarRental_I_Model!$AE$18:$AE$23</definedName>
    <definedName name="solver_lhs5" localSheetId="0" hidden="1">'CarRental_I_Model_II (2)'!$AE$18:$AE$23</definedName>
    <definedName name="solver_lhs5" localSheetId="3" hidden="1">CarRental_II_Model!$W$6:$W$11</definedName>
    <definedName name="solver_lhs6" localSheetId="2" hidden="1">CarRental_I_Model!$AE$30:$AE$35</definedName>
    <definedName name="solver_lhs6" localSheetId="0" hidden="1">'CarRental_I_Model_II (2)'!$AE$30:$AE$35</definedName>
    <definedName name="solver_lhs6" localSheetId="3" hidden="1">CarRental_II_Model!$W$60</definedName>
    <definedName name="solver_lhs7" localSheetId="2" hidden="1">CarRental_I_Model!$AE$42:$AE$47</definedName>
    <definedName name="solver_lhs7" localSheetId="0" hidden="1">'CarRental_I_Model_II (2)'!$AE$42:$AE$47</definedName>
    <definedName name="solver_lhs7" localSheetId="3" hidden="1">CarRental_II_Model!$O$89</definedName>
    <definedName name="solver_lhs8" localSheetId="2" hidden="1">CarRental_I_Model!$AE$6:$AE$11</definedName>
    <definedName name="solver_lhs8" localSheetId="0" hidden="1">'CarRental_I_Model_II (2)'!$AE$6:$AE$11</definedName>
    <definedName name="solver_lhs8" localSheetId="3" hidden="1">CarRental_II_Model!$J$93</definedName>
    <definedName name="solver_lhs9" localSheetId="2" hidden="1">CarRental_I_Model!$AI$18:$AI$23</definedName>
    <definedName name="solver_lhs9" localSheetId="0" hidden="1">'CarRental_I_Model_II (2)'!$AI$18:$AI$23</definedName>
    <definedName name="solver_lhs9" localSheetId="3" hidden="1">CarRental_II_Model!$J$89</definedName>
    <definedName name="solver_mip" localSheetId="2" hidden="1">2147483647</definedName>
    <definedName name="solver_mip" localSheetId="0" hidden="1">2147483647</definedName>
    <definedName name="solver_mip" localSheetId="3" hidden="1">2147483647</definedName>
    <definedName name="solver_mni" localSheetId="2" hidden="1">30</definedName>
    <definedName name="solver_mni" localSheetId="0" hidden="1">30</definedName>
    <definedName name="solver_mni" localSheetId="3" hidden="1">30</definedName>
    <definedName name="solver_mrt" localSheetId="2" hidden="1">0.075</definedName>
    <definedName name="solver_mrt" localSheetId="0" hidden="1">0.075</definedName>
    <definedName name="solver_mrt" localSheetId="3" hidden="1">0.075</definedName>
    <definedName name="solver_msl" localSheetId="2" hidden="1">2</definedName>
    <definedName name="solver_msl" localSheetId="0" hidden="1">2</definedName>
    <definedName name="solver_msl" localSheetId="3" hidden="1">2</definedName>
    <definedName name="solver_neg" localSheetId="2" hidden="1">1</definedName>
    <definedName name="solver_neg" localSheetId="0" hidden="1">1</definedName>
    <definedName name="solver_neg" localSheetId="3" hidden="1">1</definedName>
    <definedName name="solver_neg" localSheetId="1" hidden="1">1</definedName>
    <definedName name="solver_nod" localSheetId="2" hidden="1">2147483647</definedName>
    <definedName name="solver_nod" localSheetId="0" hidden="1">2147483647</definedName>
    <definedName name="solver_nod" localSheetId="3" hidden="1">2147483647</definedName>
    <definedName name="solver_num" localSheetId="2" hidden="1">25</definedName>
    <definedName name="solver_num" localSheetId="0" hidden="1">33</definedName>
    <definedName name="solver_num" localSheetId="3" hidden="1">33</definedName>
    <definedName name="solver_num" localSheetId="1" hidden="1">0</definedName>
    <definedName name="solver_nwt" localSheetId="2" hidden="1">1</definedName>
    <definedName name="solver_nwt" localSheetId="0" hidden="1">1</definedName>
    <definedName name="solver_nwt" localSheetId="3" hidden="1">1</definedName>
    <definedName name="solver_opt" localSheetId="2" hidden="1">CarRental_I_Model!$C$2</definedName>
    <definedName name="solver_opt" localSheetId="0" hidden="1">'CarRental_I_Model_II (2)'!$C$2</definedName>
    <definedName name="solver_opt" localSheetId="3" hidden="1">CarRental_II_Model!$C$2</definedName>
    <definedName name="solver_opt" localSheetId="1" hidden="1">Data!$G$30</definedName>
    <definedName name="solver_pre" localSheetId="2" hidden="1">0.000001</definedName>
    <definedName name="solver_pre" localSheetId="0" hidden="1">0.000001</definedName>
    <definedName name="solver_pre" localSheetId="3" hidden="1">0.000001</definedName>
    <definedName name="solver_rbv" localSheetId="2" hidden="1">2</definedName>
    <definedName name="solver_rbv" localSheetId="0" hidden="1">2</definedName>
    <definedName name="solver_rbv" localSheetId="3" hidden="1">2</definedName>
    <definedName name="solver_rel0" localSheetId="2" hidden="1">2</definedName>
    <definedName name="solver_rel0" localSheetId="0" hidden="1">2</definedName>
    <definedName name="solver_rel0" localSheetId="3" hidden="1">2</definedName>
    <definedName name="solver_rel1" localSheetId="2" hidden="1">2</definedName>
    <definedName name="solver_rel1" localSheetId="0" hidden="1">2</definedName>
    <definedName name="solver_rel1" localSheetId="3" hidden="1">2</definedName>
    <definedName name="solver_rel10" localSheetId="2" hidden="1">2</definedName>
    <definedName name="solver_rel10" localSheetId="0" hidden="1">2</definedName>
    <definedName name="solver_rel10" localSheetId="3" hidden="1">3</definedName>
    <definedName name="solver_rel11" localSheetId="2" hidden="1">2</definedName>
    <definedName name="solver_rel11" localSheetId="0" hidden="1">2</definedName>
    <definedName name="solver_rel11" localSheetId="3" hidden="1">5</definedName>
    <definedName name="solver_rel12" localSheetId="2" hidden="1">2</definedName>
    <definedName name="solver_rel12" localSheetId="0" hidden="1">2</definedName>
    <definedName name="solver_rel12" localSheetId="3" hidden="1">3</definedName>
    <definedName name="solver_rel13" localSheetId="2" hidden="1">1</definedName>
    <definedName name="solver_rel13" localSheetId="0" hidden="1">1</definedName>
    <definedName name="solver_rel13" localSheetId="3" hidden="1">5</definedName>
    <definedName name="solver_rel14" localSheetId="2" hidden="1">1</definedName>
    <definedName name="solver_rel14" localSheetId="0" hidden="1">1</definedName>
    <definedName name="solver_rel14" localSheetId="3" hidden="1">1</definedName>
    <definedName name="solver_rel15" localSheetId="2" hidden="1">1</definedName>
    <definedName name="solver_rel15" localSheetId="0" hidden="1">1</definedName>
    <definedName name="solver_rel15" localSheetId="3" hidden="1">1</definedName>
    <definedName name="solver_rel16" localSheetId="2" hidden="1">1</definedName>
    <definedName name="solver_rel16" localSheetId="0" hidden="1">1</definedName>
    <definedName name="solver_rel16" localSheetId="3" hidden="1">1</definedName>
    <definedName name="solver_rel17" localSheetId="2" hidden="1">1</definedName>
    <definedName name="solver_rel17" localSheetId="0" hidden="1">1</definedName>
    <definedName name="solver_rel17" localSheetId="3" hidden="1">1</definedName>
    <definedName name="solver_rel18" localSheetId="2" hidden="1">1</definedName>
    <definedName name="solver_rel18" localSheetId="0" hidden="1">1</definedName>
    <definedName name="solver_rel18" localSheetId="3" hidden="1">1</definedName>
    <definedName name="solver_rel19" localSheetId="2" hidden="1">1</definedName>
    <definedName name="solver_rel19" localSheetId="0" hidden="1">1</definedName>
    <definedName name="solver_rel19" localSheetId="3" hidden="1">1</definedName>
    <definedName name="solver_rel2" localSheetId="2" hidden="1">2</definedName>
    <definedName name="solver_rel2" localSheetId="0" hidden="1">2</definedName>
    <definedName name="solver_rel2" localSheetId="3" hidden="1">2</definedName>
    <definedName name="solver_rel20" localSheetId="2" hidden="1">1</definedName>
    <definedName name="solver_rel20" localSheetId="0" hidden="1">1</definedName>
    <definedName name="solver_rel20" localSheetId="3" hidden="1">1</definedName>
    <definedName name="solver_rel21" localSheetId="2" hidden="1">2</definedName>
    <definedName name="solver_rel21" localSheetId="0" hidden="1">2</definedName>
    <definedName name="solver_rel21" localSheetId="3" hidden="1">1</definedName>
    <definedName name="solver_rel22" localSheetId="2" hidden="1">2</definedName>
    <definedName name="solver_rel22" localSheetId="0" hidden="1">2</definedName>
    <definedName name="solver_rel22" localSheetId="3" hidden="1">2</definedName>
    <definedName name="solver_rel23" localSheetId="2" hidden="1">2</definedName>
    <definedName name="solver_rel23" localSheetId="0" hidden="1">2</definedName>
    <definedName name="solver_rel23" localSheetId="3" hidden="1">2</definedName>
    <definedName name="solver_rel24" localSheetId="2" hidden="1">2</definedName>
    <definedName name="solver_rel24" localSheetId="0" hidden="1">2</definedName>
    <definedName name="solver_rel24" localSheetId="3" hidden="1">2</definedName>
    <definedName name="solver_rel25" localSheetId="2" hidden="1">2</definedName>
    <definedName name="solver_rel25" localSheetId="0" hidden="1">2</definedName>
    <definedName name="solver_rel25" localSheetId="3" hidden="1">2</definedName>
    <definedName name="solver_rel26" localSheetId="0" hidden="1">1</definedName>
    <definedName name="solver_rel26" localSheetId="3" hidden="1">2</definedName>
    <definedName name="solver_rel27" localSheetId="0" hidden="1">5</definedName>
    <definedName name="solver_rel27" localSheetId="3" hidden="1">2</definedName>
    <definedName name="solver_rel28" localSheetId="0" hidden="1">3</definedName>
    <definedName name="solver_rel28" localSheetId="3" hidden="1">2</definedName>
    <definedName name="solver_rel29" localSheetId="0" hidden="1">5</definedName>
    <definedName name="solver_rel29" localSheetId="3" hidden="1">2</definedName>
    <definedName name="solver_rel3" localSheetId="2" hidden="1">2</definedName>
    <definedName name="solver_rel3" localSheetId="0" hidden="1">2</definedName>
    <definedName name="solver_rel3" localSheetId="3" hidden="1">2</definedName>
    <definedName name="solver_rel30" localSheetId="0" hidden="1">5</definedName>
    <definedName name="solver_rel30" localSheetId="3" hidden="1">2</definedName>
    <definedName name="solver_rel31" localSheetId="0" hidden="1">3</definedName>
    <definedName name="solver_rel31" localSheetId="3" hidden="1">2</definedName>
    <definedName name="solver_rel32" localSheetId="0" hidden="1">5</definedName>
    <definedName name="solver_rel32" localSheetId="3" hidden="1">2</definedName>
    <definedName name="solver_rel33" localSheetId="0" hidden="1">5</definedName>
    <definedName name="solver_rel33" localSheetId="3" hidden="1">2</definedName>
    <definedName name="solver_rel4" localSheetId="2" hidden="1">2</definedName>
    <definedName name="solver_rel4" localSheetId="0" hidden="1">2</definedName>
    <definedName name="solver_rel4" localSheetId="3" hidden="1">2</definedName>
    <definedName name="solver_rel5" localSheetId="2" hidden="1">2</definedName>
    <definedName name="solver_rel5" localSheetId="0" hidden="1">2</definedName>
    <definedName name="solver_rel5" localSheetId="3" hidden="1">2</definedName>
    <definedName name="solver_rel6" localSheetId="2" hidden="1">2</definedName>
    <definedName name="solver_rel6" localSheetId="0" hidden="1">2</definedName>
    <definedName name="solver_rel6" localSheetId="3" hidden="1">1</definedName>
    <definedName name="solver_rel7" localSheetId="2" hidden="1">2</definedName>
    <definedName name="solver_rel7" localSheetId="0" hidden="1">2</definedName>
    <definedName name="solver_rel7" localSheetId="3" hidden="1">5</definedName>
    <definedName name="solver_rel8" localSheetId="2" hidden="1">2</definedName>
    <definedName name="solver_rel8" localSheetId="0" hidden="1">2</definedName>
    <definedName name="solver_rel8" localSheetId="3" hidden="1">5</definedName>
    <definedName name="solver_rel9" localSheetId="2" hidden="1">2</definedName>
    <definedName name="solver_rel9" localSheetId="0" hidden="1">2</definedName>
    <definedName name="solver_rel9" localSheetId="3" hidden="1">5</definedName>
    <definedName name="solver_rhs0" localSheetId="2" hidden="1">CarRental_I_Model!$Y$77</definedName>
    <definedName name="solver_rhs0" localSheetId="0" hidden="1">'CarRental_I_Model_II (2)'!$Y$77</definedName>
    <definedName name="solver_rhs0" localSheetId="3" hidden="1">CarRental_II_Model!$Y$60</definedName>
    <definedName name="solver_rhs1" localSheetId="2" hidden="1">CarRental_I_Model!$AC$18:$AC$23</definedName>
    <definedName name="solver_rhs1" localSheetId="0" hidden="1">'CarRental_I_Model_II (2)'!$AC$18:$AC$23</definedName>
    <definedName name="solver_rhs1" localSheetId="3" hidden="1">CarRental_II_Model!$Y$54</definedName>
    <definedName name="solver_rhs10" localSheetId="2" hidden="1">CarRental_I_Model!$AK$30:$AK$35</definedName>
    <definedName name="solver_rhs10" localSheetId="0" hidden="1">'CarRental_I_Model_II (2)'!$AK$30:$AK$35</definedName>
    <definedName name="solver_rhs10" localSheetId="3" hidden="1">CarRental_II_Model!$J$93</definedName>
    <definedName name="solver_rhs11" localSheetId="2" hidden="1">CarRental_I_Model!$AK$42:$AK$47</definedName>
    <definedName name="solver_rhs11" localSheetId="0" hidden="1">'CarRental_I_Model_II (2)'!$AK$42:$AK$47</definedName>
    <definedName name="solver_rhs11" localSheetId="3" hidden="1">"binary"</definedName>
    <definedName name="solver_rhs12" localSheetId="2" hidden="1">CarRental_I_Model!$AK$6:$AK$11</definedName>
    <definedName name="solver_rhs12" localSheetId="0" hidden="1">'CarRental_I_Model_II (2)'!$AK$6:$AK$11</definedName>
    <definedName name="solver_rhs12" localSheetId="3" hidden="1">CarRental_II_Model!$J$89</definedName>
    <definedName name="solver_rhs13" localSheetId="2" hidden="1">CarRental_I_Model!$BK$9:$BK$14</definedName>
    <definedName name="solver_rhs13" localSheetId="0" hidden="1">'CarRental_I_Model_II (2)'!$BK$9:$BK$14</definedName>
    <definedName name="solver_rhs13" localSheetId="3" hidden="1">"binary"</definedName>
    <definedName name="solver_rhs14" localSheetId="2" hidden="1">CarRental_I_Model!$BL$9:$BL$14</definedName>
    <definedName name="solver_rhs14" localSheetId="0" hidden="1">'CarRental_I_Model_II (2)'!$BL$9:$BL$14</definedName>
    <definedName name="solver_rhs14" localSheetId="3" hidden="1">5*CarRental_II_Model!$O$89</definedName>
    <definedName name="solver_rhs15" localSheetId="2" hidden="1">CarRental_I_Model!$BM$9:$BM$14</definedName>
    <definedName name="solver_rhs15" localSheetId="0" hidden="1">'CarRental_I_Model_II (2)'!$BM$9:$BM$14</definedName>
    <definedName name="solver_rhs15" localSheetId="3" hidden="1">CarRental_II_Model!$BM$4+5*CarRental_II_Model!$E$93+5*CarRental_II_Model!$J$93</definedName>
    <definedName name="solver_rhs16" localSheetId="2" hidden="1">CarRental_I_Model!$BN$9:$BN$14</definedName>
    <definedName name="solver_rhs16" localSheetId="0" hidden="1">'CarRental_I_Model_II (2)'!$BN$9:$BN$14</definedName>
    <definedName name="solver_rhs16" localSheetId="3" hidden="1">CarRental_II_Model!$BL$4+5*CarRental_II_Model!$E$89+5*CarRental_II_Model!$J$89</definedName>
    <definedName name="solver_rhs17" localSheetId="2" hidden="1">CarRental_I_Model!$BK$4</definedName>
    <definedName name="solver_rhs17" localSheetId="0" hidden="1">'CarRental_I_Model_II (2)'!$BK$4</definedName>
    <definedName name="solver_rhs17" localSheetId="3" hidden="1">CarRental_II_Model!$BK$4</definedName>
    <definedName name="solver_rhs18" localSheetId="2" hidden="1">CarRental_I_Model!$BL$4</definedName>
    <definedName name="solver_rhs18" localSheetId="0" hidden="1">'CarRental_I_Model_II (2)'!$BL$4+5*'CarRental_I_Model_II (2)'!$D$89+5*'CarRental_I_Model_II (2)'!$I$89</definedName>
    <definedName name="solver_rhs18" localSheetId="3" hidden="1">CarRental_II_Model!$BN$9:$BN$14</definedName>
    <definedName name="solver_rhs19" localSheetId="2" hidden="1">CarRental_I_Model!$BM$4</definedName>
    <definedName name="solver_rhs19" localSheetId="0" hidden="1">'CarRental_I_Model_II (2)'!$BM$4+5*'CarRental_I_Model_II (2)'!$D$93+5*'CarRental_I_Model_II (2)'!$I$93</definedName>
    <definedName name="solver_rhs19" localSheetId="3" hidden="1">CarRental_II_Model!$BM$9:$BM$14</definedName>
    <definedName name="solver_rhs2" localSheetId="2" hidden="1">CarRental_I_Model!$AC$30:$AC$35</definedName>
    <definedName name="solver_rhs2" localSheetId="0" hidden="1">'CarRental_I_Model_II (2)'!$AC$30:$AC$35</definedName>
    <definedName name="solver_rhs2" localSheetId="3" hidden="1">CarRental_II_Model!$Y$18:$Y$23</definedName>
    <definedName name="solver_rhs20" localSheetId="2" hidden="1">CarRental_I_Model!$BN$4</definedName>
    <definedName name="solver_rhs20" localSheetId="0" hidden="1">'CarRental_I_Model_II (2)'!$BN$4+5*'CarRental_I_Model_II (2)'!$N$89</definedName>
    <definedName name="solver_rhs20" localSheetId="3" hidden="1">CarRental_II_Model!$BL$9:$BL$14</definedName>
    <definedName name="solver_rhs21" localSheetId="2" hidden="1">CarRental_I_Model!$Y$18:$Y$23</definedName>
    <definedName name="solver_rhs21" localSheetId="0" hidden="1">'CarRental_I_Model_II (2)'!$Y$18:$Y$23</definedName>
    <definedName name="solver_rhs21" localSheetId="3" hidden="1">CarRental_II_Model!$BK$9:$BK$14</definedName>
    <definedName name="solver_rhs22" localSheetId="2" hidden="1">CarRental_I_Model!$Y$30:$Y$35</definedName>
    <definedName name="solver_rhs22" localSheetId="0" hidden="1">'CarRental_I_Model_II (2)'!$Y$30:$Y$35</definedName>
    <definedName name="solver_rhs22" localSheetId="3" hidden="1">CarRental_II_Model!$AK$6:$AK$11</definedName>
    <definedName name="solver_rhs23" localSheetId="2" hidden="1">CarRental_I_Model!$Y$42:$Y$47</definedName>
    <definedName name="solver_rhs23" localSheetId="0" hidden="1">'CarRental_I_Model_II (2)'!$Y$42:$Y$47</definedName>
    <definedName name="solver_rhs23" localSheetId="3" hidden="1">CarRental_II_Model!$AK$42:$AK$47</definedName>
    <definedName name="solver_rhs24" localSheetId="2" hidden="1">CarRental_I_Model!$Y$6:$Y$11</definedName>
    <definedName name="solver_rhs24" localSheetId="0" hidden="1">'CarRental_I_Model_II (2)'!$Y$6:$Y$11</definedName>
    <definedName name="solver_rhs24" localSheetId="3" hidden="1">CarRental_II_Model!$AK$30:$AK$35</definedName>
    <definedName name="solver_rhs25" localSheetId="2" hidden="1">CarRental_I_Model!$Y$77</definedName>
    <definedName name="solver_rhs25" localSheetId="0" hidden="1">'CarRental_I_Model_II (2)'!$Y$77</definedName>
    <definedName name="solver_rhs25" localSheetId="3" hidden="1">CarRental_II_Model!$AK$18:$AK$23</definedName>
    <definedName name="solver_rhs26" localSheetId="0" hidden="1">'CarRental_I_Model_II (2)'!$Y$83</definedName>
    <definedName name="solver_rhs26" localSheetId="3" hidden="1">CarRental_II_Model!$AG$6:$AG$11</definedName>
    <definedName name="solver_rhs27" localSheetId="0" hidden="1">"binary"</definedName>
    <definedName name="solver_rhs27" localSheetId="3" hidden="1">CarRental_II_Model!$AG$42:$AG$47</definedName>
    <definedName name="solver_rhs28" localSheetId="0" hidden="1">'CarRental_I_Model_II (2)'!b_2</definedName>
    <definedName name="solver_rhs28" localSheetId="3" hidden="1">CarRental_II_Model!$AG$30:$AG$35</definedName>
    <definedName name="solver_rhs29" localSheetId="0" hidden="1">"binary"</definedName>
    <definedName name="solver_rhs29" localSheetId="3" hidden="1">CarRental_II_Model!$AG$18:$AG$23</definedName>
    <definedName name="solver_rhs3" localSheetId="2" hidden="1">CarRental_I_Model!$AC$42:$AC$47</definedName>
    <definedName name="solver_rhs3" localSheetId="0" hidden="1">'CarRental_I_Model_II (2)'!$AC$42:$AC$47</definedName>
    <definedName name="solver_rhs3" localSheetId="3" hidden="1">CarRental_II_Model!$Y$42:$Y$47</definedName>
    <definedName name="solver_rhs30" localSheetId="0" hidden="1">"binary"</definedName>
    <definedName name="solver_rhs30" localSheetId="3" hidden="1">CarRental_II_Model!$AC$6:$AC$11</definedName>
    <definedName name="solver_rhs31" localSheetId="0" hidden="1">'CarRental_I_Model_II (2)'!m_2</definedName>
    <definedName name="solver_rhs31" localSheetId="3" hidden="1">CarRental_II_Model!$AC$30:$AC$35</definedName>
    <definedName name="solver_rhs32" localSheetId="0" hidden="1">"binary"</definedName>
    <definedName name="solver_rhs32" localSheetId="3" hidden="1">CarRental_II_Model!$AC$18:$AC$23</definedName>
    <definedName name="solver_rhs33" localSheetId="0" hidden="1">"binary"</definedName>
    <definedName name="solver_rhs33" localSheetId="3" hidden="1">CarRental_II_Model!$AC$42:$AC$47</definedName>
    <definedName name="solver_rhs4" localSheetId="2" hidden="1">CarRental_I_Model!$AC$6:$AC$11</definedName>
    <definedName name="solver_rhs4" localSheetId="0" hidden="1">'CarRental_I_Model_II (2)'!$AC$6:$AC$11</definedName>
    <definedName name="solver_rhs4" localSheetId="3" hidden="1">CarRental_II_Model!$Y$30:$Y$35</definedName>
    <definedName name="solver_rhs5" localSheetId="2" hidden="1">CarRental_I_Model!$AG$18:$AG$23</definedName>
    <definedName name="solver_rhs5" localSheetId="0" hidden="1">'CarRental_I_Model_II (2)'!$AG$18:$AG$23</definedName>
    <definedName name="solver_rhs5" localSheetId="3" hidden="1">CarRental_II_Model!$Y$6:$Y$11</definedName>
    <definedName name="solver_rhs6" localSheetId="2" hidden="1">CarRental_I_Model!$AG$30:$AG$35</definedName>
    <definedName name="solver_rhs6" localSheetId="0" hidden="1">'CarRental_I_Model_II (2)'!$AG$30:$AG$35</definedName>
    <definedName name="solver_rhs6" localSheetId="3" hidden="1">CarRental_II_Model!$Y$60</definedName>
    <definedName name="solver_rhs7" localSheetId="2" hidden="1">CarRental_I_Model!$AG$42:$AG$47</definedName>
    <definedName name="solver_rhs7" localSheetId="0" hidden="1">'CarRental_I_Model_II (2)'!$AG$42:$AG$47</definedName>
    <definedName name="solver_rhs7" localSheetId="3" hidden="1">"binary"</definedName>
    <definedName name="solver_rhs8" localSheetId="2" hidden="1">CarRental_I_Model!$AG$6:$AG$11</definedName>
    <definedName name="solver_rhs8" localSheetId="0" hidden="1">'CarRental_I_Model_II (2)'!$AG$6:$AG$11</definedName>
    <definedName name="solver_rhs8" localSheetId="3" hidden="1">"binary"</definedName>
    <definedName name="solver_rhs9" localSheetId="2" hidden="1">CarRental_I_Model!$AK$18:$AK$23</definedName>
    <definedName name="solver_rhs9" localSheetId="0" hidden="1">'CarRental_I_Model_II (2)'!$AK$18:$AK$23</definedName>
    <definedName name="solver_rhs9" localSheetId="3" hidden="1">"binary"</definedName>
    <definedName name="solver_rlx" localSheetId="2" hidden="1">2</definedName>
    <definedName name="solver_rlx" localSheetId="0" hidden="1">2</definedName>
    <definedName name="solver_rlx" localSheetId="3" hidden="1">2</definedName>
    <definedName name="solver_rsd" localSheetId="2" hidden="1">0</definedName>
    <definedName name="solver_rsd" localSheetId="0" hidden="1">0</definedName>
    <definedName name="solver_rsd" localSheetId="3" hidden="1">0</definedName>
    <definedName name="solver_scl" localSheetId="2" hidden="1">2</definedName>
    <definedName name="solver_scl" localSheetId="0" hidden="1">2</definedName>
    <definedName name="solver_scl" localSheetId="3" hidden="1">2</definedName>
    <definedName name="solver_sho" localSheetId="2" hidden="1">2</definedName>
    <definedName name="solver_sho" localSheetId="0" hidden="1">2</definedName>
    <definedName name="solver_sho" localSheetId="3" hidden="1">2</definedName>
    <definedName name="solver_ssz" localSheetId="2" hidden="1">100</definedName>
    <definedName name="solver_ssz" localSheetId="0" hidden="1">100</definedName>
    <definedName name="solver_ssz" localSheetId="3" hidden="1">100</definedName>
    <definedName name="solver_tim" localSheetId="2" hidden="1">2147483647</definedName>
    <definedName name="solver_tim" localSheetId="0" hidden="1">2147483647</definedName>
    <definedName name="solver_tim" localSheetId="3" hidden="1">2147483647</definedName>
    <definedName name="solver_tol" localSheetId="2" hidden="1">0.01</definedName>
    <definedName name="solver_tol" localSheetId="0" hidden="1">0.01</definedName>
    <definedName name="solver_tol" localSheetId="3" hidden="1">0.01</definedName>
    <definedName name="solver_typ" localSheetId="2" hidden="1">1</definedName>
    <definedName name="solver_typ" localSheetId="0" hidden="1">1</definedName>
    <definedName name="solver_typ" localSheetId="3" hidden="1">1</definedName>
    <definedName name="solver_typ" localSheetId="1" hidden="1">1</definedName>
    <definedName name="solver_val" localSheetId="2" hidden="1">0</definedName>
    <definedName name="solver_val" localSheetId="0" hidden="1">0</definedName>
    <definedName name="solver_val" localSheetId="3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3" hidden="1">3</definedName>
    <definedName name="solver_ver" localSheetId="1" hidden="1">3</definedName>
    <definedName name="Undamaged_CarsPerC">Data!$H$38</definedName>
    <definedName name="variable_i" localSheetId="0">'CarRental_I_Model_II (2)'!$AN$2:$AN$6</definedName>
    <definedName name="variable_i" localSheetId="3">CarRental_II_Model!$AN$2:$AN$6</definedName>
    <definedName name="variable_i">CarRental_I_Model!$AN$2:$AN$6</definedName>
    <definedName name="variable_j" localSheetId="0">'CarRental_I_Model_II (2)'!$AO$2:$AO$6</definedName>
    <definedName name="variable_j" localSheetId="3">CarRental_II_Model!$AO$2:$AO$6</definedName>
    <definedName name="variable_j">CarRental_I_Model!$AO$2:$AO$6</definedName>
    <definedName name="variable_k" localSheetId="0">'CarRental_I_Model_II (2)'!$AR$2:$AR$5</definedName>
    <definedName name="variable_k" localSheetId="3">CarRental_II_Model!$AR$2:$AR$5</definedName>
    <definedName name="variable_k">CarRental_I_Model!$AR$2:$AR$5</definedName>
    <definedName name="variable_t" localSheetId="0">'CarRental_I_Model_II (2)'!$AP$2:$AP$8</definedName>
    <definedName name="variable_t" localSheetId="3">CarRental_II_Model!$AP$2:$AP$8</definedName>
    <definedName name="variable_t">CarRental_I_Model!$AP$2:$AP$8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3" l="1"/>
  <c r="W60" i="13"/>
  <c r="Y54" i="13"/>
  <c r="W54" i="13" a="1"/>
  <c r="W54" i="13" s="1"/>
  <c r="AK47" i="13" a="1"/>
  <c r="AK47" i="13" s="1"/>
  <c r="AI47" i="13" a="1"/>
  <c r="AI47" i="13" s="1"/>
  <c r="AG47" i="13" a="1"/>
  <c r="AG47" i="13" s="1"/>
  <c r="AE47" i="13" a="1"/>
  <c r="AE47" i="13" s="1"/>
  <c r="AC47" i="13" a="1"/>
  <c r="AC47" i="13" s="1"/>
  <c r="AA47" i="13" a="1"/>
  <c r="AA47" i="13" s="1"/>
  <c r="Y47" i="13" a="1"/>
  <c r="Y47" i="13" s="1"/>
  <c r="W47" i="13" a="1"/>
  <c r="W47" i="13" s="1"/>
  <c r="AK46" i="13" a="1"/>
  <c r="AK46" i="13" s="1"/>
  <c r="AI46" i="13" a="1"/>
  <c r="AI46" i="13" s="1"/>
  <c r="AG46" i="13" a="1"/>
  <c r="AG46" i="13" s="1"/>
  <c r="AE46" i="13" a="1"/>
  <c r="AE46" i="13" s="1"/>
  <c r="AC46" i="13" a="1"/>
  <c r="AC46" i="13" s="1"/>
  <c r="AA46" i="13" a="1"/>
  <c r="AA46" i="13" s="1"/>
  <c r="Y46" i="13" a="1"/>
  <c r="Y46" i="13" s="1"/>
  <c r="W46" i="13" a="1"/>
  <c r="W46" i="13" s="1"/>
  <c r="AK45" i="13" a="1"/>
  <c r="AK45" i="13" s="1"/>
  <c r="AI45" i="13" a="1"/>
  <c r="AI45" i="13" s="1"/>
  <c r="AG45" i="13" a="1"/>
  <c r="AG45" i="13" s="1"/>
  <c r="AE45" i="13" a="1"/>
  <c r="AE45" i="13" s="1"/>
  <c r="AC45" i="13" a="1"/>
  <c r="AC45" i="13" s="1"/>
  <c r="AA45" i="13" a="1"/>
  <c r="AA45" i="13" s="1"/>
  <c r="Y45" i="13" a="1"/>
  <c r="Y45" i="13" s="1"/>
  <c r="W45" i="13" a="1"/>
  <c r="W45" i="13" s="1"/>
  <c r="AK44" i="13" a="1"/>
  <c r="AK44" i="13" s="1"/>
  <c r="AI44" i="13" a="1"/>
  <c r="AI44" i="13" s="1"/>
  <c r="AG44" i="13" a="1"/>
  <c r="AG44" i="13" s="1"/>
  <c r="AE44" i="13" a="1"/>
  <c r="AE44" i="13" s="1"/>
  <c r="AC44" i="13" a="1"/>
  <c r="AC44" i="13" s="1"/>
  <c r="AA44" i="13" a="1"/>
  <c r="AA44" i="13" s="1"/>
  <c r="Y44" i="13" a="1"/>
  <c r="Y44" i="13" s="1"/>
  <c r="W44" i="13" a="1"/>
  <c r="W44" i="13" s="1"/>
  <c r="AK43" i="13" a="1"/>
  <c r="AK43" i="13" s="1"/>
  <c r="AI43" i="13" a="1"/>
  <c r="AI43" i="13" s="1"/>
  <c r="AG43" i="13" a="1"/>
  <c r="AG43" i="13" s="1"/>
  <c r="AE43" i="13" a="1"/>
  <c r="AE43" i="13" s="1"/>
  <c r="AC43" i="13" a="1"/>
  <c r="AC43" i="13" s="1"/>
  <c r="AA43" i="13" a="1"/>
  <c r="AA43" i="13" s="1"/>
  <c r="Y43" i="13" a="1"/>
  <c r="Y43" i="13" s="1"/>
  <c r="W43" i="13" a="1"/>
  <c r="W43" i="13" s="1"/>
  <c r="AK42" i="13" a="1"/>
  <c r="AK42" i="13" s="1"/>
  <c r="AI42" i="13" a="1"/>
  <c r="AI42" i="13" s="1"/>
  <c r="AG42" i="13" a="1"/>
  <c r="AG42" i="13" s="1"/>
  <c r="AE42" i="13" a="1"/>
  <c r="AE42" i="13" s="1"/>
  <c r="AC42" i="13" a="1"/>
  <c r="AC42" i="13" s="1"/>
  <c r="AA42" i="13" a="1"/>
  <c r="AA42" i="13" s="1"/>
  <c r="Y42" i="13" a="1"/>
  <c r="Y42" i="13" s="1"/>
  <c r="W42" i="13" a="1"/>
  <c r="W42" i="13" s="1"/>
  <c r="AK35" i="13" a="1"/>
  <c r="AK35" i="13" s="1"/>
  <c r="AI35" i="13" a="1"/>
  <c r="AI35" i="13" s="1"/>
  <c r="AG35" i="13" a="1"/>
  <c r="AG35" i="13" s="1"/>
  <c r="AE35" i="13" a="1"/>
  <c r="AE35" i="13" s="1"/>
  <c r="AC35" i="13" a="1"/>
  <c r="AC35" i="13" s="1"/>
  <c r="AA35" i="13" a="1"/>
  <c r="AA35" i="13" s="1"/>
  <c r="Y35" i="13" a="1"/>
  <c r="Y35" i="13" s="1"/>
  <c r="W35" i="13" a="1"/>
  <c r="W35" i="13" s="1"/>
  <c r="AK34" i="13" a="1"/>
  <c r="AK34" i="13" s="1"/>
  <c r="AI34" i="13" a="1"/>
  <c r="AI34" i="13" s="1"/>
  <c r="AG34" i="13" a="1"/>
  <c r="AG34" i="13" s="1"/>
  <c r="AE34" i="13" a="1"/>
  <c r="AE34" i="13" s="1"/>
  <c r="AC34" i="13" a="1"/>
  <c r="AC34" i="13" s="1"/>
  <c r="AA34" i="13" a="1"/>
  <c r="AA34" i="13" s="1"/>
  <c r="Y34" i="13" a="1"/>
  <c r="Y34" i="13" s="1"/>
  <c r="W34" i="13" a="1"/>
  <c r="W34" i="13" s="1"/>
  <c r="AK33" i="13" a="1"/>
  <c r="AK33" i="13" s="1"/>
  <c r="AI33" i="13" a="1"/>
  <c r="AI33" i="13" s="1"/>
  <c r="AG33" i="13" a="1"/>
  <c r="AG33" i="13" s="1"/>
  <c r="AE33" i="13" a="1"/>
  <c r="AE33" i="13" s="1"/>
  <c r="AC33" i="13" a="1"/>
  <c r="AC33" i="13" s="1"/>
  <c r="AA33" i="13" a="1"/>
  <c r="AA33" i="13" s="1"/>
  <c r="Y33" i="13" a="1"/>
  <c r="Y33" i="13" s="1"/>
  <c r="W33" i="13" a="1"/>
  <c r="W33" i="13" s="1"/>
  <c r="AK32" i="13" a="1"/>
  <c r="AK32" i="13" s="1"/>
  <c r="AI32" i="13" a="1"/>
  <c r="AI32" i="13" s="1"/>
  <c r="AG32" i="13" a="1"/>
  <c r="AG32" i="13" s="1"/>
  <c r="AE32" i="13" a="1"/>
  <c r="AE32" i="13" s="1"/>
  <c r="AC32" i="13" a="1"/>
  <c r="AC32" i="13" s="1"/>
  <c r="AA32" i="13" a="1"/>
  <c r="AA32" i="13" s="1"/>
  <c r="Y32" i="13" a="1"/>
  <c r="Y32" i="13" s="1"/>
  <c r="W32" i="13" a="1"/>
  <c r="W32" i="13" s="1"/>
  <c r="AK31" i="13" a="1"/>
  <c r="AK31" i="13" s="1"/>
  <c r="AI31" i="13" a="1"/>
  <c r="AI31" i="13" s="1"/>
  <c r="AG31" i="13" a="1"/>
  <c r="AG31" i="13" s="1"/>
  <c r="AE31" i="13" a="1"/>
  <c r="AE31" i="13" s="1"/>
  <c r="AC31" i="13" a="1"/>
  <c r="AC31" i="13" s="1"/>
  <c r="AA31" i="13" a="1"/>
  <c r="AA31" i="13" s="1"/>
  <c r="Y31" i="13" a="1"/>
  <c r="Y31" i="13" s="1"/>
  <c r="W31" i="13" a="1"/>
  <c r="W31" i="13" s="1"/>
  <c r="AK30" i="13" a="1"/>
  <c r="AK30" i="13" s="1"/>
  <c r="AI30" i="13" a="1"/>
  <c r="AI30" i="13" s="1"/>
  <c r="AG30" i="13" a="1"/>
  <c r="AG30" i="13" s="1"/>
  <c r="AE30" i="13" a="1"/>
  <c r="AE30" i="13" s="1"/>
  <c r="AC30" i="13" a="1"/>
  <c r="AC30" i="13" s="1"/>
  <c r="AA30" i="13" a="1"/>
  <c r="AA30" i="13" s="1"/>
  <c r="Y30" i="13" a="1"/>
  <c r="Y30" i="13" s="1"/>
  <c r="W30" i="13" a="1"/>
  <c r="W30" i="13" s="1"/>
  <c r="AK23" i="13" a="1"/>
  <c r="AK23" i="13" s="1"/>
  <c r="AG23" i="13" a="1"/>
  <c r="AG23" i="13" s="1"/>
  <c r="AC23" i="13" a="1"/>
  <c r="AC23" i="13" s="1"/>
  <c r="Y23" i="13" a="1"/>
  <c r="Y23" i="13" s="1"/>
  <c r="AK22" i="13" a="1"/>
  <c r="AK22" i="13" s="1"/>
  <c r="AG22" i="13" a="1"/>
  <c r="AG22" i="13" s="1"/>
  <c r="AC22" i="13" a="1"/>
  <c r="AC22" i="13" s="1"/>
  <c r="Y22" i="13" a="1"/>
  <c r="Y22" i="13" s="1"/>
  <c r="AK21" i="13" a="1"/>
  <c r="AK21" i="13" s="1"/>
  <c r="AG21" i="13" a="1"/>
  <c r="AG21" i="13" s="1"/>
  <c r="AC21" i="13" a="1"/>
  <c r="AC21" i="13" s="1"/>
  <c r="Y21" i="13" a="1"/>
  <c r="Y21" i="13" s="1"/>
  <c r="AK20" i="13" a="1"/>
  <c r="AK20" i="13" s="1"/>
  <c r="AG20" i="13" a="1"/>
  <c r="AG20" i="13" s="1"/>
  <c r="AC20" i="13" a="1"/>
  <c r="AC20" i="13" s="1"/>
  <c r="Y20" i="13" a="1"/>
  <c r="Y20" i="13" s="1"/>
  <c r="AK19" i="13" a="1"/>
  <c r="AK19" i="13" s="1"/>
  <c r="AG19" i="13" a="1"/>
  <c r="AG19" i="13" s="1"/>
  <c r="AC19" i="13" a="1"/>
  <c r="AC19" i="13" s="1"/>
  <c r="Y19" i="13" a="1"/>
  <c r="Y19" i="13" s="1"/>
  <c r="AK18" i="13" a="1"/>
  <c r="AK18" i="13" s="1"/>
  <c r="AG18" i="13" a="1"/>
  <c r="AG18" i="13" s="1"/>
  <c r="AC18" i="13" a="1"/>
  <c r="AC18" i="13" s="1"/>
  <c r="Y18" i="13" a="1"/>
  <c r="Y18" i="13" s="1"/>
  <c r="AK11" i="13" a="1"/>
  <c r="AK11" i="13" s="1"/>
  <c r="AG11" i="13" a="1"/>
  <c r="AG11" i="13" s="1"/>
  <c r="AC11" i="13" a="1"/>
  <c r="AC11" i="13" s="1"/>
  <c r="Y11" i="13" a="1"/>
  <c r="Y11" i="13" s="1"/>
  <c r="AK10" i="13" a="1"/>
  <c r="AK10" i="13" s="1"/>
  <c r="AG10" i="13" a="1"/>
  <c r="AG10" i="13" s="1"/>
  <c r="AC10" i="13" a="1"/>
  <c r="AC10" i="13" s="1"/>
  <c r="Y10" i="13" a="1"/>
  <c r="Y10" i="13" s="1"/>
  <c r="AK9" i="13" a="1"/>
  <c r="AK9" i="13" s="1"/>
  <c r="AG9" i="13" a="1"/>
  <c r="AG9" i="13" s="1"/>
  <c r="AC9" i="13" a="1"/>
  <c r="AC9" i="13" s="1"/>
  <c r="Y9" i="13" a="1"/>
  <c r="Y9" i="13" s="1"/>
  <c r="AK8" i="13" a="1"/>
  <c r="AK8" i="13" s="1"/>
  <c r="AG8" i="13" a="1"/>
  <c r="AG8" i="13" s="1"/>
  <c r="AC8" i="13" a="1"/>
  <c r="AC8" i="13" s="1"/>
  <c r="Y8" i="13" a="1"/>
  <c r="Y8" i="13" s="1"/>
  <c r="AK7" i="13" a="1"/>
  <c r="AK7" i="13" s="1"/>
  <c r="AG7" i="13" a="1"/>
  <c r="AG7" i="13" s="1"/>
  <c r="AC7" i="13" a="1"/>
  <c r="AC7" i="13" s="1"/>
  <c r="Y7" i="13" a="1"/>
  <c r="Y7" i="13" s="1"/>
  <c r="AK6" i="13" a="1"/>
  <c r="AK6" i="13" s="1"/>
  <c r="AG6" i="13" a="1"/>
  <c r="AG6" i="13" s="1"/>
  <c r="AC6" i="13" a="1"/>
  <c r="AC6" i="13" s="1"/>
  <c r="Y6" i="13" a="1"/>
  <c r="Y6" i="13" s="1"/>
  <c r="M2" i="13"/>
  <c r="L2" i="13" a="1"/>
  <c r="L2" i="13" s="1"/>
  <c r="L2" i="4" a="1"/>
  <c r="L2" i="4" s="1"/>
  <c r="W83" i="12" l="1"/>
  <c r="Y77" i="12"/>
  <c r="W77" i="12" a="1"/>
  <c r="W77" i="12" s="1"/>
  <c r="AK71" i="12" a="1"/>
  <c r="AK71" i="12" s="1"/>
  <c r="AI71" i="12" a="1"/>
  <c r="AI71" i="12" s="1"/>
  <c r="AG71" i="12"/>
  <c r="AG71" i="12" a="1"/>
  <c r="AE71" i="12" a="1"/>
  <c r="AE71" i="12" s="1"/>
  <c r="AC71" i="12" a="1"/>
  <c r="AC71" i="12" s="1"/>
  <c r="AA71" i="12" a="1"/>
  <c r="AA71" i="12" s="1"/>
  <c r="Y71" i="12"/>
  <c r="Y71" i="12" a="1"/>
  <c r="W71" i="12" a="1"/>
  <c r="W71" i="12" s="1"/>
  <c r="AK70" i="12" a="1"/>
  <c r="AK70" i="12" s="1"/>
  <c r="AI70" i="12" a="1"/>
  <c r="AI70" i="12" s="1"/>
  <c r="AG70" i="12"/>
  <c r="AG70" i="12" a="1"/>
  <c r="AE70" i="12" a="1"/>
  <c r="AE70" i="12" s="1"/>
  <c r="AC70" i="12" a="1"/>
  <c r="AC70" i="12" s="1"/>
  <c r="AA70" i="12" a="1"/>
  <c r="AA70" i="12" s="1"/>
  <c r="Y70" i="12"/>
  <c r="Y70" i="12" a="1"/>
  <c r="W70" i="12" a="1"/>
  <c r="W70" i="12" s="1"/>
  <c r="AK69" i="12" a="1"/>
  <c r="AK69" i="12" s="1"/>
  <c r="AI69" i="12" a="1"/>
  <c r="AI69" i="12" s="1"/>
  <c r="AG69" i="12"/>
  <c r="AG69" i="12" a="1"/>
  <c r="AE69" i="12" a="1"/>
  <c r="AE69" i="12" s="1"/>
  <c r="AC69" i="12" a="1"/>
  <c r="AC69" i="12" s="1"/>
  <c r="AA69" i="12" a="1"/>
  <c r="AA69" i="12" s="1"/>
  <c r="Y69" i="12"/>
  <c r="Y69" i="12" a="1"/>
  <c r="W69" i="12" a="1"/>
  <c r="W69" i="12" s="1"/>
  <c r="AK68" i="12" a="1"/>
  <c r="AK68" i="12" s="1"/>
  <c r="AI68" i="12" a="1"/>
  <c r="AI68" i="12" s="1"/>
  <c r="AG68" i="12"/>
  <c r="AG68" i="12" a="1"/>
  <c r="AE68" i="12" a="1"/>
  <c r="AE68" i="12" s="1"/>
  <c r="AC68" i="12" a="1"/>
  <c r="AC68" i="12" s="1"/>
  <c r="AA68" i="12" a="1"/>
  <c r="AA68" i="12" s="1"/>
  <c r="Y68" i="12"/>
  <c r="Y68" i="12" a="1"/>
  <c r="W68" i="12" a="1"/>
  <c r="W68" i="12" s="1"/>
  <c r="AK67" i="12" a="1"/>
  <c r="AK67" i="12" s="1"/>
  <c r="AI67" i="12" a="1"/>
  <c r="AI67" i="12" s="1"/>
  <c r="AG67" i="12"/>
  <c r="AG67" i="12" a="1"/>
  <c r="AE67" i="12" a="1"/>
  <c r="AE67" i="12" s="1"/>
  <c r="AC67" i="12" a="1"/>
  <c r="AC67" i="12" s="1"/>
  <c r="AA67" i="12" a="1"/>
  <c r="AA67" i="12" s="1"/>
  <c r="Y67" i="12"/>
  <c r="Y67" i="12" a="1"/>
  <c r="W67" i="12" a="1"/>
  <c r="W67" i="12" s="1"/>
  <c r="AK66" i="12" a="1"/>
  <c r="AK66" i="12" s="1"/>
  <c r="AI66" i="12" a="1"/>
  <c r="AI66" i="12" s="1"/>
  <c r="AG66" i="12"/>
  <c r="AG66" i="12" a="1"/>
  <c r="AE66" i="12" a="1"/>
  <c r="AE66" i="12" s="1"/>
  <c r="AC66" i="12" a="1"/>
  <c r="AC66" i="12" s="1"/>
  <c r="AA66" i="12" a="1"/>
  <c r="AA66" i="12" s="1"/>
  <c r="Y66" i="12"/>
  <c r="Y66" i="12" a="1"/>
  <c r="W66" i="12" a="1"/>
  <c r="W66" i="12" s="1"/>
  <c r="AK59" i="12"/>
  <c r="AI59" i="12" a="1"/>
  <c r="AI59" i="12" s="1"/>
  <c r="AG59" i="12"/>
  <c r="AE59" i="12" a="1"/>
  <c r="AE59" i="12" s="1"/>
  <c r="AC59" i="12"/>
  <c r="AA59" i="12" a="1"/>
  <c r="AA59" i="12" s="1"/>
  <c r="Y59" i="12"/>
  <c r="Y59" i="12" a="1"/>
  <c r="W59" i="12" a="1"/>
  <c r="W59" i="12" s="1"/>
  <c r="AK58" i="12"/>
  <c r="AI58" i="12" a="1"/>
  <c r="AI58" i="12" s="1"/>
  <c r="AG58" i="12"/>
  <c r="AE58" i="12" a="1"/>
  <c r="AE58" i="12" s="1"/>
  <c r="AC58" i="12"/>
  <c r="AA58" i="12" a="1"/>
  <c r="AA58" i="12" s="1"/>
  <c r="Y58" i="12" a="1"/>
  <c r="Y58" i="12" s="1"/>
  <c r="W58" i="12" a="1"/>
  <c r="W58" i="12" s="1"/>
  <c r="AK57" i="12"/>
  <c r="AI57" i="12" a="1"/>
  <c r="AI57" i="12" s="1"/>
  <c r="AG57" i="12"/>
  <c r="AE57" i="12" a="1"/>
  <c r="AE57" i="12" s="1"/>
  <c r="AC57" i="12"/>
  <c r="AA57" i="12" a="1"/>
  <c r="AA57" i="12" s="1"/>
  <c r="Y57" i="12"/>
  <c r="Y57" i="12" a="1"/>
  <c r="W57" i="12" a="1"/>
  <c r="W57" i="12" s="1"/>
  <c r="AK56" i="12"/>
  <c r="AI56" i="12" a="1"/>
  <c r="AI56" i="12" s="1"/>
  <c r="AG56" i="12"/>
  <c r="AE56" i="12" a="1"/>
  <c r="AE56" i="12" s="1"/>
  <c r="AC56" i="12"/>
  <c r="AA56" i="12" a="1"/>
  <c r="AA56" i="12" s="1"/>
  <c r="Y56" i="12" a="1"/>
  <c r="Y56" i="12" s="1"/>
  <c r="W56" i="12" a="1"/>
  <c r="W56" i="12" s="1"/>
  <c r="AK55" i="12"/>
  <c r="AI55" i="12" a="1"/>
  <c r="AI55" i="12" s="1"/>
  <c r="AG55" i="12"/>
  <c r="AE55" i="12" a="1"/>
  <c r="AE55" i="12" s="1"/>
  <c r="AC55" i="12"/>
  <c r="AA55" i="12" a="1"/>
  <c r="AA55" i="12" s="1"/>
  <c r="Y55" i="12"/>
  <c r="Y55" i="12" a="1"/>
  <c r="W55" i="12" a="1"/>
  <c r="W55" i="12" s="1"/>
  <c r="AK54" i="12"/>
  <c r="AI54" i="12" a="1"/>
  <c r="AI54" i="12" s="1"/>
  <c r="AG54" i="12"/>
  <c r="AE54" i="12" a="1"/>
  <c r="AE54" i="12" s="1"/>
  <c r="AC54" i="12"/>
  <c r="AA54" i="12" a="1"/>
  <c r="AA54" i="12" s="1"/>
  <c r="Y54" i="12" a="1"/>
  <c r="Y54" i="12" s="1"/>
  <c r="W54" i="12" a="1"/>
  <c r="W54" i="12" s="1"/>
  <c r="AK47" i="12" a="1"/>
  <c r="AK47" i="12" s="1"/>
  <c r="AI47" i="12" a="1"/>
  <c r="AI47" i="12" s="1"/>
  <c r="AG47" i="12" a="1"/>
  <c r="AG47" i="12" s="1"/>
  <c r="AE47" i="12" a="1"/>
  <c r="AE47" i="12" s="1"/>
  <c r="AC47" i="12" a="1"/>
  <c r="AC47" i="12" s="1"/>
  <c r="AA47" i="12" a="1"/>
  <c r="AA47" i="12" s="1"/>
  <c r="Y47" i="12" a="1"/>
  <c r="Y47" i="12" s="1"/>
  <c r="W47" i="12" a="1"/>
  <c r="W47" i="12" s="1"/>
  <c r="AK46" i="12" a="1"/>
  <c r="AK46" i="12" s="1"/>
  <c r="AI46" i="12" a="1"/>
  <c r="AI46" i="12" s="1"/>
  <c r="AG46" i="12" a="1"/>
  <c r="AG46" i="12" s="1"/>
  <c r="AE46" i="12" a="1"/>
  <c r="AE46" i="12" s="1"/>
  <c r="AC46" i="12" a="1"/>
  <c r="AC46" i="12" s="1"/>
  <c r="AA46" i="12" a="1"/>
  <c r="AA46" i="12" s="1"/>
  <c r="Y46" i="12" a="1"/>
  <c r="Y46" i="12" s="1"/>
  <c r="W46" i="12" a="1"/>
  <c r="W46" i="12" s="1"/>
  <c r="AK45" i="12" a="1"/>
  <c r="AK45" i="12" s="1"/>
  <c r="AI45" i="12" a="1"/>
  <c r="AI45" i="12" s="1"/>
  <c r="AG45" i="12" a="1"/>
  <c r="AG45" i="12" s="1"/>
  <c r="AE45" i="12" a="1"/>
  <c r="AE45" i="12" s="1"/>
  <c r="AC45" i="12" a="1"/>
  <c r="AC45" i="12" s="1"/>
  <c r="AA45" i="12" a="1"/>
  <c r="AA45" i="12" s="1"/>
  <c r="Y45" i="12" a="1"/>
  <c r="Y45" i="12" s="1"/>
  <c r="W45" i="12" a="1"/>
  <c r="W45" i="12" s="1"/>
  <c r="AK44" i="12" a="1"/>
  <c r="AK44" i="12" s="1"/>
  <c r="AI44" i="12" a="1"/>
  <c r="AI44" i="12" s="1"/>
  <c r="AG44" i="12" a="1"/>
  <c r="AG44" i="12" s="1"/>
  <c r="AE44" i="12" a="1"/>
  <c r="AE44" i="12" s="1"/>
  <c r="AC44" i="12" a="1"/>
  <c r="AC44" i="12" s="1"/>
  <c r="AA44" i="12" a="1"/>
  <c r="AA44" i="12" s="1"/>
  <c r="Y44" i="12" a="1"/>
  <c r="Y44" i="12" s="1"/>
  <c r="W44" i="12" a="1"/>
  <c r="W44" i="12" s="1"/>
  <c r="AK43" i="12" a="1"/>
  <c r="AK43" i="12" s="1"/>
  <c r="AI43" i="12" a="1"/>
  <c r="AI43" i="12" s="1"/>
  <c r="AG43" i="12" a="1"/>
  <c r="AG43" i="12" s="1"/>
  <c r="AE43" i="12" a="1"/>
  <c r="AE43" i="12" s="1"/>
  <c r="AC43" i="12" a="1"/>
  <c r="AC43" i="12" s="1"/>
  <c r="AA43" i="12" a="1"/>
  <c r="AA43" i="12" s="1"/>
  <c r="Y43" i="12" a="1"/>
  <c r="Y43" i="12" s="1"/>
  <c r="W43" i="12" a="1"/>
  <c r="W43" i="12" s="1"/>
  <c r="AK42" i="12" a="1"/>
  <c r="AK42" i="12" s="1"/>
  <c r="AI42" i="12" a="1"/>
  <c r="AI42" i="12" s="1"/>
  <c r="AG42" i="12" a="1"/>
  <c r="AG42" i="12" s="1"/>
  <c r="AE42" i="12" a="1"/>
  <c r="AE42" i="12" s="1"/>
  <c r="AC42" i="12" a="1"/>
  <c r="AC42" i="12" s="1"/>
  <c r="AA42" i="12" a="1"/>
  <c r="AA42" i="12" s="1"/>
  <c r="Y42" i="12" a="1"/>
  <c r="Y42" i="12" s="1"/>
  <c r="W42" i="12" a="1"/>
  <c r="W42" i="12" s="1"/>
  <c r="AK35" i="12" a="1"/>
  <c r="AK35" i="12" s="1"/>
  <c r="AI35" i="12" a="1"/>
  <c r="AI35" i="12" s="1"/>
  <c r="AG35" i="12" a="1"/>
  <c r="AG35" i="12" s="1"/>
  <c r="AE35" i="12" a="1"/>
  <c r="AE35" i="12" s="1"/>
  <c r="AC35" i="12" a="1"/>
  <c r="AC35" i="12" s="1"/>
  <c r="AA35" i="12" a="1"/>
  <c r="AA35" i="12" s="1"/>
  <c r="Y35" i="12" a="1"/>
  <c r="Y35" i="12" s="1"/>
  <c r="W35" i="12" a="1"/>
  <c r="W35" i="12" s="1"/>
  <c r="AK34" i="12" a="1"/>
  <c r="AK34" i="12" s="1"/>
  <c r="AI34" i="12" a="1"/>
  <c r="AI34" i="12" s="1"/>
  <c r="AG34" i="12" a="1"/>
  <c r="AG34" i="12" s="1"/>
  <c r="AE34" i="12" a="1"/>
  <c r="AE34" i="12" s="1"/>
  <c r="AC34" i="12" a="1"/>
  <c r="AC34" i="12" s="1"/>
  <c r="AA34" i="12" a="1"/>
  <c r="AA34" i="12" s="1"/>
  <c r="Y34" i="12" a="1"/>
  <c r="Y34" i="12" s="1"/>
  <c r="W34" i="12" a="1"/>
  <c r="W34" i="12" s="1"/>
  <c r="AK33" i="12" a="1"/>
  <c r="AK33" i="12" s="1"/>
  <c r="AI33" i="12" a="1"/>
  <c r="AI33" i="12" s="1"/>
  <c r="AG33" i="12" a="1"/>
  <c r="AG33" i="12" s="1"/>
  <c r="AE33" i="12" a="1"/>
  <c r="AE33" i="12" s="1"/>
  <c r="AC33" i="12" a="1"/>
  <c r="AC33" i="12" s="1"/>
  <c r="AA33" i="12" a="1"/>
  <c r="AA33" i="12" s="1"/>
  <c r="Y33" i="12" a="1"/>
  <c r="Y33" i="12" s="1"/>
  <c r="W33" i="12" a="1"/>
  <c r="W33" i="12" s="1"/>
  <c r="AK32" i="12" a="1"/>
  <c r="AK32" i="12" s="1"/>
  <c r="AI32" i="12" a="1"/>
  <c r="AI32" i="12" s="1"/>
  <c r="AG32" i="12" a="1"/>
  <c r="AG32" i="12" s="1"/>
  <c r="AE32" i="12" a="1"/>
  <c r="AE32" i="12" s="1"/>
  <c r="AC32" i="12" a="1"/>
  <c r="AC32" i="12" s="1"/>
  <c r="AA32" i="12" a="1"/>
  <c r="AA32" i="12" s="1"/>
  <c r="Y32" i="12" a="1"/>
  <c r="Y32" i="12" s="1"/>
  <c r="W32" i="12" a="1"/>
  <c r="W32" i="12" s="1"/>
  <c r="AK31" i="12" a="1"/>
  <c r="AK31" i="12" s="1"/>
  <c r="AI31" i="12" a="1"/>
  <c r="AI31" i="12" s="1"/>
  <c r="AG31" i="12" a="1"/>
  <c r="AG31" i="12" s="1"/>
  <c r="AE31" i="12" a="1"/>
  <c r="AE31" i="12" s="1"/>
  <c r="AC31" i="12" a="1"/>
  <c r="AC31" i="12" s="1"/>
  <c r="AA31" i="12" a="1"/>
  <c r="AA31" i="12" s="1"/>
  <c r="Y31" i="12" a="1"/>
  <c r="Y31" i="12" s="1"/>
  <c r="W31" i="12" a="1"/>
  <c r="W31" i="12" s="1"/>
  <c r="AK30" i="12" a="1"/>
  <c r="AK30" i="12" s="1"/>
  <c r="AI30" i="12" a="1"/>
  <c r="AI30" i="12" s="1"/>
  <c r="AG30" i="12" a="1"/>
  <c r="AG30" i="12" s="1"/>
  <c r="AE30" i="12" a="1"/>
  <c r="AE30" i="12" s="1"/>
  <c r="AC30" i="12" a="1"/>
  <c r="AC30" i="12" s="1"/>
  <c r="AA30" i="12" a="1"/>
  <c r="AA30" i="12" s="1"/>
  <c r="Y30" i="12" a="1"/>
  <c r="Y30" i="12" s="1"/>
  <c r="W30" i="12" a="1"/>
  <c r="W30" i="12" s="1"/>
  <c r="AK23" i="12" a="1"/>
  <c r="AK23" i="12" s="1"/>
  <c r="AG23" i="12" a="1"/>
  <c r="AG23" i="12" s="1"/>
  <c r="AC23" i="12" a="1"/>
  <c r="AC23" i="12" s="1"/>
  <c r="Y23" i="12" a="1"/>
  <c r="Y23" i="12" s="1"/>
  <c r="AK22" i="12" a="1"/>
  <c r="AK22" i="12" s="1"/>
  <c r="AG22" i="12" a="1"/>
  <c r="AG22" i="12" s="1"/>
  <c r="AC22" i="12" a="1"/>
  <c r="AC22" i="12" s="1"/>
  <c r="Y22" i="12" a="1"/>
  <c r="Y22" i="12" s="1"/>
  <c r="AK21" i="12" a="1"/>
  <c r="AK21" i="12" s="1"/>
  <c r="AG21" i="12" a="1"/>
  <c r="AG21" i="12" s="1"/>
  <c r="AC21" i="12" a="1"/>
  <c r="AC21" i="12" s="1"/>
  <c r="Y21" i="12" a="1"/>
  <c r="Y21" i="12" s="1"/>
  <c r="AK20" i="12" a="1"/>
  <c r="AK20" i="12" s="1"/>
  <c r="AG20" i="12" a="1"/>
  <c r="AG20" i="12" s="1"/>
  <c r="AC20" i="12" a="1"/>
  <c r="AC20" i="12" s="1"/>
  <c r="Y20" i="12" a="1"/>
  <c r="Y20" i="12" s="1"/>
  <c r="AK19" i="12" a="1"/>
  <c r="AK19" i="12" s="1"/>
  <c r="AG19" i="12" a="1"/>
  <c r="AG19" i="12" s="1"/>
  <c r="AC19" i="12" a="1"/>
  <c r="AC19" i="12" s="1"/>
  <c r="Y19" i="12" a="1"/>
  <c r="Y19" i="12" s="1"/>
  <c r="AK18" i="12" a="1"/>
  <c r="AK18" i="12" s="1"/>
  <c r="AG18" i="12" a="1"/>
  <c r="AG18" i="12" s="1"/>
  <c r="AC18" i="12" a="1"/>
  <c r="AC18" i="12" s="1"/>
  <c r="Y18" i="12" a="1"/>
  <c r="Y18" i="12" s="1"/>
  <c r="AK11" i="12" a="1"/>
  <c r="AK11" i="12" s="1"/>
  <c r="AG11" i="12" a="1"/>
  <c r="AG11" i="12" s="1"/>
  <c r="AC11" i="12" a="1"/>
  <c r="AC11" i="12" s="1"/>
  <c r="Y11" i="12" a="1"/>
  <c r="Y11" i="12" s="1"/>
  <c r="AK10" i="12" a="1"/>
  <c r="AK10" i="12" s="1"/>
  <c r="AG10" i="12" a="1"/>
  <c r="AG10" i="12" s="1"/>
  <c r="AC10" i="12" a="1"/>
  <c r="AC10" i="12" s="1"/>
  <c r="Y10" i="12" a="1"/>
  <c r="Y10" i="12" s="1"/>
  <c r="AK9" i="12" a="1"/>
  <c r="AK9" i="12" s="1"/>
  <c r="AG9" i="12" a="1"/>
  <c r="AG9" i="12" s="1"/>
  <c r="AC9" i="12" a="1"/>
  <c r="AC9" i="12" s="1"/>
  <c r="Y9" i="12" a="1"/>
  <c r="Y9" i="12" s="1"/>
  <c r="AK8" i="12" a="1"/>
  <c r="AK8" i="12" s="1"/>
  <c r="AG8" i="12" a="1"/>
  <c r="AG8" i="12" s="1"/>
  <c r="AC8" i="12" a="1"/>
  <c r="AC8" i="12" s="1"/>
  <c r="Y8" i="12" a="1"/>
  <c r="Y8" i="12" s="1"/>
  <c r="AK7" i="12" a="1"/>
  <c r="AK7" i="12" s="1"/>
  <c r="AG7" i="12" a="1"/>
  <c r="AG7" i="12" s="1"/>
  <c r="AC7" i="12" a="1"/>
  <c r="AC7" i="12" s="1"/>
  <c r="Y7" i="12" a="1"/>
  <c r="Y7" i="12" s="1"/>
  <c r="AK6" i="12" a="1"/>
  <c r="AK6" i="12" s="1"/>
  <c r="AG6" i="12" a="1"/>
  <c r="AG6" i="12" s="1"/>
  <c r="AC6" i="12" a="1"/>
  <c r="AC6" i="12" s="1"/>
  <c r="Y6" i="12" a="1"/>
  <c r="Y6" i="12" s="1"/>
  <c r="N2" i="12"/>
  <c r="M2" i="12"/>
  <c r="L2" i="12" a="1"/>
  <c r="L2" i="12" s="1"/>
  <c r="W77" i="4" a="1"/>
  <c r="W77" i="4" s="1"/>
  <c r="W30" i="4" a="1"/>
  <c r="W30" i="4" s="1"/>
  <c r="AI67" i="4" l="1" a="1"/>
  <c r="AI67" i="4" s="1"/>
  <c r="AI68" i="4" a="1"/>
  <c r="AI68" i="4" s="1"/>
  <c r="AI69" i="4" a="1"/>
  <c r="AI69" i="4" s="1"/>
  <c r="AI70" i="4" a="1"/>
  <c r="AI70" i="4" s="1"/>
  <c r="AI71" i="4" a="1"/>
  <c r="AI71" i="4" s="1"/>
  <c r="AI66" i="4" a="1"/>
  <c r="AI66" i="4" s="1"/>
  <c r="AE67" i="4" a="1"/>
  <c r="AE67" i="4" s="1"/>
  <c r="AE68" i="4" a="1"/>
  <c r="AE68" i="4" s="1"/>
  <c r="AE69" i="4" a="1"/>
  <c r="AE69" i="4" s="1"/>
  <c r="AE70" i="4" a="1"/>
  <c r="AE70" i="4" s="1"/>
  <c r="AE71" i="4" a="1"/>
  <c r="AE71" i="4" s="1"/>
  <c r="AE66" i="4" a="1"/>
  <c r="AE66" i="4" s="1"/>
  <c r="AA67" i="4" a="1"/>
  <c r="AA67" i="4" s="1"/>
  <c r="AA68" i="4" a="1"/>
  <c r="AA68" i="4" s="1"/>
  <c r="AA69" i="4" a="1"/>
  <c r="AA69" i="4" s="1"/>
  <c r="AA70" i="4" a="1"/>
  <c r="AA70" i="4" s="1"/>
  <c r="AA71" i="4" a="1"/>
  <c r="AA71" i="4" s="1"/>
  <c r="AA66" i="4" a="1"/>
  <c r="AA66" i="4" s="1"/>
  <c r="AC67" i="4" a="1"/>
  <c r="AC67" i="4" s="1"/>
  <c r="AC68" i="4" a="1"/>
  <c r="AC68" i="4" s="1"/>
  <c r="AC69" i="4" a="1"/>
  <c r="AC69" i="4" s="1"/>
  <c r="AC70" i="4" a="1"/>
  <c r="AC70" i="4"/>
  <c r="AC71" i="4" a="1"/>
  <c r="AC71" i="4" s="1"/>
  <c r="AK67" i="4" a="1"/>
  <c r="AK67" i="4" s="1"/>
  <c r="AK68" i="4" a="1"/>
  <c r="AK68" i="4" s="1"/>
  <c r="AK69" i="4" a="1"/>
  <c r="AK69" i="4" s="1"/>
  <c r="AK70" i="4" a="1"/>
  <c r="AK70" i="4" s="1"/>
  <c r="AK71" i="4" a="1"/>
  <c r="AK71" i="4" s="1"/>
  <c r="AG67" i="4" a="1"/>
  <c r="AG67" i="4" s="1"/>
  <c r="AG68" i="4" a="1"/>
  <c r="AG68" i="4" s="1"/>
  <c r="AG69" i="4" a="1"/>
  <c r="AG69" i="4" s="1"/>
  <c r="AG70" i="4" a="1"/>
  <c r="AG70" i="4" s="1"/>
  <c r="AG71" i="4" a="1"/>
  <c r="AG71" i="4" s="1"/>
  <c r="AK66" i="4" a="1"/>
  <c r="AK66" i="4" s="1"/>
  <c r="AG66" i="4" a="1"/>
  <c r="AG66" i="4" s="1"/>
  <c r="AC66" i="4" a="1"/>
  <c r="AC66" i="4" s="1"/>
  <c r="Y67" i="4" a="1"/>
  <c r="Y67" i="4" s="1"/>
  <c r="Y68" i="4" a="1"/>
  <c r="Y68" i="4" s="1"/>
  <c r="Y69" i="4" a="1"/>
  <c r="Y69" i="4" s="1"/>
  <c r="Y70" i="4" a="1"/>
  <c r="Y70" i="4" s="1"/>
  <c r="Y71" i="4" a="1"/>
  <c r="Y71" i="4" s="1"/>
  <c r="Y66" i="4" a="1"/>
  <c r="Y66" i="4" s="1"/>
  <c r="W67" i="4" a="1"/>
  <c r="W67" i="4" s="1"/>
  <c r="W68" i="4" a="1"/>
  <c r="W68" i="4" s="1"/>
  <c r="W69" i="4" a="1"/>
  <c r="W69" i="4" s="1"/>
  <c r="W70" i="4" a="1"/>
  <c r="W70" i="4" s="1"/>
  <c r="W71" i="4" a="1"/>
  <c r="W71" i="4" s="1"/>
  <c r="W66" i="4" a="1"/>
  <c r="W66" i="4" s="1"/>
  <c r="AI55" i="4" a="1"/>
  <c r="AI55" i="4" s="1"/>
  <c r="AI56" i="4" a="1"/>
  <c r="AI56" i="4" s="1"/>
  <c r="AI57" i="4" a="1"/>
  <c r="AI57" i="4" s="1"/>
  <c r="AI58" i="4" a="1"/>
  <c r="AI58" i="4" s="1"/>
  <c r="AI59" i="4" a="1"/>
  <c r="AI59" i="4" s="1"/>
  <c r="AI54" i="4" a="1"/>
  <c r="AI54" i="4" s="1"/>
  <c r="AE55" i="4" a="1"/>
  <c r="AE55" i="4" s="1"/>
  <c r="AE56" i="4" a="1"/>
  <c r="AE56" i="4" s="1"/>
  <c r="AE57" i="4" a="1"/>
  <c r="AE57" i="4" s="1"/>
  <c r="AE58" i="4" a="1"/>
  <c r="AE58" i="4" s="1"/>
  <c r="AE59" i="4" a="1"/>
  <c r="AE59" i="4" s="1"/>
  <c r="AE54" i="4" a="1"/>
  <c r="AE54" i="4" s="1"/>
  <c r="AA55" i="4" a="1"/>
  <c r="AA55" i="4" s="1"/>
  <c r="AA56" i="4" a="1"/>
  <c r="AA56" i="4" s="1"/>
  <c r="AA57" i="4" a="1"/>
  <c r="AA57" i="4" s="1"/>
  <c r="AA58" i="4" a="1"/>
  <c r="AA58" i="4" s="1"/>
  <c r="AA59" i="4" a="1"/>
  <c r="AA59" i="4" s="1"/>
  <c r="AA54" i="4" a="1"/>
  <c r="AA54" i="4" s="1"/>
  <c r="AK55" i="4" a="1"/>
  <c r="AK55" i="4" s="1"/>
  <c r="AK56" i="4" a="1"/>
  <c r="AK56" i="4" s="1"/>
  <c r="AK57" i="4" a="1"/>
  <c r="AK57" i="4" s="1"/>
  <c r="AK58" i="4" a="1"/>
  <c r="AK58" i="4"/>
  <c r="AK59" i="4" a="1"/>
  <c r="AK59" i="4" s="1"/>
  <c r="AK54" i="4" a="1"/>
  <c r="AK54" i="4" s="1"/>
  <c r="AG55" i="4" a="1"/>
  <c r="AG55" i="4"/>
  <c r="AG56" i="4" a="1"/>
  <c r="AG56" i="4" s="1"/>
  <c r="AG57" i="4" a="1"/>
  <c r="AG57" i="4" s="1"/>
  <c r="AG58" i="4" a="1"/>
  <c r="AG58" i="4"/>
  <c r="AG59" i="4" a="1"/>
  <c r="AG59" i="4"/>
  <c r="AG54" i="4" a="1"/>
  <c r="AG54" i="4"/>
  <c r="AC55" i="4" a="1"/>
  <c r="AC55" i="4" s="1"/>
  <c r="AC56" i="4" a="1"/>
  <c r="AC56" i="4" s="1"/>
  <c r="AC57" i="4" a="1"/>
  <c r="AC57" i="4"/>
  <c r="AC58" i="4" a="1"/>
  <c r="AC58" i="4"/>
  <c r="AC59" i="4" a="1"/>
  <c r="AC59" i="4" s="1"/>
  <c r="AC54" i="4" a="1"/>
  <c r="AC54" i="4" s="1"/>
  <c r="Y55" i="4" a="1"/>
  <c r="Y55" i="4" s="1"/>
  <c r="Y56" i="4" a="1"/>
  <c r="Y56" i="4" s="1"/>
  <c r="Y57" i="4" a="1"/>
  <c r="Y57" i="4"/>
  <c r="Y58" i="4" a="1"/>
  <c r="Y58" i="4" s="1"/>
  <c r="Y59" i="4" a="1"/>
  <c r="Y59" i="4" s="1"/>
  <c r="Y54" i="4" a="1"/>
  <c r="Y54" i="4" s="1"/>
  <c r="W55" i="4" a="1"/>
  <c r="W55" i="4" s="1"/>
  <c r="W56" i="4" a="1"/>
  <c r="W56" i="4" s="1"/>
  <c r="W57" i="4" a="1"/>
  <c r="W57" i="4" s="1"/>
  <c r="W58" i="4" a="1"/>
  <c r="W58" i="4" s="1"/>
  <c r="W59" i="4" a="1"/>
  <c r="W59" i="4" s="1"/>
  <c r="W54" i="4" a="1"/>
  <c r="W54" i="4" s="1"/>
  <c r="Y7" i="4" a="1"/>
  <c r="Y7" i="4" s="1"/>
  <c r="Y8" i="4" a="1"/>
  <c r="Y8" i="4" s="1"/>
  <c r="Y9" i="4" a="1"/>
  <c r="Y9" i="4" s="1"/>
  <c r="Y10" i="4" a="1"/>
  <c r="Y10" i="4" s="1"/>
  <c r="Y11" i="4" a="1"/>
  <c r="Y11" i="4" s="1"/>
  <c r="Y6" i="4" a="1"/>
  <c r="Y6" i="4" s="1"/>
  <c r="AC7" i="4" a="1"/>
  <c r="AC7" i="4" s="1"/>
  <c r="AC8" i="4" a="1"/>
  <c r="AC8" i="4" s="1"/>
  <c r="AC9" i="4" a="1"/>
  <c r="AC9" i="4" s="1"/>
  <c r="AC10" i="4" a="1"/>
  <c r="AC10" i="4" s="1"/>
  <c r="AC11" i="4" a="1"/>
  <c r="AC11" i="4" s="1"/>
  <c r="AC6" i="4" a="1"/>
  <c r="AC6" i="4" s="1"/>
  <c r="AG7" i="4" a="1"/>
  <c r="AG7" i="4" s="1"/>
  <c r="AG8" i="4" a="1"/>
  <c r="AG8" i="4" s="1"/>
  <c r="AG9" i="4" a="1"/>
  <c r="AG9" i="4" s="1"/>
  <c r="AG10" i="4" a="1"/>
  <c r="AG10" i="4" s="1"/>
  <c r="AG11" i="4" a="1"/>
  <c r="AG11" i="4" s="1"/>
  <c r="AG6" i="4" a="1"/>
  <c r="AG6" i="4" s="1"/>
  <c r="AK7" i="4" a="1"/>
  <c r="AK7" i="4" s="1"/>
  <c r="AK8" i="4" a="1"/>
  <c r="AK8" i="4" s="1"/>
  <c r="AK9" i="4" a="1"/>
  <c r="AK9" i="4" s="1"/>
  <c r="AK10" i="4" a="1"/>
  <c r="AK10" i="4" s="1"/>
  <c r="AK11" i="4" a="1"/>
  <c r="AK11" i="4" s="1"/>
  <c r="AK6" i="4" a="1"/>
  <c r="AK6" i="4" s="1"/>
  <c r="AK19" i="4" a="1"/>
  <c r="AK19" i="4" s="1"/>
  <c r="AK20" i="4" a="1"/>
  <c r="AK20" i="4" s="1"/>
  <c r="AK21" i="4" a="1"/>
  <c r="AK21" i="4" s="1"/>
  <c r="AK22" i="4" a="1"/>
  <c r="AK22" i="4" s="1"/>
  <c r="AK23" i="4" a="1"/>
  <c r="AK23" i="4" s="1"/>
  <c r="AK18" i="4" a="1"/>
  <c r="AK18" i="4" s="1"/>
  <c r="AG19" i="4" a="1"/>
  <c r="AG19" i="4" s="1"/>
  <c r="AG20" i="4" a="1"/>
  <c r="AG20" i="4" s="1"/>
  <c r="AG21" i="4" a="1"/>
  <c r="AG21" i="4" s="1"/>
  <c r="AG22" i="4" a="1"/>
  <c r="AG22" i="4" s="1"/>
  <c r="AG23" i="4" a="1"/>
  <c r="AG23" i="4" s="1"/>
  <c r="AG18" i="4" a="1"/>
  <c r="AG18" i="4" s="1"/>
  <c r="AC19" i="4" a="1"/>
  <c r="AC19" i="4" s="1"/>
  <c r="AC20" i="4" a="1"/>
  <c r="AC20" i="4" s="1"/>
  <c r="AC21" i="4" a="1"/>
  <c r="AC21" i="4" s="1"/>
  <c r="AC22" i="4" a="1"/>
  <c r="AC22" i="4" s="1"/>
  <c r="AC23" i="4" a="1"/>
  <c r="AC23" i="4" s="1"/>
  <c r="AC18" i="4" a="1"/>
  <c r="AC18" i="4" s="1"/>
  <c r="Y19" i="4" a="1"/>
  <c r="Y19" i="4" s="1"/>
  <c r="Y20" i="4" a="1"/>
  <c r="Y20" i="4" s="1"/>
  <c r="Y21" i="4" a="1"/>
  <c r="Y21" i="4" s="1"/>
  <c r="Y22" i="4" a="1"/>
  <c r="Y22" i="4" s="1"/>
  <c r="Y23" i="4" a="1"/>
  <c r="Y23" i="4" s="1"/>
  <c r="Y18" i="4" a="1"/>
  <c r="Y18" i="4" s="1"/>
  <c r="AA31" i="4" a="1"/>
  <c r="AA31" i="4" s="1"/>
  <c r="AA32" i="4" a="1"/>
  <c r="AA32" i="4" s="1"/>
  <c r="AA33" i="4" a="1"/>
  <c r="AA33" i="4" s="1"/>
  <c r="AA34" i="4" a="1"/>
  <c r="AA34" i="4" s="1"/>
  <c r="AA35" i="4" a="1"/>
  <c r="AA35" i="4" s="1"/>
  <c r="AA30" i="4" a="1"/>
  <c r="AA30" i="4" s="1"/>
  <c r="AE31" i="4" a="1"/>
  <c r="AE31" i="4" s="1"/>
  <c r="AE32" i="4" a="1"/>
  <c r="AE32" i="4" s="1"/>
  <c r="AE33" i="4" a="1"/>
  <c r="AE33" i="4" s="1"/>
  <c r="AE34" i="4" a="1"/>
  <c r="AE34" i="4" s="1"/>
  <c r="AE35" i="4" a="1"/>
  <c r="AE35" i="4" s="1"/>
  <c r="AE30" i="4" a="1"/>
  <c r="AE30" i="4" s="1"/>
  <c r="AI31" i="4" a="1"/>
  <c r="AI31" i="4" s="1"/>
  <c r="AI32" i="4" a="1"/>
  <c r="AI32" i="4" s="1"/>
  <c r="AI33" i="4" a="1"/>
  <c r="AI33" i="4" s="1"/>
  <c r="AI34" i="4" a="1"/>
  <c r="AI34" i="4" s="1"/>
  <c r="AI35" i="4" a="1"/>
  <c r="AI35" i="4" s="1"/>
  <c r="AI30" i="4" a="1"/>
  <c r="AI30" i="4" s="1"/>
  <c r="AK31" i="4" a="1"/>
  <c r="AK31" i="4" s="1"/>
  <c r="AK32" i="4" a="1"/>
  <c r="AK32" i="4" s="1"/>
  <c r="AK33" i="4" a="1"/>
  <c r="AK33" i="4" s="1"/>
  <c r="AK34" i="4" a="1"/>
  <c r="AK34" i="4" s="1"/>
  <c r="AK35" i="4" a="1"/>
  <c r="AK35" i="4" s="1"/>
  <c r="AK30" i="4" a="1"/>
  <c r="AK30" i="4" s="1"/>
  <c r="AG31" i="4" a="1"/>
  <c r="AG31" i="4" s="1"/>
  <c r="AG32" i="4" a="1"/>
  <c r="AG32" i="4" s="1"/>
  <c r="AG33" i="4" a="1"/>
  <c r="AG33" i="4" s="1"/>
  <c r="AG34" i="4" a="1"/>
  <c r="AG34" i="4" s="1"/>
  <c r="AG35" i="4" a="1"/>
  <c r="AG35" i="4" s="1"/>
  <c r="AG30" i="4" a="1"/>
  <c r="AG30" i="4" s="1"/>
  <c r="AC31" i="4" a="1"/>
  <c r="AC31" i="4" s="1"/>
  <c r="AC32" i="4" a="1"/>
  <c r="AC32" i="4" s="1"/>
  <c r="AC33" i="4" a="1"/>
  <c r="AC33" i="4" s="1"/>
  <c r="AC34" i="4" a="1"/>
  <c r="AC34" i="4" s="1"/>
  <c r="AC35" i="4" a="1"/>
  <c r="AC35" i="4" s="1"/>
  <c r="AC30" i="4" a="1"/>
  <c r="AC30" i="4" s="1"/>
  <c r="Y31" i="4" a="1"/>
  <c r="Y31" i="4" s="1"/>
  <c r="Y32" i="4" a="1"/>
  <c r="Y32" i="4" s="1"/>
  <c r="Y33" i="4" a="1"/>
  <c r="Y33" i="4" s="1"/>
  <c r="Y34" i="4" a="1"/>
  <c r="Y34" i="4" s="1"/>
  <c r="Y35" i="4" a="1"/>
  <c r="Y35" i="4" s="1"/>
  <c r="Y30" i="4" a="1"/>
  <c r="Y30" i="4" s="1"/>
  <c r="W31" i="4" a="1"/>
  <c r="W31" i="4" s="1"/>
  <c r="W32" i="4" a="1"/>
  <c r="W32" i="4" s="1"/>
  <c r="W33" i="4" a="1"/>
  <c r="W33" i="4" s="1"/>
  <c r="W34" i="4" a="1"/>
  <c r="W34" i="4" s="1"/>
  <c r="W35" i="4" a="1"/>
  <c r="W35" i="4" s="1"/>
  <c r="AI43" i="4" a="1"/>
  <c r="AI43" i="4" s="1"/>
  <c r="AI44" i="4" a="1"/>
  <c r="AI44" i="4" s="1"/>
  <c r="AI45" i="4" a="1"/>
  <c r="AI45" i="4" s="1"/>
  <c r="AI46" i="4" a="1"/>
  <c r="AI46" i="4" s="1"/>
  <c r="AI47" i="4" a="1"/>
  <c r="AI47" i="4" s="1"/>
  <c r="AI42" i="4" a="1"/>
  <c r="AI42" i="4" s="1"/>
  <c r="AE42" i="4" a="1"/>
  <c r="AE42" i="4" s="1"/>
  <c r="AE43" i="4" a="1"/>
  <c r="AE43" i="4" s="1"/>
  <c r="AE44" i="4" a="1"/>
  <c r="AE44" i="4" s="1"/>
  <c r="AE45" i="4" a="1"/>
  <c r="AE45" i="4" s="1"/>
  <c r="AE46" i="4" a="1"/>
  <c r="AE46" i="4" s="1"/>
  <c r="AE47" i="4" a="1"/>
  <c r="AE47" i="4" s="1"/>
  <c r="AA42" i="4" a="1"/>
  <c r="AA42" i="4" s="1"/>
  <c r="AK43" i="4" a="1"/>
  <c r="AK43" i="4" s="1"/>
  <c r="AK44" i="4" a="1"/>
  <c r="AK44" i="4" s="1"/>
  <c r="AK45" i="4" a="1"/>
  <c r="AK45" i="4" s="1"/>
  <c r="AK46" i="4" a="1"/>
  <c r="AK46" i="4" s="1"/>
  <c r="AK47" i="4" a="1"/>
  <c r="AK47" i="4" s="1"/>
  <c r="AG43" i="4" a="1"/>
  <c r="AG43" i="4" s="1"/>
  <c r="AG44" i="4" a="1"/>
  <c r="AG44" i="4" s="1"/>
  <c r="AG45" i="4" a="1"/>
  <c r="AG45" i="4" s="1"/>
  <c r="AG46" i="4" a="1"/>
  <c r="AG46" i="4" s="1"/>
  <c r="AG47" i="4" a="1"/>
  <c r="AG47" i="4" s="1"/>
  <c r="AK42" i="4" a="1"/>
  <c r="AK42" i="4" s="1"/>
  <c r="AG42" i="4" a="1"/>
  <c r="AG42" i="4" s="1"/>
  <c r="AC43" i="4" a="1"/>
  <c r="AC43" i="4" s="1"/>
  <c r="AC44" i="4" a="1"/>
  <c r="AC44" i="4" s="1"/>
  <c r="AC45" i="4" a="1"/>
  <c r="AC45" i="4" s="1"/>
  <c r="AC46" i="4" a="1"/>
  <c r="AC46" i="4" s="1"/>
  <c r="AC47" i="4" a="1"/>
  <c r="AC47" i="4" s="1"/>
  <c r="AC42" i="4" a="1"/>
  <c r="AC42" i="4" s="1"/>
  <c r="AA43" i="4" a="1"/>
  <c r="AA43" i="4" s="1"/>
  <c r="AA44" i="4" a="1"/>
  <c r="AA44" i="4" s="1"/>
  <c r="AA45" i="4" a="1"/>
  <c r="AA45" i="4" s="1"/>
  <c r="AA46" i="4" a="1"/>
  <c r="AA46" i="4" s="1"/>
  <c r="AA47" i="4" a="1"/>
  <c r="AA47" i="4" s="1"/>
  <c r="W42" i="4" a="1"/>
  <c r="W42" i="4" s="1"/>
  <c r="Y77" i="4"/>
  <c r="Y43" i="4" a="1"/>
  <c r="Y43" i="4" s="1"/>
  <c r="Y44" i="4" a="1"/>
  <c r="Y44" i="4" s="1"/>
  <c r="Y45" i="4" a="1"/>
  <c r="Y45" i="4" s="1"/>
  <c r="Y46" i="4" a="1"/>
  <c r="Y46" i="4" s="1"/>
  <c r="Y47" i="4" a="1"/>
  <c r="Y47" i="4" s="1"/>
  <c r="W43" i="4" a="1"/>
  <c r="W43" i="4" s="1"/>
  <c r="W44" i="4" a="1"/>
  <c r="W44" i="4" s="1"/>
  <c r="W45" i="4" a="1"/>
  <c r="W45" i="4" s="1"/>
  <c r="W46" i="4" a="1"/>
  <c r="W46" i="4" s="1"/>
  <c r="W47" i="4" a="1"/>
  <c r="W47" i="4" s="1"/>
  <c r="Y42" i="4" a="1"/>
  <c r="Y42" i="4" s="1"/>
  <c r="M2" i="4" l="1"/>
  <c r="J53" i="5" l="1" a="1"/>
  <c r="J53" i="5" s="1"/>
  <c r="C53" i="5" a="1"/>
  <c r="C53" i="5" s="1"/>
  <c r="J45" i="5" a="1"/>
  <c r="J45" i="5" s="1"/>
  <c r="C45" i="5" a="1"/>
  <c r="C38" i="5"/>
  <c r="AA7" i="13" l="1" a="1"/>
  <c r="AA7" i="13" s="1"/>
  <c r="AA6" i="13" a="1"/>
  <c r="AA6" i="13" s="1"/>
  <c r="I2" i="4" a="1"/>
  <c r="I2" i="4" s="1"/>
  <c r="AI20" i="13" a="1"/>
  <c r="AI20" i="13" s="1"/>
  <c r="AI18" i="13" a="1"/>
  <c r="AI18" i="13" s="1"/>
  <c r="AI9" i="13" a="1"/>
  <c r="AI9" i="13" s="1"/>
  <c r="AI6" i="13" a="1"/>
  <c r="AI6" i="13" s="1"/>
  <c r="G2" i="4" a="1"/>
  <c r="G2" i="4" s="1"/>
  <c r="AE7" i="13" a="1"/>
  <c r="AE7" i="13" s="1"/>
  <c r="AI23" i="13" a="1"/>
  <c r="AI23" i="13" s="1"/>
  <c r="I2" i="13" a="1"/>
  <c r="I2" i="13" s="1"/>
  <c r="AI22" i="13" a="1"/>
  <c r="AI22" i="13" s="1"/>
  <c r="AI19" i="13" a="1"/>
  <c r="AI19" i="13" s="1"/>
  <c r="AI11" i="13" a="1"/>
  <c r="AI11" i="13" s="1"/>
  <c r="AI8" i="13" a="1"/>
  <c r="AI8" i="13" s="1"/>
  <c r="AI21" i="13" a="1"/>
  <c r="AI21" i="13" s="1"/>
  <c r="K2" i="13" a="1"/>
  <c r="K2" i="13" s="1"/>
  <c r="AI7" i="13" a="1"/>
  <c r="AI7" i="13" s="1"/>
  <c r="G2" i="13" a="1"/>
  <c r="G2" i="13" s="1"/>
  <c r="AE23" i="13" a="1"/>
  <c r="AE23" i="13" s="1"/>
  <c r="AE22" i="13" a="1"/>
  <c r="AE22" i="13" s="1"/>
  <c r="AE21" i="13" a="1"/>
  <c r="AE21" i="13" s="1"/>
  <c r="AE20" i="13" a="1"/>
  <c r="AE20" i="13" s="1"/>
  <c r="AE19" i="13" a="1"/>
  <c r="AE19" i="13" s="1"/>
  <c r="AE18" i="13" a="1"/>
  <c r="AE18" i="13" s="1"/>
  <c r="AE11" i="13" a="1"/>
  <c r="AE11" i="13" s="1"/>
  <c r="AE10" i="13" a="1"/>
  <c r="AE10" i="13" s="1"/>
  <c r="AE9" i="13" a="1"/>
  <c r="AE9" i="13" s="1"/>
  <c r="AE8" i="13" a="1"/>
  <c r="AE8" i="13" s="1"/>
  <c r="AE6" i="13" a="1"/>
  <c r="AE6" i="13" s="1"/>
  <c r="AA23" i="13" a="1"/>
  <c r="AA23" i="13" s="1"/>
  <c r="AA22" i="13" a="1"/>
  <c r="AA22" i="13" s="1"/>
  <c r="AA21" i="13" a="1"/>
  <c r="AA21" i="13" s="1"/>
  <c r="AA20" i="13" a="1"/>
  <c r="AA20" i="13" s="1"/>
  <c r="AA19" i="13" a="1"/>
  <c r="AA19" i="13" s="1"/>
  <c r="AA18" i="13" a="1"/>
  <c r="AA18" i="13" s="1"/>
  <c r="AA11" i="13" a="1"/>
  <c r="AA11" i="13" s="1"/>
  <c r="AA10" i="13" a="1"/>
  <c r="AA10" i="13" s="1"/>
  <c r="AA9" i="13" a="1"/>
  <c r="AA9" i="13" s="1"/>
  <c r="AA8" i="13" a="1"/>
  <c r="AA8" i="13" s="1"/>
  <c r="AI10" i="13" a="1"/>
  <c r="AI10" i="13" s="1"/>
  <c r="K2" i="4" a="1"/>
  <c r="K2" i="4" s="1"/>
  <c r="G2" i="12" a="1"/>
  <c r="G2" i="12" s="1"/>
  <c r="AA20" i="12" a="1"/>
  <c r="AA20" i="12" s="1"/>
  <c r="AA9" i="12" a="1"/>
  <c r="AA9" i="12" s="1"/>
  <c r="AA21" i="12" a="1"/>
  <c r="AA21" i="12" s="1"/>
  <c r="AA10" i="12" a="1"/>
  <c r="AA10" i="12" s="1"/>
  <c r="I2" i="12" a="1"/>
  <c r="I2" i="12" s="1"/>
  <c r="AI23" i="12" a="1"/>
  <c r="AI23" i="12" s="1"/>
  <c r="AI22" i="12" a="1"/>
  <c r="AI22" i="12" s="1"/>
  <c r="AI21" i="12" a="1"/>
  <c r="AI21" i="12" s="1"/>
  <c r="AI20" i="12" a="1"/>
  <c r="AI20" i="12" s="1"/>
  <c r="AI19" i="12" a="1"/>
  <c r="AI19" i="12" s="1"/>
  <c r="AI18" i="12" a="1"/>
  <c r="AI18" i="12" s="1"/>
  <c r="AI11" i="12" a="1"/>
  <c r="AI11" i="12" s="1"/>
  <c r="AI10" i="12" a="1"/>
  <c r="AI10" i="12" s="1"/>
  <c r="AI9" i="12" a="1"/>
  <c r="AI9" i="12" s="1"/>
  <c r="AI8" i="12" a="1"/>
  <c r="AI8" i="12" s="1"/>
  <c r="AI7" i="12" a="1"/>
  <c r="AI7" i="12" s="1"/>
  <c r="AI6" i="12" a="1"/>
  <c r="AI6" i="12" s="1"/>
  <c r="AA22" i="12" a="1"/>
  <c r="AA22" i="12" s="1"/>
  <c r="AA11" i="12" a="1"/>
  <c r="AA11" i="12" s="1"/>
  <c r="AA7" i="12" a="1"/>
  <c r="AA7" i="12" s="1"/>
  <c r="AA19" i="12" a="1"/>
  <c r="AA19" i="12" s="1"/>
  <c r="AE23" i="12" a="1"/>
  <c r="AE23" i="12" s="1"/>
  <c r="AE22" i="12" a="1"/>
  <c r="AE22" i="12" s="1"/>
  <c r="AE21" i="12" a="1"/>
  <c r="AE21" i="12" s="1"/>
  <c r="AE20" i="12" a="1"/>
  <c r="AE20" i="12" s="1"/>
  <c r="AE19" i="12" a="1"/>
  <c r="AE19" i="12" s="1"/>
  <c r="AE18" i="12" a="1"/>
  <c r="AE18" i="12" s="1"/>
  <c r="AE11" i="12" a="1"/>
  <c r="AE11" i="12" s="1"/>
  <c r="AE10" i="12" a="1"/>
  <c r="AE10" i="12" s="1"/>
  <c r="AE9" i="12" a="1"/>
  <c r="AE9" i="12" s="1"/>
  <c r="AE8" i="12" a="1"/>
  <c r="AE8" i="12" s="1"/>
  <c r="AE7" i="12" a="1"/>
  <c r="AE7" i="12" s="1"/>
  <c r="AE6" i="12" a="1"/>
  <c r="AE6" i="12" s="1"/>
  <c r="K2" i="12" a="1"/>
  <c r="K2" i="12" s="1"/>
  <c r="AA23" i="12" a="1"/>
  <c r="AA23" i="12" s="1"/>
  <c r="AA18" i="12" a="1"/>
  <c r="AA18" i="12" s="1"/>
  <c r="AA8" i="12" a="1"/>
  <c r="AA8" i="12" s="1"/>
  <c r="AA6" i="12" a="1"/>
  <c r="AA6" i="12" s="1"/>
  <c r="AI23" i="4" a="1"/>
  <c r="AI23" i="4" s="1"/>
  <c r="AA19" i="4" a="1"/>
  <c r="AA19" i="4" s="1"/>
  <c r="AE18" i="4" a="1"/>
  <c r="AE18" i="4" s="1"/>
  <c r="AI18" i="4" a="1"/>
  <c r="AI18" i="4" s="1"/>
  <c r="AA20" i="4" a="1"/>
  <c r="AA20" i="4" s="1"/>
  <c r="AE19" i="4" a="1"/>
  <c r="AE19" i="4" s="1"/>
  <c r="AA21" i="4" a="1"/>
  <c r="AA21" i="4" s="1"/>
  <c r="AE20" i="4" a="1"/>
  <c r="AE20" i="4" s="1"/>
  <c r="AA22" i="4" a="1"/>
  <c r="AA22" i="4" s="1"/>
  <c r="AI19" i="4" a="1"/>
  <c r="AI19" i="4" s="1"/>
  <c r="AE21" i="4" a="1"/>
  <c r="AE21" i="4" s="1"/>
  <c r="AA23" i="4" a="1"/>
  <c r="AA23" i="4" s="1"/>
  <c r="AI20" i="4" a="1"/>
  <c r="AI20" i="4" s="1"/>
  <c r="AE22" i="4" a="1"/>
  <c r="AE22" i="4" s="1"/>
  <c r="AA18" i="4" a="1"/>
  <c r="AA18" i="4" s="1"/>
  <c r="AI21" i="4" a="1"/>
  <c r="AI21" i="4" s="1"/>
  <c r="AE23" i="4" a="1"/>
  <c r="AE23" i="4" s="1"/>
  <c r="AI22" i="4" a="1"/>
  <c r="AI22" i="4" s="1"/>
  <c r="AA6" i="4" a="1"/>
  <c r="AA6" i="4" s="1"/>
  <c r="AI8" i="4" a="1"/>
  <c r="AI8" i="4" s="1"/>
  <c r="AE6" i="4" a="1"/>
  <c r="AE6" i="4" s="1"/>
  <c r="AA11" i="4" a="1"/>
  <c r="AA11" i="4" s="1"/>
  <c r="AE7" i="4" a="1"/>
  <c r="AE7" i="4" s="1"/>
  <c r="AI9" i="4" a="1"/>
  <c r="AI9" i="4" s="1"/>
  <c r="AA10" i="4" a="1"/>
  <c r="AA10" i="4" s="1"/>
  <c r="AI7" i="4" a="1"/>
  <c r="AI7" i="4" s="1"/>
  <c r="AE8" i="4" a="1"/>
  <c r="AE8" i="4" s="1"/>
  <c r="AI10" i="4" a="1"/>
  <c r="AI10" i="4" s="1"/>
  <c r="AA7" i="4" a="1"/>
  <c r="AA7" i="4" s="1"/>
  <c r="AE9" i="4" a="1"/>
  <c r="AE9" i="4" s="1"/>
  <c r="AI11" i="4" a="1"/>
  <c r="AI11" i="4" s="1"/>
  <c r="AA8" i="4" a="1"/>
  <c r="AA8" i="4" s="1"/>
  <c r="AE10" i="4" a="1"/>
  <c r="AE10" i="4" s="1"/>
  <c r="AI6" i="4" a="1"/>
  <c r="AI6" i="4" s="1"/>
  <c r="AA9" i="4" a="1"/>
  <c r="AA9" i="4" s="1"/>
  <c r="AE11" i="4" a="1"/>
  <c r="AE11" i="4" s="1"/>
  <c r="C45" i="5"/>
  <c r="J2" i="13" l="1" a="1"/>
  <c r="J2" i="13" s="1"/>
  <c r="W19" i="13" a="1"/>
  <c r="W19" i="13" s="1"/>
  <c r="W8" i="13" a="1"/>
  <c r="W8" i="13" s="1"/>
  <c r="W23" i="13" a="1"/>
  <c r="W23" i="13" s="1"/>
  <c r="W22" i="13" a="1"/>
  <c r="W22" i="13" s="1"/>
  <c r="W20" i="13" a="1"/>
  <c r="W20" i="13" s="1"/>
  <c r="W18" i="13" a="1"/>
  <c r="W18" i="13" s="1"/>
  <c r="W10" i="13" a="1"/>
  <c r="W10" i="13" s="1"/>
  <c r="J2" i="4" a="1"/>
  <c r="J2" i="4" s="1"/>
  <c r="W7" i="13" a="1"/>
  <c r="W7" i="13" s="1"/>
  <c r="W6" i="13" a="1"/>
  <c r="W6" i="13" s="1"/>
  <c r="H2" i="13" a="1"/>
  <c r="H2" i="13" s="1"/>
  <c r="F2" i="4" a="1"/>
  <c r="F2" i="4" s="1"/>
  <c r="F2" i="13" a="1"/>
  <c r="F2" i="13" s="1"/>
  <c r="H2" i="4" a="1"/>
  <c r="H2" i="4" s="1"/>
  <c r="W21" i="13" a="1"/>
  <c r="W21" i="13" s="1"/>
  <c r="W11" i="13" a="1"/>
  <c r="W11" i="13" s="1"/>
  <c r="W9" i="13" a="1"/>
  <c r="W9" i="13" s="1"/>
  <c r="W23" i="12" a="1"/>
  <c r="W23" i="12" s="1"/>
  <c r="W22" i="12" a="1"/>
  <c r="W22" i="12" s="1"/>
  <c r="W21" i="12" a="1"/>
  <c r="W21" i="12" s="1"/>
  <c r="W20" i="12" a="1"/>
  <c r="W20" i="12" s="1"/>
  <c r="W19" i="12" a="1"/>
  <c r="W19" i="12" s="1"/>
  <c r="W18" i="12" a="1"/>
  <c r="W18" i="12" s="1"/>
  <c r="W11" i="12" a="1"/>
  <c r="W11" i="12" s="1"/>
  <c r="W10" i="12" a="1"/>
  <c r="W10" i="12" s="1"/>
  <c r="W9" i="12" a="1"/>
  <c r="W9" i="12" s="1"/>
  <c r="W8" i="12" a="1"/>
  <c r="W8" i="12" s="1"/>
  <c r="W7" i="12" a="1"/>
  <c r="W7" i="12" s="1"/>
  <c r="W6" i="12" a="1"/>
  <c r="W6" i="12" s="1"/>
  <c r="F2" i="12" a="1"/>
  <c r="F2" i="12" s="1"/>
  <c r="H2" i="12" a="1"/>
  <c r="H2" i="12" s="1"/>
  <c r="J2" i="12" a="1"/>
  <c r="J2" i="12" s="1"/>
  <c r="W21" i="4" a="1"/>
  <c r="W21" i="4" s="1"/>
  <c r="W22" i="4" a="1"/>
  <c r="W22" i="4" s="1"/>
  <c r="W18" i="4" a="1"/>
  <c r="W18" i="4" s="1"/>
  <c r="W23" i="4" a="1"/>
  <c r="W23" i="4" s="1"/>
  <c r="W20" i="4" a="1"/>
  <c r="W20" i="4" s="1"/>
  <c r="W19" i="4" a="1"/>
  <c r="W19" i="4" s="1"/>
  <c r="W6" i="4" a="1"/>
  <c r="W6" i="4" s="1"/>
  <c r="W10" i="4" a="1"/>
  <c r="W10" i="4" s="1"/>
  <c r="W11" i="4" a="1"/>
  <c r="W11" i="4" s="1"/>
  <c r="W8" i="4" a="1"/>
  <c r="W8" i="4" s="1"/>
  <c r="W7" i="4" a="1"/>
  <c r="W7" i="4" s="1"/>
  <c r="W9" i="4" a="1"/>
  <c r="W9" i="4" s="1"/>
  <c r="C2" i="13" l="1"/>
  <c r="C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tc={019F07DE-1206-4123-982D-971E945AA6E0}</author>
    <author>tc={BF326296-0559-4F54-9643-4C2123E84F01}</author>
    <author>tc={24AA6E88-3410-4EE0-8225-C89425FC308E}</author>
    <author>tc={4A03E5BB-0A99-4515-9FC3-BC767A28333A}</author>
    <author>tc={4E94F689-4542-4448-899A-FF89CAE58E17}</author>
    <author>tc={6CE37636-4727-4B69-8590-7CD15E21E9F5}</author>
    <author>tc={6DF4AF0A-787E-4FC3-B039-A444ADB5E663}</author>
  </authors>
  <commentList>
    <comment ref="W3" authorId="0" shapeId="0" xr:uid="{019F07DE-1206-4123-982D-971E945AA6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number of undamaged cars into depot i on day t </t>
      </text>
    </comment>
    <comment ref="W15" authorId="1" shapeId="0" xr:uid="{BF326296-0559-4F54-9643-4C2123E84F0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number of damaged cars into depot i on day t </t>
      </text>
    </comment>
    <comment ref="W27" authorId="2" shapeId="0" xr:uid="{24AA6E88-3410-4EE0-8225-C89425FC308E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number of undamaged cars out of depot i on day t</t>
      </text>
    </comment>
    <comment ref="W39" authorId="3" shapeId="0" xr:uid="{4A03E5BB-0A99-4515-9FC3-BC767A28333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number of damaged cars out of depot i on day t </t>
      </text>
    </comment>
    <comment ref="W51" authorId="4" shapeId="0" xr:uid="{4E94F689-4542-4448-899A-FF89CAE58E1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Repair capacity of depot i on all days </t>
      </text>
    </comment>
    <comment ref="W63" authorId="5" shapeId="0" xr:uid="{6CE37636-4727-4B69-8590-7CD15E21E9F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Demand at depot i on day t </t>
      </text>
    </comment>
    <comment ref="W75" authorId="6" shapeId="0" xr:uid="{6DF4AF0A-787E-4FC3-B039-A444ADB5E6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number of cars equals number hired out from all depots on Monday for 3 days, plus those on Tuesday for 2 or 3 days, plus all damaged and undamaged cars in depots at the beginning of Wednesday.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tc={26E5546C-F036-4C86-A09E-12C740A961B2}</author>
    <author>tc={48FD53CB-28D4-4E03-AEE9-AD020DB4E3BF}</author>
    <author>tc={CEB56C2C-6EC6-4B6C-92FA-91FFAC9073ED}</author>
    <author>tc={19F40578-16C7-48D5-8863-517069466B14}</author>
    <author>tc={7601BE9F-9ABB-49E5-B9E0-D3B37E23694F}</author>
  </authors>
  <commentList>
    <comment ref="W3" authorId="0" shapeId="0" xr:uid="{26E5546C-F036-4C86-A09E-12C740A961B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number of undamaged cars into depot i on day t </t>
      </text>
    </comment>
    <comment ref="W15" authorId="1" shapeId="0" xr:uid="{48FD53CB-28D4-4E03-AEE9-AD020DB4E3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number of damaged cars into depot i on day t </t>
      </text>
    </comment>
    <comment ref="W27" authorId="2" shapeId="0" xr:uid="{CEB56C2C-6EC6-4B6C-92FA-91FFAC9073ED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number of undamaged cars out of depot i on day t</t>
      </text>
    </comment>
    <comment ref="W39" authorId="3" shapeId="0" xr:uid="{19F40578-16C7-48D5-8863-517069466B1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number of damaged cars out of depot i on day t </t>
      </text>
    </comment>
    <comment ref="W52" authorId="4" shapeId="0" xr:uid="{7601BE9F-9ABB-49E5-B9E0-D3B37E2369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number of cars equals number hired out from all depots on Monday for 3 days, plus those on Tuesday for 2 or 3 days, plus all damaged and undamaged cars in depots at the beginning of Wednesday.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<sst xmlns="http://schemas.openxmlformats.org/spreadsheetml/2006/main" count="1205" uniqueCount="83">
  <si>
    <t>Monday</t>
  </si>
  <si>
    <t>Tuesday</t>
  </si>
  <si>
    <t>Wednesday</t>
  </si>
  <si>
    <t>Thursday</t>
  </si>
  <si>
    <t>Friday</t>
  </si>
  <si>
    <t>Saturday</t>
  </si>
  <si>
    <t>Glasgow</t>
  </si>
  <si>
    <t>Birmingham</t>
  </si>
  <si>
    <t>Plymouth</t>
  </si>
  <si>
    <t>Manchester</t>
  </si>
  <si>
    <t>Day</t>
  </si>
  <si>
    <t>Depot</t>
  </si>
  <si>
    <t>Marginal Cost</t>
  </si>
  <si>
    <t>PERCENTAGE OF CARS HIRED FROM EACH DEPOT AND RETURNED TO A GIVEN DEPOT (INDEPENDENT OF DAY)</t>
  </si>
  <si>
    <t>ESTIMATED DEMAND FOR EACH DAY OF THE WEEK (EXCEPT SUNDAY)</t>
  </si>
  <si>
    <t>From</t>
  </si>
  <si>
    <t>Repair Capacity (Cars/Day)</t>
  </si>
  <si>
    <t>-</t>
  </si>
  <si>
    <t>TRANSFER COST (£) FOR EACH CAR</t>
  </si>
  <si>
    <t>REPAIR CAPACITY (CARS/DAY) IN EACH DEPOT</t>
  </si>
  <si>
    <t>RENTAL PRICE BASED ON NO. OF DAYS HIRED AND DESTINATION DEPOT</t>
  </si>
  <si>
    <t>Return Depot</t>
  </si>
  <si>
    <t>Same</t>
  </si>
  <si>
    <t>Another</t>
  </si>
  <si>
    <t>2-Day</t>
  </si>
  <si>
    <t>3-Day</t>
  </si>
  <si>
    <t>MARGINAL COST OF RENTING A CAR</t>
  </si>
  <si>
    <t>PERCENTAGES OF CARS HIRED AND RETURNED TO A DEPOT</t>
  </si>
  <si>
    <t>Percentage of Cars Hired</t>
  </si>
  <si>
    <t>DISCOUNT DETAILS</t>
  </si>
  <si>
    <t>Hire Day Count</t>
  </si>
  <si>
    <t>Discount Amount</t>
  </si>
  <si>
    <t>OBJECTIVE</t>
  </si>
  <si>
    <t>DECISION VARIABLES</t>
  </si>
  <si>
    <t>=</t>
  </si>
  <si>
    <t>i</t>
  </si>
  <si>
    <t>j</t>
  </si>
  <si>
    <t>Constraint 7</t>
  </si>
  <si>
    <t>Constraint 6</t>
  </si>
  <si>
    <t>Constraint 5</t>
  </si>
  <si>
    <t>Constraint 4</t>
  </si>
  <si>
    <t>Constraint 1</t>
  </si>
  <si>
    <t>Constraint 2</t>
  </si>
  <si>
    <t>Constraint 3</t>
  </si>
  <si>
    <r>
      <t xml:space="preserve">    t →
   i </t>
    </r>
    <r>
      <rPr>
        <b/>
        <sz val="9"/>
        <color theme="0"/>
        <rFont val="Calibri"/>
        <family val="2"/>
      </rPr>
      <t>↓</t>
    </r>
  </si>
  <si>
    <r>
      <t xml:space="preserve">    t →
   j </t>
    </r>
    <r>
      <rPr>
        <b/>
        <sz val="9"/>
        <color theme="0"/>
        <rFont val="Calibri"/>
        <family val="2"/>
      </rPr>
      <t>↓</t>
    </r>
  </si>
  <si>
    <t>1</t>
  </si>
  <si>
    <t>2</t>
  </si>
  <si>
    <t>3</t>
  </si>
  <si>
    <t>4</t>
  </si>
  <si>
    <t>5</t>
  </si>
  <si>
    <t>6</t>
  </si>
  <si>
    <t>t</t>
  </si>
  <si>
    <t>k</t>
  </si>
  <si>
    <t>Days</t>
  </si>
  <si>
    <t>Variables</t>
  </si>
  <si>
    <t>Day Number</t>
  </si>
  <si>
    <t>OTHER DETAILS</t>
  </si>
  <si>
    <t>Opportunity Cost</t>
  </si>
  <si>
    <t>Undamaged Cars (%)</t>
  </si>
  <si>
    <t>Damaged Cars (%)</t>
  </si>
  <si>
    <t>Damage Fee</t>
  </si>
  <si>
    <t>Glagow</t>
  </si>
  <si>
    <t>Percentage of Cars Hired for Each Hire Day From Glasgow to Other Depots</t>
  </si>
  <si>
    <t>Percentage of Cars Hired for Each Hire Day From Manchester to Other Depots</t>
  </si>
  <si>
    <t>Percentage of Cars Hired for Each Hire Day From Birmingham to Other Depots</t>
  </si>
  <si>
    <t>Percentage of Cars Hired for Each Hire Day From Plymouth to Other Depots</t>
  </si>
  <si>
    <t>Hire Days</t>
  </si>
  <si>
    <t>1- Day</t>
  </si>
  <si>
    <t>I</t>
  </si>
  <si>
    <t>G+H</t>
  </si>
  <si>
    <t>F</t>
  </si>
  <si>
    <t>E</t>
  </si>
  <si>
    <t>D</t>
  </si>
  <si>
    <t>A</t>
  </si>
  <si>
    <t>B</t>
  </si>
  <si>
    <t>C</t>
  </si>
  <si>
    <t xml:space="preserve"> </t>
  </si>
  <si>
    <t>Constraint 8</t>
  </si>
  <si>
    <t>&lt;=</t>
  </si>
  <si>
    <t>No. of Cars</t>
  </si>
  <si>
    <t>Each Term of the Objective Function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</si>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</sst>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volini"/>
      <family val="4"/>
    </font>
    <font>
      <sz val="9"/>
      <color theme="1"/>
      <name val="Cavolini"/>
      <family val="4"/>
    </font>
    <font>
      <b/>
      <sz val="9"/>
      <color theme="0"/>
      <name val="Cavolini"/>
      <family val="4"/>
    </font>
    <font>
      <sz val="9"/>
      <color theme="0"/>
      <name val="Cavolini"/>
      <family val="4"/>
    </font>
    <font>
      <b/>
      <sz val="9"/>
      <name val="Cavolini"/>
      <family val="4"/>
    </font>
    <font>
      <b/>
      <sz val="9"/>
      <color theme="0"/>
      <name val="Calibri"/>
      <family val="2"/>
    </font>
    <font>
      <b/>
      <sz val="11"/>
      <color theme="1"/>
      <name val="Cavolini"/>
      <family val="4"/>
    </font>
    <font>
      <b/>
      <sz val="16"/>
      <color theme="1"/>
      <name val="Cavolini"/>
      <family val="4"/>
    </font>
    <font>
      <sz val="16"/>
      <color theme="1"/>
      <name val="Cavolini"/>
      <family val="4"/>
    </font>
    <font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8C5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DD75BA"/>
        <bgColor indexed="64"/>
      </patternFill>
    </fill>
    <fill>
      <patternFill patternType="solid">
        <fgColor rgb="FFF1C7E6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66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0"/>
      </right>
      <top style="medium">
        <color indexed="64"/>
      </top>
      <bottom/>
      <diagonal/>
    </border>
    <border>
      <left/>
      <right style="double">
        <color theme="1"/>
      </right>
      <top/>
      <bottom/>
      <diagonal/>
    </border>
    <border>
      <left style="double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/>
      <diagonal/>
    </border>
    <border>
      <left/>
      <right style="double">
        <color theme="1"/>
      </right>
      <top/>
      <bottom style="double">
        <color theme="1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indexed="64"/>
      </right>
      <top/>
      <bottom style="medium">
        <color theme="0"/>
      </bottom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3" borderId="1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9" borderId="1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0" applyFont="1"/>
    <xf numFmtId="0" fontId="4" fillId="11" borderId="15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5" borderId="15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3" fillId="25" borderId="1" xfId="0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center" vertical="center"/>
    </xf>
    <xf numFmtId="0" fontId="3" fillId="25" borderId="17" xfId="0" applyFont="1" applyFill="1" applyBorder="1" applyAlignment="1">
      <alignment horizontal="center" vertical="center"/>
    </xf>
    <xf numFmtId="0" fontId="3" fillId="25" borderId="16" xfId="0" applyFont="1" applyFill="1" applyBorder="1" applyAlignment="1">
      <alignment horizontal="center" vertical="center"/>
    </xf>
    <xf numFmtId="0" fontId="4" fillId="26" borderId="18" xfId="0" applyFont="1" applyFill="1" applyBorder="1" applyAlignment="1">
      <alignment horizontal="center" vertical="center"/>
    </xf>
    <xf numFmtId="0" fontId="4" fillId="26" borderId="19" xfId="0" applyFont="1" applyFill="1" applyBorder="1" applyAlignment="1">
      <alignment horizontal="center" vertical="center"/>
    </xf>
    <xf numFmtId="0" fontId="4" fillId="26" borderId="20" xfId="0" applyFont="1" applyFill="1" applyBorder="1" applyAlignment="1">
      <alignment horizontal="center" vertical="center"/>
    </xf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5" fillId="0" borderId="25" xfId="0" applyFont="1" applyBorder="1"/>
    <xf numFmtId="0" fontId="3" fillId="0" borderId="26" xfId="0" applyFont="1" applyBorder="1"/>
    <xf numFmtId="0" fontId="3" fillId="0" borderId="25" xfId="0" applyFont="1" applyBorder="1"/>
    <xf numFmtId="0" fontId="3" fillId="0" borderId="27" xfId="0" applyFont="1" applyBorder="1"/>
    <xf numFmtId="0" fontId="3" fillId="0" borderId="28" xfId="0" applyFont="1" applyBorder="1"/>
    <xf numFmtId="0" fontId="4" fillId="4" borderId="3" xfId="0" applyFont="1" applyFill="1" applyBorder="1" applyAlignment="1">
      <alignment horizontal="center" vertical="center" wrapText="1"/>
    </xf>
    <xf numFmtId="0" fontId="4" fillId="26" borderId="4" xfId="0" applyFont="1" applyFill="1" applyBorder="1" applyAlignment="1">
      <alignment horizontal="left" vertical="top" wrapText="1"/>
    </xf>
    <xf numFmtId="0" fontId="4" fillId="26" borderId="30" xfId="0" applyFont="1" applyFill="1" applyBorder="1" applyAlignment="1">
      <alignment horizontal="left" vertical="top" wrapText="1"/>
    </xf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38" xfId="0" applyFont="1" applyBorder="1"/>
    <xf numFmtId="0" fontId="3" fillId="0" borderId="39" xfId="0" applyFont="1" applyBorder="1"/>
    <xf numFmtId="0" fontId="4" fillId="26" borderId="36" xfId="0" applyFont="1" applyFill="1" applyBorder="1" applyAlignment="1">
      <alignment horizontal="center" vertical="center"/>
    </xf>
    <xf numFmtId="0" fontId="4" fillId="26" borderId="37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3" fillId="25" borderId="46" xfId="0" applyFont="1" applyFill="1" applyBorder="1" applyAlignment="1">
      <alignment horizontal="center" vertical="center"/>
    </xf>
    <xf numFmtId="0" fontId="3" fillId="25" borderId="42" xfId="0" applyFont="1" applyFill="1" applyBorder="1" applyAlignment="1">
      <alignment horizontal="center" vertical="center"/>
    </xf>
    <xf numFmtId="0" fontId="4" fillId="26" borderId="47" xfId="0" applyFont="1" applyFill="1" applyBorder="1" applyAlignment="1">
      <alignment horizontal="center" vertical="center"/>
    </xf>
    <xf numFmtId="0" fontId="3" fillId="25" borderId="43" xfId="0" applyFont="1" applyFill="1" applyBorder="1" applyAlignment="1">
      <alignment horizontal="center" vertical="center"/>
    </xf>
    <xf numFmtId="0" fontId="3" fillId="25" borderId="44" xfId="0" applyFont="1" applyFill="1" applyBorder="1" applyAlignment="1">
      <alignment horizontal="center" vertical="center"/>
    </xf>
    <xf numFmtId="0" fontId="3" fillId="25" borderId="4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48" xfId="0" applyFont="1" applyFill="1" applyBorder="1" applyAlignment="1">
      <alignment horizontal="center" vertical="center"/>
    </xf>
    <xf numFmtId="0" fontId="2" fillId="7" borderId="49" xfId="0" applyFont="1" applyFill="1" applyBorder="1" applyAlignment="1">
      <alignment horizontal="center" vertical="center"/>
    </xf>
    <xf numFmtId="0" fontId="4" fillId="20" borderId="15" xfId="0" applyFont="1" applyFill="1" applyBorder="1" applyAlignment="1">
      <alignment horizontal="right" vertical="top" wrapText="1"/>
    </xf>
    <xf numFmtId="0" fontId="4" fillId="19" borderId="15" xfId="0" applyFont="1" applyFill="1" applyBorder="1" applyAlignment="1">
      <alignment horizontal="right" vertical="top" wrapText="1"/>
    </xf>
    <xf numFmtId="0" fontId="4" fillId="21" borderId="9" xfId="0" applyFont="1" applyFill="1" applyBorder="1" applyAlignment="1">
      <alignment horizontal="right" vertical="top" wrapText="1"/>
    </xf>
    <xf numFmtId="0" fontId="4" fillId="18" borderId="7" xfId="0" applyFont="1" applyFill="1" applyBorder="1" applyAlignment="1">
      <alignment horizontal="center" vertical="top" wrapText="1"/>
    </xf>
    <xf numFmtId="0" fontId="4" fillId="19" borderId="15" xfId="0" applyFont="1" applyFill="1" applyBorder="1" applyAlignment="1">
      <alignment horizontal="center" vertical="center" wrapText="1"/>
    </xf>
    <xf numFmtId="0" fontId="4" fillId="16" borderId="9" xfId="0" applyFont="1" applyFill="1" applyBorder="1" applyAlignment="1">
      <alignment horizontal="center" vertical="top" wrapText="1"/>
    </xf>
    <xf numFmtId="0" fontId="4" fillId="23" borderId="9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right" vertical="top" wrapText="1"/>
    </xf>
    <xf numFmtId="0" fontId="4" fillId="23" borderId="11" xfId="0" applyFont="1" applyFill="1" applyBorder="1" applyAlignment="1">
      <alignment horizontal="center" vertical="center" wrapText="1"/>
    </xf>
    <xf numFmtId="0" fontId="4" fillId="23" borderId="15" xfId="0" applyFont="1" applyFill="1" applyBorder="1" applyAlignment="1">
      <alignment horizontal="center" vertical="center" wrapText="1"/>
    </xf>
    <xf numFmtId="0" fontId="4" fillId="26" borderId="50" xfId="0" applyFont="1" applyFill="1" applyBorder="1" applyAlignment="1">
      <alignment horizontal="center" vertical="center"/>
    </xf>
    <xf numFmtId="0" fontId="3" fillId="25" borderId="51" xfId="0" applyFont="1" applyFill="1" applyBorder="1" applyAlignment="1">
      <alignment horizontal="center" vertical="center"/>
    </xf>
    <xf numFmtId="0" fontId="3" fillId="2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30" borderId="1" xfId="0" applyFont="1" applyFill="1" applyBorder="1" applyAlignment="1">
      <alignment horizontal="center"/>
    </xf>
    <xf numFmtId="0" fontId="4" fillId="20" borderId="8" xfId="0" applyFont="1" applyFill="1" applyBorder="1" applyAlignment="1">
      <alignment horizontal="center" vertical="center" wrapText="1"/>
    </xf>
    <xf numFmtId="0" fontId="4" fillId="20" borderId="29" xfId="0" applyFont="1" applyFill="1" applyBorder="1" applyAlignment="1">
      <alignment horizontal="center" vertical="center" wrapText="1"/>
    </xf>
    <xf numFmtId="0" fontId="4" fillId="20" borderId="7" xfId="0" applyFont="1" applyFill="1" applyBorder="1" applyAlignment="1">
      <alignment horizontal="center" vertical="center" wrapText="1"/>
    </xf>
    <xf numFmtId="0" fontId="4" fillId="18" borderId="29" xfId="0" applyFont="1" applyFill="1" applyBorder="1" applyAlignment="1">
      <alignment horizontal="center" vertical="center" wrapText="1"/>
    </xf>
    <xf numFmtId="0" fontId="4" fillId="18" borderId="7" xfId="0" applyFont="1" applyFill="1" applyBorder="1" applyAlignment="1">
      <alignment horizontal="center" vertical="center" wrapText="1"/>
    </xf>
    <xf numFmtId="0" fontId="2" fillId="31" borderId="3" xfId="0" applyFont="1" applyFill="1" applyBorder="1" applyAlignment="1">
      <alignment horizontal="left" vertical="center"/>
    </xf>
    <xf numFmtId="0" fontId="2" fillId="31" borderId="3" xfId="0" applyFont="1" applyFill="1" applyBorder="1"/>
    <xf numFmtId="0" fontId="2" fillId="32" borderId="3" xfId="0" applyFont="1" applyFill="1" applyBorder="1" applyAlignment="1">
      <alignment horizontal="center" vertical="center"/>
    </xf>
    <xf numFmtId="0" fontId="6" fillId="24" borderId="6" xfId="0" applyFont="1" applyFill="1" applyBorder="1" applyAlignment="1">
      <alignment horizontal="center" vertical="center"/>
    </xf>
    <xf numFmtId="0" fontId="6" fillId="24" borderId="13" xfId="0" applyFont="1" applyFill="1" applyBorder="1" applyAlignment="1">
      <alignment horizontal="center" vertical="center"/>
    </xf>
    <xf numFmtId="0" fontId="2" fillId="24" borderId="13" xfId="0" applyFont="1" applyFill="1" applyBorder="1" applyAlignment="1">
      <alignment horizontal="center" vertical="center"/>
    </xf>
    <xf numFmtId="0" fontId="2" fillId="24" borderId="4" xfId="0" applyFont="1" applyFill="1" applyBorder="1" applyAlignment="1">
      <alignment horizontal="center" vertical="center"/>
    </xf>
    <xf numFmtId="0" fontId="4" fillId="19" borderId="11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4" fillId="19" borderId="9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9" borderId="40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41" xfId="0" applyFont="1" applyFill="1" applyBorder="1" applyAlignment="1">
      <alignment horizontal="center" vertical="center"/>
    </xf>
    <xf numFmtId="0" fontId="2" fillId="9" borderId="42" xfId="0" applyFont="1" applyFill="1" applyBorder="1" applyAlignment="1">
      <alignment horizontal="center" vertical="center"/>
    </xf>
    <xf numFmtId="0" fontId="4" fillId="21" borderId="8" xfId="0" applyFont="1" applyFill="1" applyBorder="1" applyAlignment="1">
      <alignment horizontal="center" vertical="center"/>
    </xf>
    <xf numFmtId="0" fontId="4" fillId="21" borderId="29" xfId="0" applyFont="1" applyFill="1" applyBorder="1" applyAlignment="1">
      <alignment horizontal="center" vertical="center"/>
    </xf>
    <xf numFmtId="0" fontId="4" fillId="21" borderId="7" xfId="0" applyFont="1" applyFill="1" applyBorder="1" applyAlignment="1">
      <alignment horizontal="center" vertical="center"/>
    </xf>
    <xf numFmtId="0" fontId="2" fillId="9" borderId="43" xfId="0" applyFont="1" applyFill="1" applyBorder="1" applyAlignment="1">
      <alignment horizontal="center" vertical="center"/>
    </xf>
    <xf numFmtId="0" fontId="2" fillId="9" borderId="44" xfId="0" applyFont="1" applyFill="1" applyBorder="1" applyAlignment="1">
      <alignment horizontal="center" vertical="center"/>
    </xf>
    <xf numFmtId="0" fontId="2" fillId="9" borderId="45" xfId="0" applyFont="1" applyFill="1" applyBorder="1" applyAlignment="1">
      <alignment horizontal="center" vertical="center"/>
    </xf>
    <xf numFmtId="0" fontId="2" fillId="12" borderId="40" xfId="0" applyFont="1" applyFill="1" applyBorder="1" applyAlignment="1">
      <alignment horizontal="center" vertical="center"/>
    </xf>
    <xf numFmtId="0" fontId="2" fillId="12" borderId="16" xfId="0" applyFont="1" applyFill="1" applyBorder="1" applyAlignment="1">
      <alignment horizontal="center" vertical="center"/>
    </xf>
    <xf numFmtId="0" fontId="2" fillId="12" borderId="41" xfId="0" applyFont="1" applyFill="1" applyBorder="1" applyAlignment="1">
      <alignment horizontal="center" vertical="center"/>
    </xf>
    <xf numFmtId="0" fontId="2" fillId="12" borderId="42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/>
    </xf>
    <xf numFmtId="0" fontId="2" fillId="12" borderId="43" xfId="0" applyFont="1" applyFill="1" applyBorder="1" applyAlignment="1">
      <alignment horizontal="center" vertical="center"/>
    </xf>
    <xf numFmtId="0" fontId="2" fillId="12" borderId="45" xfId="0" applyFont="1" applyFill="1" applyBorder="1" applyAlignment="1">
      <alignment horizontal="center" vertical="center"/>
    </xf>
    <xf numFmtId="0" fontId="4" fillId="13" borderId="9" xfId="0" applyFont="1" applyFill="1" applyBorder="1" applyAlignment="1">
      <alignment horizontal="center" vertical="top" wrapText="1"/>
    </xf>
    <xf numFmtId="0" fontId="4" fillId="14" borderId="9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2" fillId="22" borderId="41" xfId="0" applyFont="1" applyFill="1" applyBorder="1" applyAlignment="1">
      <alignment horizontal="center" vertical="center"/>
    </xf>
    <xf numFmtId="0" fontId="2" fillId="22" borderId="53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 wrapText="1"/>
    </xf>
    <xf numFmtId="0" fontId="2" fillId="22" borderId="54" xfId="0" applyFont="1" applyFill="1" applyBorder="1" applyAlignment="1">
      <alignment horizontal="center" vertical="center"/>
    </xf>
    <xf numFmtId="0" fontId="2" fillId="17" borderId="41" xfId="0" applyFont="1" applyFill="1" applyBorder="1" applyAlignment="1">
      <alignment horizontal="center" vertical="center"/>
    </xf>
    <xf numFmtId="0" fontId="2" fillId="17" borderId="53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 wrapText="1"/>
    </xf>
    <xf numFmtId="0" fontId="2" fillId="17" borderId="54" xfId="0" applyFont="1" applyFill="1" applyBorder="1" applyAlignment="1">
      <alignment horizontal="center" vertical="center"/>
    </xf>
    <xf numFmtId="0" fontId="3" fillId="0" borderId="3" xfId="0" applyFont="1" applyBorder="1"/>
    <xf numFmtId="0" fontId="2" fillId="33" borderId="3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34" borderId="3" xfId="0" applyFont="1" applyFill="1" applyBorder="1" applyAlignment="1">
      <alignment horizontal="center" vertical="center"/>
    </xf>
    <xf numFmtId="0" fontId="2" fillId="35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25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9" fillId="0" borderId="0" xfId="0" applyFont="1"/>
    <xf numFmtId="0" fontId="10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36" borderId="0" xfId="0" applyFont="1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2" fillId="29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458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9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FFFFFF"/>
        </bottom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FFFFFF"/>
        </bottom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FFFFFF"/>
        </bottom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FFFFFF"/>
        </bottom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FFFFFF"/>
        </bottom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FFFFFF"/>
        </bottom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FFFFFF"/>
        </bottom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FFFFFF"/>
        </bottom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FFFFFF"/>
        </bottom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FFFFFF"/>
        </bottom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FFFFFF"/>
        </bottom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FFFFFF"/>
        </bottom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FFFFFF"/>
        </bottom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FFFFFF"/>
        </bottom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9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0.1499984740745262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rgb="FFE8C5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rgb="FFE8C5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volini"/>
        <family val="4"/>
        <scheme val="none"/>
      </font>
      <fill>
        <patternFill patternType="solid">
          <fgColor indexed="64"/>
          <bgColor rgb="FFE8C5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volini"/>
        <family val="4"/>
        <scheme val="none"/>
      </font>
      <fill>
        <patternFill patternType="solid">
          <fgColor indexed="64"/>
          <bgColor rgb="FFE8C5FF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/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rgb="FF7030A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9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9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volini"/>
        <family val="4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volini"/>
        <family val="4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</dxfs>
  <tableStyles count="0" defaultTableStyle="TableStyleMedium2" defaultPivotStyle="PivotStyleLight16"/>
  <colors>
    <mruColors>
      <color rgb="FFCC6600"/>
      <color rgb="FFEA0000"/>
      <color rgb="FFCC0000"/>
      <color rgb="FFFA6674"/>
      <color rgb="FFF1C7E6"/>
      <color rgb="FFDD75BA"/>
      <color rgb="FFD60093"/>
      <color rgb="FFFF9900"/>
      <color rgb="FFFFCC00"/>
      <color rgb="FFE8C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12</xdr:row>
      <xdr:rowOff>2999</xdr:rowOff>
    </xdr:from>
    <xdr:ext cx="638175" cy="423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0F1853F-06C5-4E54-934F-3B64954DB5A6}"/>
                </a:ext>
              </a:extLst>
            </xdr:cNvPr>
            <xdr:cNvSpPr txBox="1"/>
          </xdr:nvSpPr>
          <xdr:spPr>
            <a:xfrm>
              <a:off x="647700" y="2536649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𝒏𝒖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0F1853F-06C5-4E54-934F-3B64954DB5A6}"/>
                </a:ext>
              </a:extLst>
            </xdr:cNvPr>
            <xdr:cNvSpPr txBox="1"/>
          </xdr:nvSpPr>
          <xdr:spPr>
            <a:xfrm>
              <a:off x="647700" y="2536649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𝒏𝒖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26459</xdr:colOff>
      <xdr:row>19</xdr:row>
      <xdr:rowOff>117656</xdr:rowOff>
    </xdr:from>
    <xdr:ext cx="638175" cy="423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593B0FC-7AF3-4F8F-A49D-89E56ED1B6AC}"/>
                </a:ext>
              </a:extLst>
            </xdr:cNvPr>
            <xdr:cNvSpPr txBox="1"/>
          </xdr:nvSpPr>
          <xdr:spPr>
            <a:xfrm>
              <a:off x="674159" y="4184831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𝒏𝒅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593B0FC-7AF3-4F8F-A49D-89E56ED1B6AC}"/>
                </a:ext>
              </a:extLst>
            </xdr:cNvPr>
            <xdr:cNvSpPr txBox="1"/>
          </xdr:nvSpPr>
          <xdr:spPr>
            <a:xfrm>
              <a:off x="674159" y="4184831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𝒏𝒅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626181</xdr:colOff>
      <xdr:row>27</xdr:row>
      <xdr:rowOff>144110</xdr:rowOff>
    </xdr:from>
    <xdr:ext cx="638175" cy="423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57EF279-4407-4813-953E-075D96308664}"/>
                </a:ext>
              </a:extLst>
            </xdr:cNvPr>
            <xdr:cNvSpPr txBox="1"/>
          </xdr:nvSpPr>
          <xdr:spPr>
            <a:xfrm>
              <a:off x="626181" y="5944835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𝒕𝒓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57EF279-4407-4813-953E-075D96308664}"/>
                </a:ext>
              </a:extLst>
            </xdr:cNvPr>
            <xdr:cNvSpPr txBox="1"/>
          </xdr:nvSpPr>
          <xdr:spPr>
            <a:xfrm>
              <a:off x="626181" y="5944835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𝒕𝒓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35276</xdr:colOff>
      <xdr:row>35</xdr:row>
      <xdr:rowOff>91194</xdr:rowOff>
    </xdr:from>
    <xdr:ext cx="638175" cy="423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0F5DA64-3567-493C-954D-D477D2DC8F33}"/>
                </a:ext>
              </a:extLst>
            </xdr:cNvPr>
            <xdr:cNvSpPr txBox="1"/>
          </xdr:nvSpPr>
          <xdr:spPr>
            <a:xfrm>
              <a:off x="682976" y="7625469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𝒆𝒖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0F5DA64-3567-493C-954D-D477D2DC8F33}"/>
                </a:ext>
              </a:extLst>
            </xdr:cNvPr>
            <xdr:cNvSpPr txBox="1"/>
          </xdr:nvSpPr>
          <xdr:spPr>
            <a:xfrm>
              <a:off x="682976" y="7625469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𝒆𝒖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634998</xdr:colOff>
      <xdr:row>43</xdr:row>
      <xdr:rowOff>11819</xdr:rowOff>
    </xdr:from>
    <xdr:ext cx="638175" cy="423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E86702B-3065-4AB0-A1BF-F20312CDADAF}"/>
                </a:ext>
              </a:extLst>
            </xdr:cNvPr>
            <xdr:cNvSpPr txBox="1"/>
          </xdr:nvSpPr>
          <xdr:spPr>
            <a:xfrm>
              <a:off x="634998" y="9146294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𝒆𝒅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E86702B-3065-4AB0-A1BF-F20312CDADAF}"/>
                </a:ext>
              </a:extLst>
            </xdr:cNvPr>
            <xdr:cNvSpPr txBox="1"/>
          </xdr:nvSpPr>
          <xdr:spPr>
            <a:xfrm>
              <a:off x="634998" y="9146294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𝒆𝒅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44096</xdr:colOff>
      <xdr:row>54</xdr:row>
      <xdr:rowOff>73554</xdr:rowOff>
    </xdr:from>
    <xdr:ext cx="638175" cy="423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B8E8B1A-AD94-48A2-B888-9C94668ED55B}"/>
                </a:ext>
              </a:extLst>
            </xdr:cNvPr>
            <xdr:cNvSpPr txBox="1"/>
          </xdr:nvSpPr>
          <xdr:spPr>
            <a:xfrm>
              <a:off x="691796" y="11541654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𝒕𝒖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𝒊𝒋𝒕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B8E8B1A-AD94-48A2-B888-9C94668ED55B}"/>
                </a:ext>
              </a:extLst>
            </xdr:cNvPr>
            <xdr:cNvSpPr txBox="1"/>
          </xdr:nvSpPr>
          <xdr:spPr>
            <a:xfrm>
              <a:off x="691796" y="11541654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𝒕𝒖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𝒊𝒋𝒕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17640</xdr:colOff>
      <xdr:row>70</xdr:row>
      <xdr:rowOff>20651</xdr:rowOff>
    </xdr:from>
    <xdr:ext cx="638175" cy="423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9F56176-14DA-4340-BB00-D1D0886006FB}"/>
                </a:ext>
              </a:extLst>
            </xdr:cNvPr>
            <xdr:cNvSpPr txBox="1"/>
          </xdr:nvSpPr>
          <xdr:spPr>
            <a:xfrm>
              <a:off x="665340" y="14955851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𝒕𝒅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𝒊𝒋𝒕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9F56176-14DA-4340-BB00-D1D0886006FB}"/>
                </a:ext>
              </a:extLst>
            </xdr:cNvPr>
            <xdr:cNvSpPr txBox="1"/>
          </xdr:nvSpPr>
          <xdr:spPr>
            <a:xfrm>
              <a:off x="665340" y="14955851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𝒕𝒅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𝒊𝒋𝒕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87</xdr:row>
      <xdr:rowOff>0</xdr:rowOff>
    </xdr:from>
    <xdr:ext cx="638175" cy="42386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53118A4-3B4E-4CDA-BB25-14E5EEFF0B8F}"/>
            </a:ext>
          </a:extLst>
        </xdr:cNvPr>
        <xdr:cNvSpPr txBox="1"/>
      </xdr:nvSpPr>
      <xdr:spPr>
        <a:xfrm>
          <a:off x="647700" y="18602325"/>
          <a:ext cx="638175" cy="4238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en-GB" sz="1500" b="1"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oneCellAnchor>
  <xdr:oneCellAnchor>
    <xdr:from>
      <xdr:col>1</xdr:col>
      <xdr:colOff>0</xdr:colOff>
      <xdr:row>80</xdr:row>
      <xdr:rowOff>197045</xdr:rowOff>
    </xdr:from>
    <xdr:ext cx="638175" cy="423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1BAF2686-E016-47D8-9526-AC81F8D71A18}"/>
                </a:ext>
              </a:extLst>
            </xdr:cNvPr>
            <xdr:cNvSpPr txBox="1"/>
          </xdr:nvSpPr>
          <xdr:spPr>
            <a:xfrm>
              <a:off x="647700" y="17265845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𝒓𝒑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1BAF2686-E016-47D8-9526-AC81F8D71A18}"/>
                </a:ext>
              </a:extLst>
            </xdr:cNvPr>
            <xdr:cNvSpPr txBox="1"/>
          </xdr:nvSpPr>
          <xdr:spPr>
            <a:xfrm>
              <a:off x="647700" y="17265845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𝒓𝒑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4</xdr:col>
      <xdr:colOff>27869</xdr:colOff>
      <xdr:row>65</xdr:row>
      <xdr:rowOff>19050</xdr:rowOff>
    </xdr:from>
    <xdr:ext cx="302647" cy="1484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20C0AC8-0AEC-43A9-AF76-0F1595EAAB86}"/>
                </a:ext>
              </a:extLst>
            </xdr:cNvPr>
            <xdr:cNvSpPr txBox="1"/>
          </xdr:nvSpPr>
          <xdr:spPr>
            <a:xfrm>
              <a:off x="2685344" y="13820775"/>
              <a:ext cx="302647" cy="148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1" i="1">
                        <a:latin typeface="Cambria Math" panose="02040503050406030204" pitchFamily="18" charset="0"/>
                      </a:rPr>
                      <m:t>𝒊</m:t>
                    </m:r>
                    <m:r>
                      <a:rPr lang="en-US" sz="9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900" b="1" i="1">
                        <a:latin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en-GB" sz="9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20C0AC8-0AEC-43A9-AF76-0F1595EAAB86}"/>
                </a:ext>
              </a:extLst>
            </xdr:cNvPr>
            <xdr:cNvSpPr txBox="1"/>
          </xdr:nvSpPr>
          <xdr:spPr>
            <a:xfrm>
              <a:off x="2685344" y="13820775"/>
              <a:ext cx="302647" cy="148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900" b="1" i="0">
                  <a:latin typeface="Cambria Math" panose="02040503050406030204" pitchFamily="18" charset="0"/>
                </a:rPr>
                <a:t>𝒊=𝟏</a:t>
              </a:r>
              <a:endParaRPr lang="en-GB" sz="9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17639</xdr:colOff>
      <xdr:row>67</xdr:row>
      <xdr:rowOff>26458</xdr:rowOff>
    </xdr:from>
    <xdr:ext cx="302647" cy="1484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81AC72B-2383-44D4-873D-DE794286BDCB}"/>
                </a:ext>
              </a:extLst>
            </xdr:cNvPr>
            <xdr:cNvSpPr txBox="1"/>
          </xdr:nvSpPr>
          <xdr:spPr>
            <a:xfrm>
              <a:off x="5389739" y="14361583"/>
              <a:ext cx="302647" cy="148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1" i="1">
                        <a:latin typeface="Cambria Math" panose="02040503050406030204" pitchFamily="18" charset="0"/>
                      </a:rPr>
                      <m:t>𝒊</m:t>
                    </m:r>
                    <m:r>
                      <a:rPr lang="en-US" sz="9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900" b="1" i="1">
                        <a:latin typeface="Cambria Math" panose="02040503050406030204" pitchFamily="18" charset="0"/>
                      </a:rPr>
                      <m:t>𝟐</m:t>
                    </m:r>
                  </m:oMath>
                </m:oMathPara>
              </a14:m>
              <a:endParaRPr lang="en-GB" sz="9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81AC72B-2383-44D4-873D-DE794286BDCB}"/>
                </a:ext>
              </a:extLst>
            </xdr:cNvPr>
            <xdr:cNvSpPr txBox="1"/>
          </xdr:nvSpPr>
          <xdr:spPr>
            <a:xfrm>
              <a:off x="5389739" y="14361583"/>
              <a:ext cx="302647" cy="148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900" b="1" i="0">
                  <a:latin typeface="Cambria Math" panose="02040503050406030204" pitchFamily="18" charset="0"/>
                </a:rPr>
                <a:t>𝒊=𝟐</a:t>
              </a:r>
              <a:endParaRPr lang="en-GB" sz="9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102834</xdr:colOff>
      <xdr:row>5</xdr:row>
      <xdr:rowOff>124883</xdr:rowOff>
    </xdr:from>
    <xdr:ext cx="443972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F808D66-32EB-4353-A8AD-91E516B15F11}"/>
                </a:ext>
              </a:extLst>
            </xdr:cNvPr>
            <xdr:cNvSpPr txBox="1"/>
          </xdr:nvSpPr>
          <xdr:spPr>
            <a:xfrm>
              <a:off x="750534" y="112500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1" i="1">
                        <a:latin typeface="Cambria Math" panose="02040503050406030204" pitchFamily="18" charset="0"/>
                      </a:rPr>
                      <m:t>𝒏</m:t>
                    </m:r>
                  </m:oMath>
                </m:oMathPara>
              </a14:m>
              <a:endParaRPr lang="en-GB" sz="2000" b="1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F808D66-32EB-4353-A8AD-91E516B15F11}"/>
                </a:ext>
              </a:extLst>
            </xdr:cNvPr>
            <xdr:cNvSpPr txBox="1"/>
          </xdr:nvSpPr>
          <xdr:spPr>
            <a:xfrm>
              <a:off x="750534" y="112500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2000" b="1" i="0">
                  <a:latin typeface="Cambria Math" panose="02040503050406030204" pitchFamily="18" charset="0"/>
                </a:rPr>
                <a:t>𝒏</a:t>
              </a:r>
              <a:endParaRPr lang="en-GB" sz="2000" b="1"/>
            </a:p>
          </xdr:txBody>
        </xdr:sp>
      </mc:Fallback>
    </mc:AlternateContent>
    <xdr:clientData/>
  </xdr:oneCellAnchor>
  <xdr:twoCellAnchor>
    <xdr:from>
      <xdr:col>61</xdr:col>
      <xdr:colOff>0</xdr:colOff>
      <xdr:row>2</xdr:row>
      <xdr:rowOff>0</xdr:rowOff>
    </xdr:from>
    <xdr:to>
      <xdr:col>62</xdr:col>
      <xdr:colOff>0</xdr:colOff>
      <xdr:row>3</xdr:row>
      <xdr:rowOff>0</xdr:rowOff>
    </xdr:to>
    <xdr:sp macro="" textlink="">
      <xdr:nvSpPr>
        <xdr:cNvPr id="14" name="Right Triangle 13">
          <a:extLst>
            <a:ext uri="{FF2B5EF4-FFF2-40B4-BE49-F238E27FC236}">
              <a16:creationId xmlns:a16="http://schemas.microsoft.com/office/drawing/2014/main" id="{36922869-53C8-4B40-81C5-29965BF7B6A7}"/>
            </a:ext>
          </a:extLst>
        </xdr:cNvPr>
        <xdr:cNvSpPr/>
      </xdr:nvSpPr>
      <xdr:spPr>
        <a:xfrm>
          <a:off x="36137850" y="400050"/>
          <a:ext cx="647700" cy="200025"/>
        </a:xfrm>
        <a:prstGeom prst="rtTriangle">
          <a:avLst/>
        </a:prstGeom>
        <a:solidFill>
          <a:schemeClr val="accent2">
            <a:lumMod val="7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 baseline="0">
              <a:solidFill>
                <a:schemeClr val="bg1"/>
              </a:solidFill>
              <a:latin typeface="Cavolini" panose="03000502040302020204" pitchFamily="66" charset="0"/>
              <a:cs typeface="Cavolini" panose="03000502040302020204" pitchFamily="66" charset="0"/>
            </a:rPr>
            <a:t>Depot</a:t>
          </a:r>
        </a:p>
      </xdr:txBody>
    </xdr:sp>
    <xdr:clientData/>
  </xdr:twoCellAnchor>
  <xdr:twoCellAnchor>
    <xdr:from>
      <xdr:col>61</xdr:col>
      <xdr:colOff>0</xdr:colOff>
      <xdr:row>2</xdr:row>
      <xdr:rowOff>0</xdr:rowOff>
    </xdr:from>
    <xdr:to>
      <xdr:col>62</xdr:col>
      <xdr:colOff>0</xdr:colOff>
      <xdr:row>3</xdr:row>
      <xdr:rowOff>0</xdr:rowOff>
    </xdr:to>
    <xdr:sp macro="" textlink="">
      <xdr:nvSpPr>
        <xdr:cNvPr id="15" name="Right Triangle 14">
          <a:extLst>
            <a:ext uri="{FF2B5EF4-FFF2-40B4-BE49-F238E27FC236}">
              <a16:creationId xmlns:a16="http://schemas.microsoft.com/office/drawing/2014/main" id="{7325204B-8AAC-4682-B9C9-984E2CFE129C}"/>
            </a:ext>
          </a:extLst>
        </xdr:cNvPr>
        <xdr:cNvSpPr/>
      </xdr:nvSpPr>
      <xdr:spPr>
        <a:xfrm>
          <a:off x="36137850" y="400050"/>
          <a:ext cx="647700" cy="200025"/>
        </a:xfrm>
        <a:prstGeom prst="rtTriangle">
          <a:avLst/>
        </a:prstGeom>
        <a:solidFill>
          <a:schemeClr val="accent2">
            <a:lumMod val="7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 b="1" baseline="0">
              <a:solidFill>
                <a:schemeClr val="bg1"/>
              </a:solidFill>
              <a:latin typeface="Cavolini" panose="03000502040302020204" pitchFamily="66" charset="0"/>
              <a:cs typeface="Cavolini" panose="03000502040302020204" pitchFamily="66" charset="0"/>
            </a:rPr>
            <a:t>-</a:t>
          </a:r>
        </a:p>
      </xdr:txBody>
    </xdr:sp>
    <xdr:clientData/>
  </xdr:twoCellAnchor>
  <xdr:twoCellAnchor>
    <xdr:from>
      <xdr:col>61</xdr:col>
      <xdr:colOff>0</xdr:colOff>
      <xdr:row>7</xdr:row>
      <xdr:rowOff>0</xdr:rowOff>
    </xdr:from>
    <xdr:to>
      <xdr:col>62</xdr:col>
      <xdr:colOff>0</xdr:colOff>
      <xdr:row>8</xdr:row>
      <xdr:rowOff>0</xdr:rowOff>
    </xdr:to>
    <xdr:sp macro="" textlink="">
      <xdr:nvSpPr>
        <xdr:cNvPr id="16" name="Right Triangle 15">
          <a:extLst>
            <a:ext uri="{FF2B5EF4-FFF2-40B4-BE49-F238E27FC236}">
              <a16:creationId xmlns:a16="http://schemas.microsoft.com/office/drawing/2014/main" id="{D0B740EF-26ED-4E7F-8D22-A4F525FC5DC8}"/>
            </a:ext>
          </a:extLst>
        </xdr:cNvPr>
        <xdr:cNvSpPr/>
      </xdr:nvSpPr>
      <xdr:spPr>
        <a:xfrm>
          <a:off x="36137850" y="1400175"/>
          <a:ext cx="647700" cy="200025"/>
        </a:xfrm>
        <a:prstGeom prst="rtTriangle">
          <a:avLst/>
        </a:prstGeom>
        <a:solidFill>
          <a:schemeClr val="accent6">
            <a:lumMod val="7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 b="1">
              <a:solidFill>
                <a:schemeClr val="bg1"/>
              </a:solidFill>
              <a:latin typeface="Cavolini" panose="03000502040302020204" pitchFamily="66" charset="0"/>
              <a:cs typeface="Cavolini" panose="03000502040302020204" pitchFamily="66" charset="0"/>
            </a:rPr>
            <a:t>Day</a:t>
          </a:r>
          <a:endParaRPr lang="en-GB" sz="1000" b="1">
            <a:solidFill>
              <a:schemeClr val="bg1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oneCellAnchor>
    <xdr:from>
      <xdr:col>1</xdr:col>
      <xdr:colOff>102834</xdr:colOff>
      <xdr:row>87</xdr:row>
      <xdr:rowOff>124883</xdr:rowOff>
    </xdr:from>
    <xdr:ext cx="443972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D08FDAE-5C37-4AD1-B687-2323FCE6355A}"/>
                </a:ext>
              </a:extLst>
            </xdr:cNvPr>
            <xdr:cNvSpPr txBox="1"/>
          </xdr:nvSpPr>
          <xdr:spPr>
            <a:xfrm>
              <a:off x="750534" y="1872720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1" i="1">
                        <a:latin typeface="Cambria Math" panose="02040503050406030204" pitchFamily="18" charset="0"/>
                      </a:rPr>
                      <m:t>𝒎</m:t>
                    </m:r>
                    <m:r>
                      <a:rPr lang="en-US" sz="2000" b="1" i="1">
                        <a:latin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en-GB" sz="2000" b="1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D08FDAE-5C37-4AD1-B687-2323FCE6355A}"/>
                </a:ext>
              </a:extLst>
            </xdr:cNvPr>
            <xdr:cNvSpPr txBox="1"/>
          </xdr:nvSpPr>
          <xdr:spPr>
            <a:xfrm>
              <a:off x="750534" y="1872720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2000" b="1" i="0">
                  <a:latin typeface="Cambria Math" panose="02040503050406030204" pitchFamily="18" charset="0"/>
                </a:rPr>
                <a:t>𝒎𝟏</a:t>
              </a:r>
              <a:endParaRPr lang="en-GB" sz="2000" b="1"/>
            </a:p>
          </xdr:txBody>
        </xdr:sp>
      </mc:Fallback>
    </mc:AlternateContent>
    <xdr:clientData/>
  </xdr:oneCellAnchor>
  <xdr:oneCellAnchor>
    <xdr:from>
      <xdr:col>6</xdr:col>
      <xdr:colOff>102834</xdr:colOff>
      <xdr:row>87</xdr:row>
      <xdr:rowOff>124883</xdr:rowOff>
    </xdr:from>
    <xdr:ext cx="443972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B5946637-DBB5-447E-B2A7-7F4D46EA3C7B}"/>
                </a:ext>
              </a:extLst>
            </xdr:cNvPr>
            <xdr:cNvSpPr txBox="1"/>
          </xdr:nvSpPr>
          <xdr:spPr>
            <a:xfrm>
              <a:off x="3388959" y="1872720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1" i="1">
                        <a:latin typeface="Cambria Math" panose="02040503050406030204" pitchFamily="18" charset="0"/>
                      </a:rPr>
                      <m:t>𝒎</m:t>
                    </m:r>
                    <m:r>
                      <a:rPr lang="en-US" sz="2000" b="1" i="1">
                        <a:latin typeface="Cambria Math" panose="02040503050406030204" pitchFamily="18" charset="0"/>
                      </a:rPr>
                      <m:t>𝟐</m:t>
                    </m:r>
                  </m:oMath>
                </m:oMathPara>
              </a14:m>
              <a:endParaRPr lang="en-GB" sz="2000" b="1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B5946637-DBB5-447E-B2A7-7F4D46EA3C7B}"/>
                </a:ext>
              </a:extLst>
            </xdr:cNvPr>
            <xdr:cNvSpPr txBox="1"/>
          </xdr:nvSpPr>
          <xdr:spPr>
            <a:xfrm>
              <a:off x="3388959" y="1872720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2000" b="1" i="0">
                  <a:latin typeface="Cambria Math" panose="02040503050406030204" pitchFamily="18" charset="0"/>
                </a:rPr>
                <a:t>𝒎𝟐</a:t>
              </a:r>
              <a:endParaRPr lang="en-GB" sz="2000" b="1"/>
            </a:p>
          </xdr:txBody>
        </xdr:sp>
      </mc:Fallback>
    </mc:AlternateContent>
    <xdr:clientData/>
  </xdr:oneCellAnchor>
  <xdr:oneCellAnchor>
    <xdr:from>
      <xdr:col>11</xdr:col>
      <xdr:colOff>102834</xdr:colOff>
      <xdr:row>87</xdr:row>
      <xdr:rowOff>124883</xdr:rowOff>
    </xdr:from>
    <xdr:ext cx="443972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676A333E-1AF3-4E24-BBC0-29CA3014A2AA}"/>
                </a:ext>
              </a:extLst>
            </xdr:cNvPr>
            <xdr:cNvSpPr txBox="1"/>
          </xdr:nvSpPr>
          <xdr:spPr>
            <a:xfrm>
              <a:off x="5474934" y="1872720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1" i="1">
                        <a:latin typeface="Cambria Math" panose="02040503050406030204" pitchFamily="18" charset="0"/>
                      </a:rPr>
                      <m:t>𝒑</m:t>
                    </m:r>
                    <m:r>
                      <a:rPr lang="en-US" sz="2000" b="1" i="1">
                        <a:latin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en-GB" sz="2000" b="1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676A333E-1AF3-4E24-BBC0-29CA3014A2AA}"/>
                </a:ext>
              </a:extLst>
            </xdr:cNvPr>
            <xdr:cNvSpPr txBox="1"/>
          </xdr:nvSpPr>
          <xdr:spPr>
            <a:xfrm>
              <a:off x="5474934" y="1872720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2000" b="1" i="0">
                  <a:latin typeface="Cambria Math" panose="02040503050406030204" pitchFamily="18" charset="0"/>
                </a:rPr>
                <a:t>𝒑𝟏</a:t>
              </a:r>
              <a:endParaRPr lang="en-GB" sz="2000" b="1"/>
            </a:p>
          </xdr:txBody>
        </xdr:sp>
      </mc:Fallback>
    </mc:AlternateContent>
    <xdr:clientData/>
  </xdr:oneCellAnchor>
  <xdr:oneCellAnchor>
    <xdr:from>
      <xdr:col>1</xdr:col>
      <xdr:colOff>102834</xdr:colOff>
      <xdr:row>91</xdr:row>
      <xdr:rowOff>124883</xdr:rowOff>
    </xdr:from>
    <xdr:ext cx="443972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09A94A0-020D-4952-9828-7EBB2AEC5C2F}"/>
                </a:ext>
              </a:extLst>
            </xdr:cNvPr>
            <xdr:cNvSpPr txBox="1"/>
          </xdr:nvSpPr>
          <xdr:spPr>
            <a:xfrm>
              <a:off x="750534" y="1952730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1" i="1">
                        <a:latin typeface="Cambria Math" panose="02040503050406030204" pitchFamily="18" charset="0"/>
                      </a:rPr>
                      <m:t>𝒃</m:t>
                    </m:r>
                    <m:r>
                      <a:rPr lang="en-US" sz="2000" b="1" i="1">
                        <a:latin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en-GB" sz="2000" b="1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09A94A0-020D-4952-9828-7EBB2AEC5C2F}"/>
                </a:ext>
              </a:extLst>
            </xdr:cNvPr>
            <xdr:cNvSpPr txBox="1"/>
          </xdr:nvSpPr>
          <xdr:spPr>
            <a:xfrm>
              <a:off x="750534" y="1952730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2000" b="1" i="0">
                  <a:latin typeface="Cambria Math" panose="02040503050406030204" pitchFamily="18" charset="0"/>
                </a:rPr>
                <a:t>𝒃𝟏</a:t>
              </a:r>
              <a:endParaRPr lang="en-GB" sz="2000" b="1"/>
            </a:p>
          </xdr:txBody>
        </xdr:sp>
      </mc:Fallback>
    </mc:AlternateContent>
    <xdr:clientData/>
  </xdr:oneCellAnchor>
  <xdr:oneCellAnchor>
    <xdr:from>
      <xdr:col>6</xdr:col>
      <xdr:colOff>102834</xdr:colOff>
      <xdr:row>91</xdr:row>
      <xdr:rowOff>124883</xdr:rowOff>
    </xdr:from>
    <xdr:ext cx="443972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D9754D0-55C3-4FFE-AB13-2E8ECA08B406}"/>
                </a:ext>
              </a:extLst>
            </xdr:cNvPr>
            <xdr:cNvSpPr txBox="1"/>
          </xdr:nvSpPr>
          <xdr:spPr>
            <a:xfrm>
              <a:off x="3388959" y="1952730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1" i="1">
                        <a:latin typeface="Cambria Math" panose="02040503050406030204" pitchFamily="18" charset="0"/>
                      </a:rPr>
                      <m:t>𝒃</m:t>
                    </m:r>
                    <m:r>
                      <a:rPr lang="en-US" sz="2000" b="1" i="1">
                        <a:latin typeface="Cambria Math" panose="02040503050406030204" pitchFamily="18" charset="0"/>
                      </a:rPr>
                      <m:t>𝟐</m:t>
                    </m:r>
                  </m:oMath>
                </m:oMathPara>
              </a14:m>
              <a:endParaRPr lang="en-GB" sz="2000" b="1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D9754D0-55C3-4FFE-AB13-2E8ECA08B406}"/>
                </a:ext>
              </a:extLst>
            </xdr:cNvPr>
            <xdr:cNvSpPr txBox="1"/>
          </xdr:nvSpPr>
          <xdr:spPr>
            <a:xfrm>
              <a:off x="3388959" y="1952730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2000" b="1" i="0">
                  <a:latin typeface="Cambria Math" panose="02040503050406030204" pitchFamily="18" charset="0"/>
                </a:rPr>
                <a:t>𝒃𝟐</a:t>
              </a:r>
              <a:endParaRPr lang="en-GB" sz="2000" b="1"/>
            </a:p>
          </xdr:txBody>
        </xdr:sp>
      </mc:Fallback>
    </mc:AlternateContent>
    <xdr:clientData/>
  </xdr:oneCellAnchor>
  <xdr:twoCellAnchor>
    <xdr:from>
      <xdr:col>6</xdr:col>
      <xdr:colOff>678296</xdr:colOff>
      <xdr:row>5</xdr:row>
      <xdr:rowOff>14432</xdr:rowOff>
    </xdr:from>
    <xdr:to>
      <xdr:col>12</xdr:col>
      <xdr:colOff>72017</xdr:colOff>
      <xdr:row>7</xdr:row>
      <xdr:rowOff>101425</xdr:rowOff>
    </xdr:to>
    <xdr:sp macro="" textlink="">
      <xdr:nvSpPr>
        <xdr:cNvPr id="22" name="Callout: Left Arrow 21">
          <a:extLst>
            <a:ext uri="{FF2B5EF4-FFF2-40B4-BE49-F238E27FC236}">
              <a16:creationId xmlns:a16="http://schemas.microsoft.com/office/drawing/2014/main" id="{8696F9DD-993B-4E2D-A473-72482C8F0DB3}"/>
            </a:ext>
          </a:extLst>
        </xdr:cNvPr>
        <xdr:cNvSpPr/>
      </xdr:nvSpPr>
      <xdr:spPr>
        <a:xfrm>
          <a:off x="3964421" y="1014557"/>
          <a:ext cx="1974996" cy="487043"/>
        </a:xfrm>
        <a:prstGeom prst="leftArrowCallou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  <a:latin typeface="Cavolini" panose="03000502040302020204" pitchFamily="66" charset="0"/>
              <a:cs typeface="Cavolini" panose="03000502040302020204" pitchFamily="66" charset="0"/>
            </a:rPr>
            <a:t>Number</a:t>
          </a:r>
          <a:r>
            <a:rPr lang="en-GB" sz="1100" b="1" baseline="0">
              <a:solidFill>
                <a:sysClr val="windowText" lastClr="000000"/>
              </a:solidFill>
              <a:latin typeface="Cavolini" panose="03000502040302020204" pitchFamily="66" charset="0"/>
              <a:cs typeface="Cavolini" panose="03000502040302020204" pitchFamily="66" charset="0"/>
            </a:rPr>
            <a:t> of Cars, n</a:t>
          </a:r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10</xdr:col>
      <xdr:colOff>175126</xdr:colOff>
      <xdr:row>10</xdr:row>
      <xdr:rowOff>24434</xdr:rowOff>
    </xdr:from>
    <xdr:to>
      <xdr:col>16</xdr:col>
      <xdr:colOff>435071</xdr:colOff>
      <xdr:row>15</xdr:row>
      <xdr:rowOff>44639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llout: Left Arrow 22">
              <a:extLst>
                <a:ext uri="{FF2B5EF4-FFF2-40B4-BE49-F238E27FC236}">
                  <a16:creationId xmlns:a16="http://schemas.microsoft.com/office/drawing/2014/main" id="{0B583694-0A43-4CA0-B5FD-4FCF975BFE30}"/>
                </a:ext>
              </a:extLst>
            </xdr:cNvPr>
            <xdr:cNvSpPr/>
          </xdr:nvSpPr>
          <xdr:spPr>
            <a:xfrm>
              <a:off x="5232901" y="2024684"/>
              <a:ext cx="2326870" cy="1153680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𝒏𝒖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undamaged cars at depot i at the beginning of day t for all i, t</a:t>
              </a:r>
            </a:p>
          </xdr:txBody>
        </xdr:sp>
      </mc:Choice>
      <mc:Fallback xmlns="">
        <xdr:sp macro="" textlink="">
          <xdr:nvSpPr>
            <xdr:cNvPr id="23" name="Callout: Left Arrow 22">
              <a:extLst>
                <a:ext uri="{FF2B5EF4-FFF2-40B4-BE49-F238E27FC236}">
                  <a16:creationId xmlns:a16="http://schemas.microsoft.com/office/drawing/2014/main" id="{0B583694-0A43-4CA0-B5FD-4FCF975BFE30}"/>
                </a:ext>
              </a:extLst>
            </xdr:cNvPr>
            <xdr:cNvSpPr/>
          </xdr:nvSpPr>
          <xdr:spPr>
            <a:xfrm>
              <a:off x="5232901" y="2024684"/>
              <a:ext cx="2326870" cy="1153680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𝒏𝒖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undamaged cars at depot i at the beginning of day t for all i, t</a:t>
              </a:r>
            </a:p>
          </xdr:txBody>
        </xdr:sp>
      </mc:Fallback>
    </mc:AlternateContent>
    <xdr:clientData/>
  </xdr:twoCellAnchor>
  <xdr:twoCellAnchor>
    <xdr:from>
      <xdr:col>10</xdr:col>
      <xdr:colOff>250683</xdr:colOff>
      <xdr:row>18</xdr:row>
      <xdr:rowOff>129193</xdr:rowOff>
    </xdr:from>
    <xdr:to>
      <xdr:col>16</xdr:col>
      <xdr:colOff>510628</xdr:colOff>
      <xdr:row>23</xdr:row>
      <xdr:rowOff>149398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llout: Left Arrow 23">
              <a:extLst>
                <a:ext uri="{FF2B5EF4-FFF2-40B4-BE49-F238E27FC236}">
                  <a16:creationId xmlns:a16="http://schemas.microsoft.com/office/drawing/2014/main" id="{228B93CF-CB28-4C49-8BB4-246A84ABE32B}"/>
                </a:ext>
              </a:extLst>
            </xdr:cNvPr>
            <xdr:cNvSpPr/>
          </xdr:nvSpPr>
          <xdr:spPr>
            <a:xfrm>
              <a:off x="5308458" y="3862993"/>
              <a:ext cx="2326870" cy="1153680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𝒏𝒅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damaged cars at depot i at the beginning of day t for all i, t</a:t>
              </a:r>
            </a:p>
          </xdr:txBody>
        </xdr:sp>
      </mc:Choice>
      <mc:Fallback xmlns="">
        <xdr:sp macro="" textlink="">
          <xdr:nvSpPr>
            <xdr:cNvPr id="24" name="Callout: Left Arrow 23">
              <a:extLst>
                <a:ext uri="{FF2B5EF4-FFF2-40B4-BE49-F238E27FC236}">
                  <a16:creationId xmlns:a16="http://schemas.microsoft.com/office/drawing/2014/main" id="{228B93CF-CB28-4C49-8BB4-246A84ABE32B}"/>
                </a:ext>
              </a:extLst>
            </xdr:cNvPr>
            <xdr:cNvSpPr/>
          </xdr:nvSpPr>
          <xdr:spPr>
            <a:xfrm>
              <a:off x="5308458" y="3862993"/>
              <a:ext cx="2326870" cy="1153680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𝒏𝒅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damaged cars at depot i at the beginning of day t for all i, t</a:t>
              </a:r>
            </a:p>
          </xdr:txBody>
        </xdr:sp>
      </mc:Fallback>
    </mc:AlternateContent>
    <xdr:clientData/>
  </xdr:twoCellAnchor>
  <xdr:twoCellAnchor>
    <xdr:from>
      <xdr:col>10</xdr:col>
      <xdr:colOff>228272</xdr:colOff>
      <xdr:row>26</xdr:row>
      <xdr:rowOff>82161</xdr:rowOff>
    </xdr:from>
    <xdr:to>
      <xdr:col>16</xdr:col>
      <xdr:colOff>488217</xdr:colOff>
      <xdr:row>31</xdr:row>
      <xdr:rowOff>102367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llout: Left Arrow 24">
              <a:extLst>
                <a:ext uri="{FF2B5EF4-FFF2-40B4-BE49-F238E27FC236}">
                  <a16:creationId xmlns:a16="http://schemas.microsoft.com/office/drawing/2014/main" id="{AAF4F9D8-48D8-46EE-8E83-B07A2A530256}"/>
                </a:ext>
              </a:extLst>
            </xdr:cNvPr>
            <xdr:cNvSpPr/>
          </xdr:nvSpPr>
          <xdr:spPr>
            <a:xfrm>
              <a:off x="5286047" y="5549511"/>
              <a:ext cx="2326870" cy="1153681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𝒕𝒓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cars rented out from depot i at beginning of day t for all i, t</a:t>
              </a:r>
            </a:p>
          </xdr:txBody>
        </xdr:sp>
      </mc:Choice>
      <mc:Fallback xmlns="">
        <xdr:sp macro="" textlink="">
          <xdr:nvSpPr>
            <xdr:cNvPr id="25" name="Callout: Left Arrow 24">
              <a:extLst>
                <a:ext uri="{FF2B5EF4-FFF2-40B4-BE49-F238E27FC236}">
                  <a16:creationId xmlns:a16="http://schemas.microsoft.com/office/drawing/2014/main" id="{AAF4F9D8-48D8-46EE-8E83-B07A2A530256}"/>
                </a:ext>
              </a:extLst>
            </xdr:cNvPr>
            <xdr:cNvSpPr/>
          </xdr:nvSpPr>
          <xdr:spPr>
            <a:xfrm>
              <a:off x="5286047" y="5549511"/>
              <a:ext cx="2326870" cy="1153681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𝒕𝒓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cars rented out from depot i at beginning of day t for all i, t</a:t>
              </a:r>
            </a:p>
          </xdr:txBody>
        </xdr:sp>
      </mc:Fallback>
    </mc:AlternateContent>
    <xdr:clientData/>
  </xdr:twoCellAnchor>
  <xdr:twoCellAnchor>
    <xdr:from>
      <xdr:col>10</xdr:col>
      <xdr:colOff>261888</xdr:colOff>
      <xdr:row>34</xdr:row>
      <xdr:rowOff>193031</xdr:rowOff>
    </xdr:from>
    <xdr:to>
      <xdr:col>16</xdr:col>
      <xdr:colOff>521833</xdr:colOff>
      <xdr:row>40</xdr:row>
      <xdr:rowOff>11190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llout: Left Arrow 25">
              <a:extLst>
                <a:ext uri="{FF2B5EF4-FFF2-40B4-BE49-F238E27FC236}">
                  <a16:creationId xmlns:a16="http://schemas.microsoft.com/office/drawing/2014/main" id="{A077770B-4742-4446-94EA-5FDAF19EF5C6}"/>
                </a:ext>
              </a:extLst>
            </xdr:cNvPr>
            <xdr:cNvSpPr/>
          </xdr:nvSpPr>
          <xdr:spPr>
            <a:xfrm>
              <a:off x="5319663" y="7393931"/>
              <a:ext cx="2326870" cy="1151659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𝒆𝒖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Undamaged cars left at depot i during day t for all i, t</a:t>
              </a:r>
            </a:p>
          </xdr:txBody>
        </xdr:sp>
      </mc:Choice>
      <mc:Fallback xmlns="">
        <xdr:sp macro="" textlink="">
          <xdr:nvSpPr>
            <xdr:cNvPr id="26" name="Callout: Left Arrow 25">
              <a:extLst>
                <a:ext uri="{FF2B5EF4-FFF2-40B4-BE49-F238E27FC236}">
                  <a16:creationId xmlns:a16="http://schemas.microsoft.com/office/drawing/2014/main" id="{A077770B-4742-4446-94EA-5FDAF19EF5C6}"/>
                </a:ext>
              </a:extLst>
            </xdr:cNvPr>
            <xdr:cNvSpPr/>
          </xdr:nvSpPr>
          <xdr:spPr>
            <a:xfrm>
              <a:off x="5319663" y="7393931"/>
              <a:ext cx="2326870" cy="1151659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𝒆𝒖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Undamaged cars left at depot i during day t for all i, t</a:t>
              </a:r>
            </a:p>
          </xdr:txBody>
        </xdr:sp>
      </mc:Fallback>
    </mc:AlternateContent>
    <xdr:clientData/>
  </xdr:twoCellAnchor>
  <xdr:twoCellAnchor>
    <xdr:from>
      <xdr:col>10</xdr:col>
      <xdr:colOff>239477</xdr:colOff>
      <xdr:row>42</xdr:row>
      <xdr:rowOff>67559</xdr:rowOff>
    </xdr:from>
    <xdr:to>
      <xdr:col>16</xdr:col>
      <xdr:colOff>407738</xdr:colOff>
      <xdr:row>48</xdr:row>
      <xdr:rowOff>34961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llout: Left Arrow 26">
              <a:extLst>
                <a:ext uri="{FF2B5EF4-FFF2-40B4-BE49-F238E27FC236}">
                  <a16:creationId xmlns:a16="http://schemas.microsoft.com/office/drawing/2014/main" id="{F8B7E85A-D383-4FF5-84FB-6A4FE39C3EDD}"/>
                </a:ext>
              </a:extLst>
            </xdr:cNvPr>
            <xdr:cNvSpPr/>
          </xdr:nvSpPr>
          <xdr:spPr>
            <a:xfrm>
              <a:off x="5297252" y="9002009"/>
              <a:ext cx="2235186" cy="1167552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𝒆𝒅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Damaged cars left at depot i at the beginning of day t for all i, t</a:t>
              </a:r>
            </a:p>
          </xdr:txBody>
        </xdr:sp>
      </mc:Choice>
      <mc:Fallback xmlns="">
        <xdr:sp macro="" textlink="">
          <xdr:nvSpPr>
            <xdr:cNvPr id="27" name="Callout: Left Arrow 26">
              <a:extLst>
                <a:ext uri="{FF2B5EF4-FFF2-40B4-BE49-F238E27FC236}">
                  <a16:creationId xmlns:a16="http://schemas.microsoft.com/office/drawing/2014/main" id="{F8B7E85A-D383-4FF5-84FB-6A4FE39C3EDD}"/>
                </a:ext>
              </a:extLst>
            </xdr:cNvPr>
            <xdr:cNvSpPr/>
          </xdr:nvSpPr>
          <xdr:spPr>
            <a:xfrm>
              <a:off x="5297252" y="9002009"/>
              <a:ext cx="2235186" cy="1167552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𝒆𝒅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Damaged cars left at depot i at the beginning of day t for all i, t</a:t>
              </a:r>
            </a:p>
          </xdr:txBody>
        </xdr:sp>
      </mc:Fallback>
    </mc:AlternateContent>
    <xdr:clientData/>
  </xdr:twoCellAnchor>
  <xdr:twoCellAnchor>
    <xdr:from>
      <xdr:col>17</xdr:col>
      <xdr:colOff>457343</xdr:colOff>
      <xdr:row>38</xdr:row>
      <xdr:rowOff>190463</xdr:rowOff>
    </xdr:from>
    <xdr:to>
      <xdr:col>20</xdr:col>
      <xdr:colOff>80046</xdr:colOff>
      <xdr:row>50</xdr:row>
      <xdr:rowOff>205917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llout: Left Arrow 27">
              <a:extLst>
                <a:ext uri="{FF2B5EF4-FFF2-40B4-BE49-F238E27FC236}">
                  <a16:creationId xmlns:a16="http://schemas.microsoft.com/office/drawing/2014/main" id="{2225F626-C64D-4A7E-AC76-34651F6C529D}"/>
                </a:ext>
              </a:extLst>
            </xdr:cNvPr>
            <xdr:cNvSpPr/>
          </xdr:nvSpPr>
          <xdr:spPr>
            <a:xfrm rot="17863405">
              <a:off x="7804768" y="8749788"/>
              <a:ext cx="2415754" cy="1565803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𝒕𝒖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𝒊𝒋𝒕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undamaged cars at depot i at the beginning of day t, to be transferred to depot j for all i, j, t</a:t>
              </a:r>
            </a:p>
          </xdr:txBody>
        </xdr:sp>
      </mc:Choice>
      <mc:Fallback xmlns="">
        <xdr:sp macro="" textlink="">
          <xdr:nvSpPr>
            <xdr:cNvPr id="28" name="Callout: Left Arrow 27">
              <a:extLst>
                <a:ext uri="{FF2B5EF4-FFF2-40B4-BE49-F238E27FC236}">
                  <a16:creationId xmlns:a16="http://schemas.microsoft.com/office/drawing/2014/main" id="{2225F626-C64D-4A7E-AC76-34651F6C529D}"/>
                </a:ext>
              </a:extLst>
            </xdr:cNvPr>
            <xdr:cNvSpPr/>
          </xdr:nvSpPr>
          <xdr:spPr>
            <a:xfrm rot="17863405">
              <a:off x="7804768" y="8749788"/>
              <a:ext cx="2415754" cy="1565803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𝒕𝒖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𝒊𝒋𝒕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undamaged cars at depot i at the beginning of day t, to be transferred to depot j for all i, j, t</a:t>
              </a:r>
            </a:p>
          </xdr:txBody>
        </xdr:sp>
      </mc:Fallback>
    </mc:AlternateContent>
    <xdr:clientData/>
  </xdr:twoCellAnchor>
  <xdr:twoCellAnchor>
    <xdr:from>
      <xdr:col>17</xdr:col>
      <xdr:colOff>54579</xdr:colOff>
      <xdr:row>5</xdr:row>
      <xdr:rowOff>40394</xdr:rowOff>
    </xdr:from>
    <xdr:to>
      <xdr:col>20</xdr:col>
      <xdr:colOff>297544</xdr:colOff>
      <xdr:row>11</xdr:row>
      <xdr:rowOff>66372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9043AC28-844B-4998-82F9-1723E47D8ABF}"/>
            </a:ext>
          </a:extLst>
        </xdr:cNvPr>
        <xdr:cNvSpPr/>
      </xdr:nvSpPr>
      <xdr:spPr>
        <a:xfrm rot="19547059">
          <a:off x="7826979" y="1040519"/>
          <a:ext cx="2186065" cy="1359478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000" b="1">
              <a:solidFill>
                <a:sysClr val="windowText" lastClr="000000"/>
              </a:solidFill>
              <a:latin typeface="Cavolini" panose="03000502040302020204" pitchFamily="66" charset="0"/>
              <a:cs typeface="Cavolini" panose="03000502040302020204" pitchFamily="66" charset="0"/>
            </a:rPr>
            <a:t>∑∑0.93𝑘=1 4𝑗=1 𝑃𝑗𝑖 𝑄𝑘𝑡𝑟𝑗𝑡−𝑘 + ∑𝑡𝑢𝑗𝑖𝑡−1 4𝑗=1 +𝑟𝑝𝑖𝑡−1+ 𝑒𝑢𝑖𝑡−1=𝑛𝑢𝑖𝑡 , for all i, t </a:t>
          </a:r>
          <a:endParaRPr lang="en-GB" sz="9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11</xdr:col>
      <xdr:colOff>0</xdr:colOff>
      <xdr:row>80</xdr:row>
      <xdr:rowOff>230230</xdr:rowOff>
    </xdr:from>
    <xdr:to>
      <xdr:col>16</xdr:col>
      <xdr:colOff>577445</xdr:colOff>
      <xdr:row>86</xdr:row>
      <xdr:rowOff>48389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allout: Left Arrow 29">
              <a:extLst>
                <a:ext uri="{FF2B5EF4-FFF2-40B4-BE49-F238E27FC236}">
                  <a16:creationId xmlns:a16="http://schemas.microsoft.com/office/drawing/2014/main" id="{4A1E9362-AEBD-4B13-9C2B-40EF63120916}"/>
                </a:ext>
              </a:extLst>
            </xdr:cNvPr>
            <xdr:cNvSpPr/>
          </xdr:nvSpPr>
          <xdr:spPr>
            <a:xfrm>
              <a:off x="5372100" y="17299030"/>
              <a:ext cx="2330045" cy="1151659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𝒓𝒑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damaged cars to be repaired at depot i on day for all i, t</a:t>
              </a:r>
            </a:p>
          </xdr:txBody>
        </xdr:sp>
      </mc:Choice>
      <mc:Fallback xmlns="">
        <xdr:sp macro="" textlink="">
          <xdr:nvSpPr>
            <xdr:cNvPr id="30" name="Callout: Left Arrow 29">
              <a:extLst>
                <a:ext uri="{FF2B5EF4-FFF2-40B4-BE49-F238E27FC236}">
                  <a16:creationId xmlns:a16="http://schemas.microsoft.com/office/drawing/2014/main" id="{4A1E9362-AEBD-4B13-9C2B-40EF63120916}"/>
                </a:ext>
              </a:extLst>
            </xdr:cNvPr>
            <xdr:cNvSpPr/>
          </xdr:nvSpPr>
          <xdr:spPr>
            <a:xfrm>
              <a:off x="5372100" y="17299030"/>
              <a:ext cx="2330045" cy="1151659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𝒓𝒑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damaged cars to be repaired at depot i on day for all i, t</a:t>
              </a:r>
            </a:p>
          </xdr:txBody>
        </xdr:sp>
      </mc:Fallback>
    </mc:AlternateContent>
    <xdr:clientData/>
  </xdr:twoCellAnchor>
  <xdr:twoCellAnchor>
    <xdr:from>
      <xdr:col>17</xdr:col>
      <xdr:colOff>392376</xdr:colOff>
      <xdr:row>80</xdr:row>
      <xdr:rowOff>0</xdr:rowOff>
    </xdr:from>
    <xdr:to>
      <xdr:col>20</xdr:col>
      <xdr:colOff>15079</xdr:colOff>
      <xdr:row>91</xdr:row>
      <xdr:rowOff>74370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allout: Left Arrow 30">
              <a:extLst>
                <a:ext uri="{FF2B5EF4-FFF2-40B4-BE49-F238E27FC236}">
                  <a16:creationId xmlns:a16="http://schemas.microsoft.com/office/drawing/2014/main" id="{3BBD75B7-1FE9-4F46-ACDF-DF5B3DDC1E1E}"/>
                </a:ext>
              </a:extLst>
            </xdr:cNvPr>
            <xdr:cNvSpPr/>
          </xdr:nvSpPr>
          <xdr:spPr>
            <a:xfrm rot="4154618">
              <a:off x="7743680" y="17489896"/>
              <a:ext cx="2407995" cy="1565803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𝒕𝒅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𝒊𝒋𝒕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damaged cars at depot i at the beginning of day t, to be transferred to depot j for all i, j, t</a:t>
              </a:r>
            </a:p>
          </xdr:txBody>
        </xdr:sp>
      </mc:Choice>
      <mc:Fallback xmlns="">
        <xdr:sp macro="" textlink="">
          <xdr:nvSpPr>
            <xdr:cNvPr id="31" name="Callout: Left Arrow 30">
              <a:extLst>
                <a:ext uri="{FF2B5EF4-FFF2-40B4-BE49-F238E27FC236}">
                  <a16:creationId xmlns:a16="http://schemas.microsoft.com/office/drawing/2014/main" id="{3BBD75B7-1FE9-4F46-ACDF-DF5B3DDC1E1E}"/>
                </a:ext>
              </a:extLst>
            </xdr:cNvPr>
            <xdr:cNvSpPr/>
          </xdr:nvSpPr>
          <xdr:spPr>
            <a:xfrm rot="4154618">
              <a:off x="7743680" y="17489896"/>
              <a:ext cx="2407995" cy="1565803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𝒕𝒅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𝒊𝒋𝒕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damaged cars at depot i at the beginning of day t, to be transferred to depot j for all i, j, t</a:t>
              </a:r>
            </a:p>
          </xdr:txBody>
        </xdr:sp>
      </mc:Fallback>
    </mc:AlternateContent>
    <xdr:clientData/>
  </xdr:twoCellAnchor>
  <xdr:twoCellAnchor>
    <xdr:from>
      <xdr:col>26</xdr:col>
      <xdr:colOff>346364</xdr:colOff>
      <xdr:row>73</xdr:row>
      <xdr:rowOff>103230</xdr:rowOff>
    </xdr:from>
    <xdr:to>
      <xdr:col>31</xdr:col>
      <xdr:colOff>32599</xdr:colOff>
      <xdr:row>80</xdr:row>
      <xdr:rowOff>50937</xdr:rowOff>
    </xdr:to>
    <xdr:sp macro="" textlink="">
      <xdr:nvSpPr>
        <xdr:cNvPr id="32" name="Arrow: Left 31">
          <a:extLst>
            <a:ext uri="{FF2B5EF4-FFF2-40B4-BE49-F238E27FC236}">
              <a16:creationId xmlns:a16="http://schemas.microsoft.com/office/drawing/2014/main" id="{38B43D14-97CF-4F04-B326-0CFA28768322}"/>
            </a:ext>
          </a:extLst>
        </xdr:cNvPr>
        <xdr:cNvSpPr/>
      </xdr:nvSpPr>
      <xdr:spPr>
        <a:xfrm>
          <a:off x="13948064" y="15771855"/>
          <a:ext cx="2791385" cy="1347882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1" i="0">
            <a:solidFill>
              <a:sysClr val="windowText" lastClr="000000"/>
            </a:solidFill>
            <a:effectLst/>
            <a:latin typeface="Cavolini" panose="03000502040302020204" pitchFamily="66" charset="0"/>
            <a:ea typeface="+mn-ea"/>
            <a:cs typeface="Cavolini" panose="03000502040302020204" pitchFamily="66" charset="0"/>
          </a:endParaRPr>
        </a:p>
        <a:p>
          <a:pPr algn="l"/>
          <a:r>
            <a:rPr lang="en-GB" sz="1100" b="1" i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∑0.25𝑡𝑟𝑖1+0.45𝑡𝑟𝑖2+ 𝑛𝑢𝑖3+ 𝑛𝑑𝑖3=𝑛 i</a:t>
          </a:r>
          <a:r>
            <a:rPr lang="en-GB" sz="1100" b="1" i="0" baseline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 = 1 to 4</a:t>
          </a:r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38</xdr:col>
      <xdr:colOff>337195</xdr:colOff>
      <xdr:row>65</xdr:row>
      <xdr:rowOff>256885</xdr:rowOff>
    </xdr:from>
    <xdr:to>
      <xdr:col>42</xdr:col>
      <xdr:colOff>537882</xdr:colOff>
      <xdr:row>71</xdr:row>
      <xdr:rowOff>281844</xdr:rowOff>
    </xdr:to>
    <xdr:sp macro="" textlink="">
      <xdr:nvSpPr>
        <xdr:cNvPr id="33" name="Arrow: Left 32">
          <a:extLst>
            <a:ext uri="{FF2B5EF4-FFF2-40B4-BE49-F238E27FC236}">
              <a16:creationId xmlns:a16="http://schemas.microsoft.com/office/drawing/2014/main" id="{9A49526D-3D16-4233-BA93-10C29219E0B5}"/>
            </a:ext>
          </a:extLst>
        </xdr:cNvPr>
        <xdr:cNvSpPr/>
      </xdr:nvSpPr>
      <xdr:spPr>
        <a:xfrm rot="469296">
          <a:off x="21577945" y="14058610"/>
          <a:ext cx="2791487" cy="1358459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1" i="0">
            <a:solidFill>
              <a:sysClr val="windowText" lastClr="000000"/>
            </a:solidFill>
            <a:effectLst/>
            <a:latin typeface="Cavolini" panose="03000502040302020204" pitchFamily="66" charset="0"/>
            <a:ea typeface="+mn-ea"/>
            <a:cs typeface="Cavolini" panose="03000502040302020204" pitchFamily="66" charset="0"/>
          </a:endParaRPr>
        </a:p>
        <a:p>
          <a:pPr algn="l"/>
          <a:r>
            <a:rPr lang="en-GB" sz="1100" b="1" i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𝑡𝑟𝑖𝑡≤ 𝐷𝑖𝑡 , for all i, t</a:t>
          </a:r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38</xdr:col>
      <xdr:colOff>337195</xdr:colOff>
      <xdr:row>53</xdr:row>
      <xdr:rowOff>23090</xdr:rowOff>
    </xdr:from>
    <xdr:to>
      <xdr:col>42</xdr:col>
      <xdr:colOff>537882</xdr:colOff>
      <xdr:row>59</xdr:row>
      <xdr:rowOff>48049</xdr:rowOff>
    </xdr:to>
    <xdr:sp macro="" textlink="">
      <xdr:nvSpPr>
        <xdr:cNvPr id="34" name="Arrow: Left 33">
          <a:extLst>
            <a:ext uri="{FF2B5EF4-FFF2-40B4-BE49-F238E27FC236}">
              <a16:creationId xmlns:a16="http://schemas.microsoft.com/office/drawing/2014/main" id="{8022AF59-BC13-4670-817A-CBFA5D76583F}"/>
            </a:ext>
          </a:extLst>
        </xdr:cNvPr>
        <xdr:cNvSpPr/>
      </xdr:nvSpPr>
      <xdr:spPr>
        <a:xfrm rot="469296">
          <a:off x="21577945" y="11291165"/>
          <a:ext cx="2791487" cy="1358459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1" i="0">
            <a:solidFill>
              <a:sysClr val="windowText" lastClr="000000"/>
            </a:solidFill>
            <a:effectLst/>
            <a:latin typeface="Cavolini" panose="03000502040302020204" pitchFamily="66" charset="0"/>
            <a:ea typeface="+mn-ea"/>
            <a:cs typeface="Cavolini" panose="03000502040302020204" pitchFamily="66" charset="0"/>
          </a:endParaRPr>
        </a:p>
        <a:p>
          <a:pPr algn="l"/>
          <a:r>
            <a:rPr lang="en-GB" sz="1100" b="1" i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𝑟𝑝𝑖𝑡≤ 𝑅𝑖, for all i, t</a:t>
          </a:r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39</xdr:col>
      <xdr:colOff>328537</xdr:colOff>
      <xdr:row>39</xdr:row>
      <xdr:rowOff>193386</xdr:rowOff>
    </xdr:from>
    <xdr:to>
      <xdr:col>43</xdr:col>
      <xdr:colOff>529223</xdr:colOff>
      <xdr:row>46</xdr:row>
      <xdr:rowOff>149242</xdr:rowOff>
    </xdr:to>
    <xdr:sp macro="" textlink="">
      <xdr:nvSpPr>
        <xdr:cNvPr id="35" name="Arrow: Left 34">
          <a:extLst>
            <a:ext uri="{FF2B5EF4-FFF2-40B4-BE49-F238E27FC236}">
              <a16:creationId xmlns:a16="http://schemas.microsoft.com/office/drawing/2014/main" id="{F9603530-53EB-4B91-A3FF-8849A1DF7E5D}"/>
            </a:ext>
          </a:extLst>
        </xdr:cNvPr>
        <xdr:cNvSpPr/>
      </xdr:nvSpPr>
      <xdr:spPr>
        <a:xfrm rot="469296">
          <a:off x="22216987" y="8527761"/>
          <a:ext cx="2791486" cy="1356031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𝑟𝑝𝑖𝑡+ ∑𝑡𝑑𝑗𝑖𝑡4𝑗=1 + 𝑒𝑑𝑖𝑡= 𝑛𝑑𝑖𝑡 , for all i, t</a:t>
          </a:r>
        </a:p>
        <a:p>
          <a:pPr algn="l"/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39</xdr:col>
      <xdr:colOff>328537</xdr:colOff>
      <xdr:row>27</xdr:row>
      <xdr:rowOff>132772</xdr:rowOff>
    </xdr:from>
    <xdr:to>
      <xdr:col>43</xdr:col>
      <xdr:colOff>529223</xdr:colOff>
      <xdr:row>34</xdr:row>
      <xdr:rowOff>82514</xdr:rowOff>
    </xdr:to>
    <xdr:sp macro="" textlink="">
      <xdr:nvSpPr>
        <xdr:cNvPr id="36" name="Arrow: Left 35">
          <a:extLst>
            <a:ext uri="{FF2B5EF4-FFF2-40B4-BE49-F238E27FC236}">
              <a16:creationId xmlns:a16="http://schemas.microsoft.com/office/drawing/2014/main" id="{D2A26C1F-81E6-4190-BE7A-AF02B6235C50}"/>
            </a:ext>
          </a:extLst>
        </xdr:cNvPr>
        <xdr:cNvSpPr/>
      </xdr:nvSpPr>
      <xdr:spPr>
        <a:xfrm rot="469296">
          <a:off x="22216987" y="5933497"/>
          <a:ext cx="2791486" cy="1349917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1" i="0">
            <a:solidFill>
              <a:sysClr val="windowText" lastClr="000000"/>
            </a:solidFill>
            <a:effectLst/>
            <a:latin typeface="Cavolini" panose="03000502040302020204" pitchFamily="66" charset="0"/>
            <a:ea typeface="+mn-ea"/>
            <a:cs typeface="Cavolini" panose="03000502040302020204" pitchFamily="66" charset="0"/>
          </a:endParaRPr>
        </a:p>
        <a:p>
          <a:pPr algn="l"/>
          <a:r>
            <a:rPr lang="en-GB" sz="1100" b="1" i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𝑡𝑟𝑖𝑡+ ∑𝑡𝑢𝑗𝑖𝑡4𝑗=1 + 𝑒𝑢𝑖𝑡= 𝑛𝑢𝑖𝑡 , for all i, t</a:t>
          </a:r>
        </a:p>
        <a:p>
          <a:pPr algn="l"/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39</xdr:col>
      <xdr:colOff>328537</xdr:colOff>
      <xdr:row>16</xdr:row>
      <xdr:rowOff>86590</xdr:rowOff>
    </xdr:from>
    <xdr:to>
      <xdr:col>43</xdr:col>
      <xdr:colOff>529223</xdr:colOff>
      <xdr:row>22</xdr:row>
      <xdr:rowOff>95249</xdr:rowOff>
    </xdr:to>
    <xdr:sp macro="" textlink="">
      <xdr:nvSpPr>
        <xdr:cNvPr id="37" name="Arrow: Left 36">
          <a:extLst>
            <a:ext uri="{FF2B5EF4-FFF2-40B4-BE49-F238E27FC236}">
              <a16:creationId xmlns:a16="http://schemas.microsoft.com/office/drawing/2014/main" id="{EBF13DDE-A9E3-44BB-A696-28D6DA569252}"/>
            </a:ext>
          </a:extLst>
        </xdr:cNvPr>
        <xdr:cNvSpPr/>
      </xdr:nvSpPr>
      <xdr:spPr>
        <a:xfrm rot="469296">
          <a:off x="22216987" y="3420340"/>
          <a:ext cx="2791486" cy="1342159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∑∑0.13𝑘=1 4𝑗=1 𝑃𝑗𝑖 𝑄𝑘𝑡𝑟𝑗𝑡−𝑘 + ∑𝑡𝑑𝑗𝑖𝑡−1 4𝑗=1 +𝑟𝑝𝑖𝑡−1+ 𝑒𝑑𝑖𝑡−1=𝑛𝑑𝑖𝑡 , for all i, t</a:t>
          </a:r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26</xdr:col>
      <xdr:colOff>0</xdr:colOff>
      <xdr:row>86</xdr:row>
      <xdr:rowOff>0</xdr:rowOff>
    </xdr:from>
    <xdr:to>
      <xdr:col>30</xdr:col>
      <xdr:colOff>205781</xdr:colOff>
      <xdr:row>92</xdr:row>
      <xdr:rowOff>149752</xdr:rowOff>
    </xdr:to>
    <xdr:sp macro="" textlink="">
      <xdr:nvSpPr>
        <xdr:cNvPr id="38" name="Arrow: Left 37">
          <a:extLst>
            <a:ext uri="{FF2B5EF4-FFF2-40B4-BE49-F238E27FC236}">
              <a16:creationId xmlns:a16="http://schemas.microsoft.com/office/drawing/2014/main" id="{A5B11E53-1A5A-4EB9-819E-7712AE560667}"/>
            </a:ext>
          </a:extLst>
        </xdr:cNvPr>
        <xdr:cNvSpPr/>
      </xdr:nvSpPr>
      <xdr:spPr>
        <a:xfrm rot="1800074">
          <a:off x="13601700" y="18402300"/>
          <a:ext cx="2796581" cy="1349902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1" i="0">
            <a:solidFill>
              <a:sysClr val="windowText" lastClr="000000"/>
            </a:solidFill>
            <a:effectLst/>
            <a:latin typeface="Cavolini" panose="03000502040302020204" pitchFamily="66" charset="0"/>
            <a:ea typeface="+mn-ea"/>
            <a:cs typeface="Cavolini" panose="03000502040302020204" pitchFamily="66" charset="0"/>
          </a:endParaRPr>
        </a:p>
        <a:p>
          <a:pPr algn="l"/>
          <a:r>
            <a:rPr lang="en-GB" sz="1100" b="1" i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m1</a:t>
          </a:r>
          <a:r>
            <a:rPr lang="en-GB" sz="1100" b="1" i="0" baseline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 + m2 + b1 + b2 + p1 &lt;= 3</a:t>
          </a:r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1</xdr:col>
      <xdr:colOff>609599</xdr:colOff>
      <xdr:row>90</xdr:row>
      <xdr:rowOff>123825</xdr:rowOff>
    </xdr:from>
    <xdr:to>
      <xdr:col>3</xdr:col>
      <xdr:colOff>219074</xdr:colOff>
      <xdr:row>98</xdr:row>
      <xdr:rowOff>123825</xdr:rowOff>
    </xdr:to>
    <xdr:cxnSp macro="">
      <xdr:nvCxnSpPr>
        <xdr:cNvPr id="39" name="Connector: Curved 38">
          <a:extLst>
            <a:ext uri="{FF2B5EF4-FFF2-40B4-BE49-F238E27FC236}">
              <a16:creationId xmlns:a16="http://schemas.microsoft.com/office/drawing/2014/main" id="{8510AA7E-D795-4BD2-BDE1-91E9D705C0F0}"/>
            </a:ext>
          </a:extLst>
        </xdr:cNvPr>
        <xdr:cNvCxnSpPr>
          <a:cxnSpLocks/>
        </xdr:cNvCxnSpPr>
      </xdr:nvCxnSpPr>
      <xdr:spPr>
        <a:xfrm rot="16200000" flipH="1">
          <a:off x="890587" y="19692937"/>
          <a:ext cx="1600200" cy="8667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95</xdr:row>
      <xdr:rowOff>180975</xdr:rowOff>
    </xdr:from>
    <xdr:to>
      <xdr:col>7</xdr:col>
      <xdr:colOff>152400</xdr:colOff>
      <xdr:row>100</xdr:row>
      <xdr:rowOff>180975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E447B712-D3B3-47E1-BC0B-FB223FD23155}"/>
            </a:ext>
          </a:extLst>
        </xdr:cNvPr>
        <xdr:cNvSpPr/>
      </xdr:nvSpPr>
      <xdr:spPr>
        <a:xfrm>
          <a:off x="2133600" y="20383500"/>
          <a:ext cx="2133600" cy="1000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  <a:latin typeface="Cavolini" panose="03000502040302020204" pitchFamily="66" charset="0"/>
              <a:cs typeface="Cavolini" panose="03000502040302020204" pitchFamily="66" charset="0"/>
            </a:rPr>
            <a:t>m1, m2, b1, b2,and p1 are decision variables indicating expansion for Manchester, Birmingham and Plymouth</a:t>
          </a:r>
        </a:p>
        <a:p>
          <a:pPr algn="l"/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1</xdr:col>
      <xdr:colOff>428625</xdr:colOff>
      <xdr:row>94</xdr:row>
      <xdr:rowOff>38100</xdr:rowOff>
    </xdr:from>
    <xdr:to>
      <xdr:col>3</xdr:col>
      <xdr:colOff>228600</xdr:colOff>
      <xdr:row>98</xdr:row>
      <xdr:rowOff>80963</xdr:rowOff>
    </xdr:to>
    <xdr:cxnSp macro="">
      <xdr:nvCxnSpPr>
        <xdr:cNvPr id="41" name="Connector: Curved 40">
          <a:extLst>
            <a:ext uri="{FF2B5EF4-FFF2-40B4-BE49-F238E27FC236}">
              <a16:creationId xmlns:a16="http://schemas.microsoft.com/office/drawing/2014/main" id="{AF863809-6A0A-4166-A3AE-B293FFA31DC9}"/>
            </a:ext>
          </a:extLst>
        </xdr:cNvPr>
        <xdr:cNvCxnSpPr>
          <a:endCxn id="40" idx="1"/>
        </xdr:cNvCxnSpPr>
      </xdr:nvCxnSpPr>
      <xdr:spPr>
        <a:xfrm>
          <a:off x="1076325" y="20040600"/>
          <a:ext cx="1057275" cy="84296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90</xdr:row>
      <xdr:rowOff>28576</xdr:rowOff>
    </xdr:from>
    <xdr:to>
      <xdr:col>6</xdr:col>
      <xdr:colOff>142875</xdr:colOff>
      <xdr:row>95</xdr:row>
      <xdr:rowOff>171451</xdr:rowOff>
    </xdr:to>
    <xdr:cxnSp macro="">
      <xdr:nvCxnSpPr>
        <xdr:cNvPr id="42" name="Connector: Curved 41">
          <a:extLst>
            <a:ext uri="{FF2B5EF4-FFF2-40B4-BE49-F238E27FC236}">
              <a16:creationId xmlns:a16="http://schemas.microsoft.com/office/drawing/2014/main" id="{14396986-DC9E-49AB-9D10-32F595F0A273}"/>
            </a:ext>
          </a:extLst>
        </xdr:cNvPr>
        <xdr:cNvCxnSpPr/>
      </xdr:nvCxnSpPr>
      <xdr:spPr>
        <a:xfrm rot="5400000">
          <a:off x="2681288" y="19626263"/>
          <a:ext cx="1143000" cy="352425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94</xdr:row>
      <xdr:rowOff>28575</xdr:rowOff>
    </xdr:from>
    <xdr:to>
      <xdr:col>7</xdr:col>
      <xdr:colOff>28575</xdr:colOff>
      <xdr:row>95</xdr:row>
      <xdr:rowOff>171450</xdr:rowOff>
    </xdr:to>
    <xdr:cxnSp macro="">
      <xdr:nvCxnSpPr>
        <xdr:cNvPr id="43" name="Connector: Curved 42">
          <a:extLst>
            <a:ext uri="{FF2B5EF4-FFF2-40B4-BE49-F238E27FC236}">
              <a16:creationId xmlns:a16="http://schemas.microsoft.com/office/drawing/2014/main" id="{7FD07599-1452-4F61-9B69-2D42D7CD2A74}"/>
            </a:ext>
          </a:extLst>
        </xdr:cNvPr>
        <xdr:cNvCxnSpPr/>
      </xdr:nvCxnSpPr>
      <xdr:spPr>
        <a:xfrm rot="5400000">
          <a:off x="3962400" y="20193000"/>
          <a:ext cx="342900" cy="1905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152401</xdr:colOff>
      <xdr:row>90</xdr:row>
      <xdr:rowOff>28575</xdr:rowOff>
    </xdr:from>
    <xdr:to>
      <xdr:col>12</xdr:col>
      <xdr:colOff>66676</xdr:colOff>
      <xdr:row>98</xdr:row>
      <xdr:rowOff>80963</xdr:rowOff>
    </xdr:to>
    <xdr:cxnSp macro="">
      <xdr:nvCxnSpPr>
        <xdr:cNvPr id="44" name="Connector: Curved 43">
          <a:extLst>
            <a:ext uri="{FF2B5EF4-FFF2-40B4-BE49-F238E27FC236}">
              <a16:creationId xmlns:a16="http://schemas.microsoft.com/office/drawing/2014/main" id="{28976D9E-FD4A-411E-8FE1-E0960DDDBD4F}"/>
            </a:ext>
          </a:extLst>
        </xdr:cNvPr>
        <xdr:cNvCxnSpPr>
          <a:endCxn id="40" idx="3"/>
        </xdr:cNvCxnSpPr>
      </xdr:nvCxnSpPr>
      <xdr:spPr>
        <a:xfrm rot="10800000" flipV="1">
          <a:off x="4267201" y="19230975"/>
          <a:ext cx="1666875" cy="165258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sp macro="" textlink="">
      <xdr:nvSpPr>
        <xdr:cNvPr id="18" name="Right Triangle 17">
          <a:extLst>
            <a:ext uri="{FF2B5EF4-FFF2-40B4-BE49-F238E27FC236}">
              <a16:creationId xmlns:a16="http://schemas.microsoft.com/office/drawing/2014/main" id="{F86590B6-22A8-2646-3D85-1A7D0E2BD413}"/>
            </a:ext>
          </a:extLst>
        </xdr:cNvPr>
        <xdr:cNvSpPr/>
      </xdr:nvSpPr>
      <xdr:spPr>
        <a:xfrm>
          <a:off x="609600" y="3429000"/>
          <a:ext cx="1295400" cy="400050"/>
        </a:xfrm>
        <a:prstGeom prst="rtTriangle">
          <a:avLst/>
        </a:prstGeom>
        <a:solidFill>
          <a:schemeClr val="tx2">
            <a:lumMod val="7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 b="1" baseline="0">
              <a:solidFill>
                <a:schemeClr val="bg1"/>
              </a:solidFill>
              <a:latin typeface="Cavolini" panose="03000502040302020204" pitchFamily="66" charset="0"/>
              <a:cs typeface="Cavolini" panose="03000502040302020204" pitchFamily="66" charset="0"/>
            </a:rPr>
            <a:t>To</a:t>
          </a:r>
          <a:endParaRPr lang="en-GB" sz="1000" b="1" baseline="0">
            <a:solidFill>
              <a:schemeClr val="bg1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22" name="Right Triangle 21">
          <a:extLst>
            <a:ext uri="{FF2B5EF4-FFF2-40B4-BE49-F238E27FC236}">
              <a16:creationId xmlns:a16="http://schemas.microsoft.com/office/drawing/2014/main" id="{F4B7D907-4DD5-4F86-CB2E-980886216E47}"/>
            </a:ext>
          </a:extLst>
        </xdr:cNvPr>
        <xdr:cNvSpPr/>
      </xdr:nvSpPr>
      <xdr:spPr>
        <a:xfrm>
          <a:off x="609600" y="876300"/>
          <a:ext cx="1295400" cy="361950"/>
        </a:xfrm>
        <a:prstGeom prst="rtTriangle">
          <a:avLst/>
        </a:prstGeom>
        <a:solidFill>
          <a:schemeClr val="accent6">
            <a:lumMod val="7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 b="1">
              <a:solidFill>
                <a:schemeClr val="bg1"/>
              </a:solidFill>
              <a:latin typeface="Cavolini" panose="03000502040302020204" pitchFamily="66" charset="0"/>
              <a:cs typeface="Cavolini" panose="03000502040302020204" pitchFamily="66" charset="0"/>
            </a:rPr>
            <a:t>Day</a:t>
          </a:r>
          <a:endParaRPr lang="en-GB" sz="1000" b="1">
            <a:solidFill>
              <a:schemeClr val="bg1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3" name="Right Triangle 22">
          <a:extLst>
            <a:ext uri="{FF2B5EF4-FFF2-40B4-BE49-F238E27FC236}">
              <a16:creationId xmlns:a16="http://schemas.microsoft.com/office/drawing/2014/main" id="{08A1ECED-35C4-41CD-8E84-F511BD4A6349}"/>
            </a:ext>
          </a:extLst>
        </xdr:cNvPr>
        <xdr:cNvSpPr/>
      </xdr:nvSpPr>
      <xdr:spPr>
        <a:xfrm>
          <a:off x="6943725" y="876300"/>
          <a:ext cx="1190625" cy="361950"/>
        </a:xfrm>
        <a:prstGeom prst="rtTriangle">
          <a:avLst/>
        </a:prstGeom>
        <a:solidFill>
          <a:schemeClr val="accent5">
            <a:lumMod val="7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bg1"/>
              </a:solidFill>
              <a:latin typeface="Cavolini" panose="03000502040302020204" pitchFamily="66" charset="0"/>
              <a:cs typeface="Cavolini" panose="03000502040302020204" pitchFamily="66" charset="0"/>
            </a:rPr>
            <a:t>To</a:t>
          </a:r>
          <a:endParaRPr lang="en-GB" sz="1000" b="1">
            <a:solidFill>
              <a:schemeClr val="bg1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25" name="Right Triangle 24">
          <a:extLst>
            <a:ext uri="{FF2B5EF4-FFF2-40B4-BE49-F238E27FC236}">
              <a16:creationId xmlns:a16="http://schemas.microsoft.com/office/drawing/2014/main" id="{84616633-FF3D-43A2-BE50-E881AAEB1E36}"/>
            </a:ext>
          </a:extLst>
        </xdr:cNvPr>
        <xdr:cNvSpPr/>
      </xdr:nvSpPr>
      <xdr:spPr>
        <a:xfrm>
          <a:off x="6955234" y="3046016"/>
          <a:ext cx="1002110" cy="396875"/>
        </a:xfrm>
        <a:prstGeom prst="rtTriangle">
          <a:avLst/>
        </a:prstGeom>
        <a:solidFill>
          <a:schemeClr val="accent2">
            <a:lumMod val="7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 baseline="0">
              <a:solidFill>
                <a:schemeClr val="bg1"/>
              </a:solidFill>
              <a:latin typeface="Cavolini" panose="03000502040302020204" pitchFamily="66" charset="0"/>
              <a:cs typeface="Cavolini" panose="03000502040302020204" pitchFamily="66" charset="0"/>
            </a:rPr>
            <a:t>Depot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sp macro="" textlink="">
      <xdr:nvSpPr>
        <xdr:cNvPr id="26" name="Right Triangle 25">
          <a:extLst>
            <a:ext uri="{FF2B5EF4-FFF2-40B4-BE49-F238E27FC236}">
              <a16:creationId xmlns:a16="http://schemas.microsoft.com/office/drawing/2014/main" id="{E5A3FFFA-63E4-48CD-B204-FD7E31AEF462}"/>
            </a:ext>
          </a:extLst>
        </xdr:cNvPr>
        <xdr:cNvSpPr/>
      </xdr:nvSpPr>
      <xdr:spPr>
        <a:xfrm>
          <a:off x="7018734" y="3104555"/>
          <a:ext cx="1190625" cy="398859"/>
        </a:xfrm>
        <a:prstGeom prst="rtTriangle">
          <a:avLst/>
        </a:prstGeom>
        <a:solidFill>
          <a:schemeClr val="bg2">
            <a:lumMod val="5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 b="1" baseline="0">
              <a:solidFill>
                <a:schemeClr val="bg1"/>
              </a:solidFill>
              <a:latin typeface="Cavolini" panose="03000502040302020204" pitchFamily="66" charset="0"/>
              <a:cs typeface="Cavolini" panose="03000502040302020204" pitchFamily="66" charset="0"/>
            </a:rPr>
            <a:t>Hire</a:t>
          </a:r>
          <a:r>
            <a:rPr lang="en-GB" sz="900" b="1" baseline="0">
              <a:solidFill>
                <a:sysClr val="windowText" lastClr="000000"/>
              </a:solidFill>
              <a:latin typeface="Cavolini" panose="03000502040302020204" pitchFamily="66" charset="0"/>
              <a:cs typeface="Cavolini" panose="03000502040302020204" pitchFamily="66" charset="0"/>
            </a:rPr>
            <a:t> </a:t>
          </a:r>
          <a:r>
            <a:rPr lang="en-GB" sz="900" b="1" baseline="0">
              <a:solidFill>
                <a:schemeClr val="bg1"/>
              </a:solidFill>
              <a:latin typeface="Cavolini" panose="03000502040302020204" pitchFamily="66" charset="0"/>
              <a:cs typeface="Cavolini" panose="03000502040302020204" pitchFamily="66" charset="0"/>
            </a:rPr>
            <a:t>Days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6</xdr:col>
      <xdr:colOff>0</xdr:colOff>
      <xdr:row>28</xdr:row>
      <xdr:rowOff>0</xdr:rowOff>
    </xdr:to>
    <xdr:sp macro="" textlink="">
      <xdr:nvSpPr>
        <xdr:cNvPr id="27" name="Right Triangle 26">
          <a:extLst>
            <a:ext uri="{FF2B5EF4-FFF2-40B4-BE49-F238E27FC236}">
              <a16:creationId xmlns:a16="http://schemas.microsoft.com/office/drawing/2014/main" id="{6A6783CC-2BE7-4483-81FB-775B417ECB71}"/>
            </a:ext>
          </a:extLst>
        </xdr:cNvPr>
        <xdr:cNvSpPr/>
      </xdr:nvSpPr>
      <xdr:spPr>
        <a:xfrm>
          <a:off x="605234" y="6657578"/>
          <a:ext cx="1537891" cy="327422"/>
        </a:xfrm>
        <a:prstGeom prst="rtTriangle">
          <a:avLst/>
        </a:prstGeom>
        <a:solidFill>
          <a:schemeClr val="tx1">
            <a:lumMod val="75000"/>
            <a:lumOff val="2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 b="1" baseline="0">
              <a:solidFill>
                <a:schemeClr val="bg1"/>
              </a:solidFill>
              <a:latin typeface="Cavolini" panose="03000502040302020204" pitchFamily="66" charset="0"/>
              <a:cs typeface="Cavolini" panose="03000502040302020204" pitchFamily="66" charset="0"/>
            </a:rPr>
            <a:t>Hire Days</a:t>
          </a:r>
        </a:p>
      </xdr:txBody>
    </xdr:sp>
    <xdr:clientData/>
  </xdr:twoCellAnchor>
  <xdr:twoCellAnchor>
    <xdr:from>
      <xdr:col>8</xdr:col>
      <xdr:colOff>0</xdr:colOff>
      <xdr:row>27</xdr:row>
      <xdr:rowOff>0</xdr:rowOff>
    </xdr:from>
    <xdr:to>
      <xdr:col>9</xdr:col>
      <xdr:colOff>0</xdr:colOff>
      <xdr:row>28</xdr:row>
      <xdr:rowOff>0</xdr:rowOff>
    </xdr:to>
    <xdr:sp macro="" textlink="">
      <xdr:nvSpPr>
        <xdr:cNvPr id="28" name="Right Triangle 27">
          <a:extLst>
            <a:ext uri="{FF2B5EF4-FFF2-40B4-BE49-F238E27FC236}">
              <a16:creationId xmlns:a16="http://schemas.microsoft.com/office/drawing/2014/main" id="{A14AB71D-CEC6-48E5-A653-60176D23BBAE}"/>
            </a:ext>
          </a:extLst>
        </xdr:cNvPr>
        <xdr:cNvSpPr/>
      </xdr:nvSpPr>
      <xdr:spPr>
        <a:xfrm>
          <a:off x="5496719" y="6657578"/>
          <a:ext cx="773906" cy="327422"/>
        </a:xfrm>
        <a:prstGeom prst="rtTriangle">
          <a:avLst/>
        </a:prstGeom>
        <a:solidFill>
          <a:schemeClr val="bg1">
            <a:lumMod val="6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 b="1" baseline="0">
              <a:solidFill>
                <a:schemeClr val="bg1"/>
              </a:solidFill>
              <a:latin typeface="Cavolini" panose="03000502040302020204" pitchFamily="66" charset="0"/>
              <a:cs typeface="Cavolini" panose="03000502040302020204" pitchFamily="66" charset="0"/>
            </a:rPr>
            <a:t>Hire Days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E689539F-5F2B-4A5B-A0ED-D1BDE569EE08}"/>
            </a:ext>
          </a:extLst>
        </xdr:cNvPr>
        <xdr:cNvSpPr/>
      </xdr:nvSpPr>
      <xdr:spPr>
        <a:xfrm>
          <a:off x="7362825" y="3095625"/>
          <a:ext cx="1905000" cy="400050"/>
        </a:xfrm>
        <a:prstGeom prst="rtTriangle">
          <a:avLst/>
        </a:prstGeom>
        <a:solidFill>
          <a:schemeClr val="accent2">
            <a:lumMod val="7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 b="1" baseline="0">
              <a:solidFill>
                <a:schemeClr val="bg1"/>
              </a:solidFill>
              <a:latin typeface="Cavolini" panose="03000502040302020204" pitchFamily="66" charset="0"/>
              <a:cs typeface="Cavolini" panose="03000502040302020204" pitchFamily="66" charset="0"/>
            </a:rPr>
            <a:t>-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12</xdr:row>
      <xdr:rowOff>2999</xdr:rowOff>
    </xdr:from>
    <xdr:ext cx="638175" cy="423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CB8AD07-E9C8-8BE2-EEF0-6E66D332A62E}"/>
                </a:ext>
              </a:extLst>
            </xdr:cNvPr>
            <xdr:cNvSpPr txBox="1"/>
          </xdr:nvSpPr>
          <xdr:spPr>
            <a:xfrm>
              <a:off x="643819" y="2640013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𝒏𝒖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CB8AD07-E9C8-8BE2-EEF0-6E66D332A62E}"/>
                </a:ext>
              </a:extLst>
            </xdr:cNvPr>
            <xdr:cNvSpPr txBox="1"/>
          </xdr:nvSpPr>
          <xdr:spPr>
            <a:xfrm>
              <a:off x="643819" y="2640013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𝒏𝒖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26459</xdr:colOff>
      <xdr:row>19</xdr:row>
      <xdr:rowOff>117656</xdr:rowOff>
    </xdr:from>
    <xdr:ext cx="638175" cy="423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ABAA202-4871-4FFE-AD86-EA63ED5396B9}"/>
                </a:ext>
              </a:extLst>
            </xdr:cNvPr>
            <xdr:cNvSpPr txBox="1"/>
          </xdr:nvSpPr>
          <xdr:spPr>
            <a:xfrm>
              <a:off x="670278" y="4236337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𝒏𝒅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ABAA202-4871-4FFE-AD86-EA63ED5396B9}"/>
                </a:ext>
              </a:extLst>
            </xdr:cNvPr>
            <xdr:cNvSpPr txBox="1"/>
          </xdr:nvSpPr>
          <xdr:spPr>
            <a:xfrm>
              <a:off x="670278" y="4236337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𝒏𝒅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626181</xdr:colOff>
      <xdr:row>27</xdr:row>
      <xdr:rowOff>144110</xdr:rowOff>
    </xdr:from>
    <xdr:ext cx="638175" cy="423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E6B4C07-795C-45AD-BD95-0E5FA1C75A65}"/>
                </a:ext>
              </a:extLst>
            </xdr:cNvPr>
            <xdr:cNvSpPr txBox="1"/>
          </xdr:nvSpPr>
          <xdr:spPr>
            <a:xfrm>
              <a:off x="626181" y="5885568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𝒕𝒓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E6B4C07-795C-45AD-BD95-0E5FA1C75A65}"/>
                </a:ext>
              </a:extLst>
            </xdr:cNvPr>
            <xdr:cNvSpPr txBox="1"/>
          </xdr:nvSpPr>
          <xdr:spPr>
            <a:xfrm>
              <a:off x="626181" y="5885568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𝒕𝒓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35276</xdr:colOff>
      <xdr:row>35</xdr:row>
      <xdr:rowOff>91194</xdr:rowOff>
    </xdr:from>
    <xdr:ext cx="638175" cy="423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F70E761-3197-406A-AE9C-F5C91B803AF4}"/>
                </a:ext>
              </a:extLst>
            </xdr:cNvPr>
            <xdr:cNvSpPr txBox="1"/>
          </xdr:nvSpPr>
          <xdr:spPr>
            <a:xfrm>
              <a:off x="679095" y="7720013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𝒆𝒖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F70E761-3197-406A-AE9C-F5C91B803AF4}"/>
                </a:ext>
              </a:extLst>
            </xdr:cNvPr>
            <xdr:cNvSpPr txBox="1"/>
          </xdr:nvSpPr>
          <xdr:spPr>
            <a:xfrm>
              <a:off x="679095" y="7720013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𝒆𝒖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634998</xdr:colOff>
      <xdr:row>43</xdr:row>
      <xdr:rowOff>11819</xdr:rowOff>
    </xdr:from>
    <xdr:ext cx="638175" cy="423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EE806AB-7E15-4E09-A668-36C7A3A739A9}"/>
                </a:ext>
              </a:extLst>
            </xdr:cNvPr>
            <xdr:cNvSpPr txBox="1"/>
          </xdr:nvSpPr>
          <xdr:spPr>
            <a:xfrm>
              <a:off x="634998" y="9060569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𝒆𝒅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EE806AB-7E15-4E09-A668-36C7A3A739A9}"/>
                </a:ext>
              </a:extLst>
            </xdr:cNvPr>
            <xdr:cNvSpPr txBox="1"/>
          </xdr:nvSpPr>
          <xdr:spPr>
            <a:xfrm>
              <a:off x="634998" y="9060569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𝒆𝒅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44096</xdr:colOff>
      <xdr:row>54</xdr:row>
      <xdr:rowOff>73554</xdr:rowOff>
    </xdr:from>
    <xdr:ext cx="638175" cy="423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C309769-CEAB-41E3-A369-81F0878B0055}"/>
                </a:ext>
              </a:extLst>
            </xdr:cNvPr>
            <xdr:cNvSpPr txBox="1"/>
          </xdr:nvSpPr>
          <xdr:spPr>
            <a:xfrm>
              <a:off x="687915" y="11485915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𝒕𝒖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𝒊𝒋𝒕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C309769-CEAB-41E3-A369-81F0878B0055}"/>
                </a:ext>
              </a:extLst>
            </xdr:cNvPr>
            <xdr:cNvSpPr txBox="1"/>
          </xdr:nvSpPr>
          <xdr:spPr>
            <a:xfrm>
              <a:off x="687915" y="11485915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𝒕𝒖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𝒊𝒋𝒕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17640</xdr:colOff>
      <xdr:row>70</xdr:row>
      <xdr:rowOff>20651</xdr:rowOff>
    </xdr:from>
    <xdr:ext cx="638175" cy="423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AFBB898F-4E7F-4B25-9E0C-3D60F818F4E9}"/>
                </a:ext>
              </a:extLst>
            </xdr:cNvPr>
            <xdr:cNvSpPr txBox="1"/>
          </xdr:nvSpPr>
          <xdr:spPr>
            <a:xfrm>
              <a:off x="661459" y="14608012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𝒕𝒅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𝒊𝒋𝒕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AFBB898F-4E7F-4B25-9E0C-3D60F818F4E9}"/>
                </a:ext>
              </a:extLst>
            </xdr:cNvPr>
            <xdr:cNvSpPr txBox="1"/>
          </xdr:nvSpPr>
          <xdr:spPr>
            <a:xfrm>
              <a:off x="661459" y="14608012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𝒕𝒅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𝒊𝒋𝒕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87</xdr:row>
      <xdr:rowOff>0</xdr:rowOff>
    </xdr:from>
    <xdr:ext cx="638175" cy="423862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B8F270A-4C61-4F6C-832D-A0FED0942552}"/>
            </a:ext>
          </a:extLst>
        </xdr:cNvPr>
        <xdr:cNvSpPr txBox="1"/>
      </xdr:nvSpPr>
      <xdr:spPr>
        <a:xfrm>
          <a:off x="608542" y="14713832"/>
          <a:ext cx="638175" cy="4238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en-GB" sz="1500" b="1"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oneCellAnchor>
  <xdr:oneCellAnchor>
    <xdr:from>
      <xdr:col>1</xdr:col>
      <xdr:colOff>0</xdr:colOff>
      <xdr:row>80</xdr:row>
      <xdr:rowOff>197045</xdr:rowOff>
    </xdr:from>
    <xdr:ext cx="638175" cy="423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2624E19E-006B-4DE4-B8E6-87F970835F8C}"/>
                </a:ext>
              </a:extLst>
            </xdr:cNvPr>
            <xdr:cNvSpPr txBox="1"/>
          </xdr:nvSpPr>
          <xdr:spPr>
            <a:xfrm>
              <a:off x="643819" y="17483156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𝒓𝒑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2624E19E-006B-4DE4-B8E6-87F970835F8C}"/>
                </a:ext>
              </a:extLst>
            </xdr:cNvPr>
            <xdr:cNvSpPr txBox="1"/>
          </xdr:nvSpPr>
          <xdr:spPr>
            <a:xfrm>
              <a:off x="643819" y="17483156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𝒓𝒑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4</xdr:col>
      <xdr:colOff>27869</xdr:colOff>
      <xdr:row>65</xdr:row>
      <xdr:rowOff>19050</xdr:rowOff>
    </xdr:from>
    <xdr:ext cx="302647" cy="1484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2FCB119C-2BC2-B274-246F-35A99A193B67}"/>
                </a:ext>
              </a:extLst>
            </xdr:cNvPr>
            <xdr:cNvSpPr txBox="1"/>
          </xdr:nvSpPr>
          <xdr:spPr>
            <a:xfrm>
              <a:off x="1950508" y="13204119"/>
              <a:ext cx="302647" cy="148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1" i="1">
                        <a:latin typeface="Cambria Math" panose="02040503050406030204" pitchFamily="18" charset="0"/>
                      </a:rPr>
                      <m:t>𝒊</m:t>
                    </m:r>
                    <m:r>
                      <a:rPr lang="en-US" sz="9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900" b="1" i="1">
                        <a:latin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en-GB" sz="9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2FCB119C-2BC2-B274-246F-35A99A193B67}"/>
                </a:ext>
              </a:extLst>
            </xdr:cNvPr>
            <xdr:cNvSpPr txBox="1"/>
          </xdr:nvSpPr>
          <xdr:spPr>
            <a:xfrm>
              <a:off x="1950508" y="13204119"/>
              <a:ext cx="302647" cy="148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900" b="1" i="0">
                  <a:latin typeface="Cambria Math" panose="02040503050406030204" pitchFamily="18" charset="0"/>
                </a:rPr>
                <a:t>𝒊=𝟏</a:t>
              </a:r>
              <a:endParaRPr lang="en-GB" sz="9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17639</xdr:colOff>
      <xdr:row>67</xdr:row>
      <xdr:rowOff>26458</xdr:rowOff>
    </xdr:from>
    <xdr:ext cx="302647" cy="1484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AEA842AD-CCA4-4DB2-9758-07520EC2390D}"/>
                </a:ext>
              </a:extLst>
            </xdr:cNvPr>
            <xdr:cNvSpPr txBox="1"/>
          </xdr:nvSpPr>
          <xdr:spPr>
            <a:xfrm>
              <a:off x="4162778" y="13211527"/>
              <a:ext cx="302647" cy="148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1" i="1">
                        <a:latin typeface="Cambria Math" panose="02040503050406030204" pitchFamily="18" charset="0"/>
                      </a:rPr>
                      <m:t>𝒊</m:t>
                    </m:r>
                    <m:r>
                      <a:rPr lang="en-US" sz="9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900" b="1" i="1">
                        <a:latin typeface="Cambria Math" panose="02040503050406030204" pitchFamily="18" charset="0"/>
                      </a:rPr>
                      <m:t>𝟐</m:t>
                    </m:r>
                  </m:oMath>
                </m:oMathPara>
              </a14:m>
              <a:endParaRPr lang="en-GB" sz="9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AEA842AD-CCA4-4DB2-9758-07520EC2390D}"/>
                </a:ext>
              </a:extLst>
            </xdr:cNvPr>
            <xdr:cNvSpPr txBox="1"/>
          </xdr:nvSpPr>
          <xdr:spPr>
            <a:xfrm>
              <a:off x="4162778" y="13211527"/>
              <a:ext cx="302647" cy="148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900" b="1" i="0">
                  <a:latin typeface="Cambria Math" panose="02040503050406030204" pitchFamily="18" charset="0"/>
                </a:rPr>
                <a:t>𝒊=𝟐</a:t>
              </a:r>
              <a:endParaRPr lang="en-GB" sz="9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102834</xdr:colOff>
      <xdr:row>5</xdr:row>
      <xdr:rowOff>124883</xdr:rowOff>
    </xdr:from>
    <xdr:ext cx="443972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8DC77B8-FB46-4D3D-1AD7-8903A39F0B8E}"/>
                </a:ext>
              </a:extLst>
            </xdr:cNvPr>
            <xdr:cNvSpPr txBox="1"/>
          </xdr:nvSpPr>
          <xdr:spPr>
            <a:xfrm>
              <a:off x="746653" y="1341966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1" i="1">
                        <a:latin typeface="Cambria Math" panose="02040503050406030204" pitchFamily="18" charset="0"/>
                      </a:rPr>
                      <m:t>𝒏</m:t>
                    </m:r>
                  </m:oMath>
                </m:oMathPara>
              </a14:m>
              <a:endParaRPr lang="en-GB" sz="20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8DC77B8-FB46-4D3D-1AD7-8903A39F0B8E}"/>
                </a:ext>
              </a:extLst>
            </xdr:cNvPr>
            <xdr:cNvSpPr txBox="1"/>
          </xdr:nvSpPr>
          <xdr:spPr>
            <a:xfrm>
              <a:off x="746653" y="1341966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000" b="1" i="0">
                  <a:latin typeface="Cambria Math" panose="02040503050406030204" pitchFamily="18" charset="0"/>
                </a:rPr>
                <a:t>𝒏</a:t>
              </a:r>
              <a:endParaRPr lang="en-GB" sz="2000" b="1"/>
            </a:p>
          </xdr:txBody>
        </xdr:sp>
      </mc:Fallback>
    </mc:AlternateContent>
    <xdr:clientData/>
  </xdr:oneCellAnchor>
  <xdr:twoCellAnchor>
    <xdr:from>
      <xdr:col>61</xdr:col>
      <xdr:colOff>0</xdr:colOff>
      <xdr:row>2</xdr:row>
      <xdr:rowOff>0</xdr:rowOff>
    </xdr:from>
    <xdr:to>
      <xdr:col>62</xdr:col>
      <xdr:colOff>0</xdr:colOff>
      <xdr:row>3</xdr:row>
      <xdr:rowOff>0</xdr:rowOff>
    </xdr:to>
    <xdr:sp macro="" textlink="">
      <xdr:nvSpPr>
        <xdr:cNvPr id="719" name="Right Triangle 718">
          <a:extLst>
            <a:ext uri="{FF2B5EF4-FFF2-40B4-BE49-F238E27FC236}">
              <a16:creationId xmlns:a16="http://schemas.microsoft.com/office/drawing/2014/main" id="{0B0B639F-7A2C-4950-A91B-815499771C00}"/>
            </a:ext>
          </a:extLst>
        </xdr:cNvPr>
        <xdr:cNvSpPr/>
      </xdr:nvSpPr>
      <xdr:spPr>
        <a:xfrm>
          <a:off x="8667750" y="3067050"/>
          <a:ext cx="1247775" cy="390525"/>
        </a:xfrm>
        <a:prstGeom prst="rtTriangle">
          <a:avLst/>
        </a:prstGeom>
        <a:solidFill>
          <a:schemeClr val="accent2">
            <a:lumMod val="7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 baseline="0">
              <a:solidFill>
                <a:schemeClr val="bg1"/>
              </a:solidFill>
              <a:latin typeface="Cavolini" panose="03000502040302020204" pitchFamily="66" charset="0"/>
              <a:cs typeface="Cavolini" panose="03000502040302020204" pitchFamily="66" charset="0"/>
            </a:rPr>
            <a:t>Depot</a:t>
          </a:r>
        </a:p>
      </xdr:txBody>
    </xdr:sp>
    <xdr:clientData/>
  </xdr:twoCellAnchor>
  <xdr:twoCellAnchor>
    <xdr:from>
      <xdr:col>61</xdr:col>
      <xdr:colOff>0</xdr:colOff>
      <xdr:row>2</xdr:row>
      <xdr:rowOff>0</xdr:rowOff>
    </xdr:from>
    <xdr:to>
      <xdr:col>62</xdr:col>
      <xdr:colOff>0</xdr:colOff>
      <xdr:row>3</xdr:row>
      <xdr:rowOff>0</xdr:rowOff>
    </xdr:to>
    <xdr:sp macro="" textlink="">
      <xdr:nvSpPr>
        <xdr:cNvPr id="720" name="Right Triangle 719">
          <a:extLst>
            <a:ext uri="{FF2B5EF4-FFF2-40B4-BE49-F238E27FC236}">
              <a16:creationId xmlns:a16="http://schemas.microsoft.com/office/drawing/2014/main" id="{46CFF9DB-C048-40ED-BBC5-60C8D808512B}"/>
            </a:ext>
          </a:extLst>
        </xdr:cNvPr>
        <xdr:cNvSpPr/>
      </xdr:nvSpPr>
      <xdr:spPr>
        <a:xfrm>
          <a:off x="8667750" y="3067050"/>
          <a:ext cx="1247775" cy="390525"/>
        </a:xfrm>
        <a:prstGeom prst="rtTriangle">
          <a:avLst/>
        </a:prstGeom>
        <a:solidFill>
          <a:schemeClr val="accent2">
            <a:lumMod val="7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 b="1" baseline="0">
              <a:solidFill>
                <a:schemeClr val="bg1"/>
              </a:solidFill>
              <a:latin typeface="Cavolini" panose="03000502040302020204" pitchFamily="66" charset="0"/>
              <a:cs typeface="Cavolini" panose="03000502040302020204" pitchFamily="66" charset="0"/>
            </a:rPr>
            <a:t>-</a:t>
          </a:r>
        </a:p>
      </xdr:txBody>
    </xdr:sp>
    <xdr:clientData/>
  </xdr:twoCellAnchor>
  <xdr:twoCellAnchor>
    <xdr:from>
      <xdr:col>61</xdr:col>
      <xdr:colOff>0</xdr:colOff>
      <xdr:row>7</xdr:row>
      <xdr:rowOff>0</xdr:rowOff>
    </xdr:from>
    <xdr:to>
      <xdr:col>62</xdr:col>
      <xdr:colOff>0</xdr:colOff>
      <xdr:row>8</xdr:row>
      <xdr:rowOff>0</xdr:rowOff>
    </xdr:to>
    <xdr:sp macro="" textlink="">
      <xdr:nvSpPr>
        <xdr:cNvPr id="721" name="Right Triangle 720">
          <a:extLst>
            <a:ext uri="{FF2B5EF4-FFF2-40B4-BE49-F238E27FC236}">
              <a16:creationId xmlns:a16="http://schemas.microsoft.com/office/drawing/2014/main" id="{4FB8CA08-E54D-4BCA-8BED-6E4FCD4D853A}"/>
            </a:ext>
          </a:extLst>
        </xdr:cNvPr>
        <xdr:cNvSpPr/>
      </xdr:nvSpPr>
      <xdr:spPr>
        <a:xfrm>
          <a:off x="609600" y="847725"/>
          <a:ext cx="1790700" cy="333375"/>
        </a:xfrm>
        <a:prstGeom prst="rtTriangle">
          <a:avLst/>
        </a:prstGeom>
        <a:solidFill>
          <a:schemeClr val="accent6">
            <a:lumMod val="7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 b="1">
              <a:solidFill>
                <a:schemeClr val="bg1"/>
              </a:solidFill>
              <a:latin typeface="Cavolini" panose="03000502040302020204" pitchFamily="66" charset="0"/>
              <a:cs typeface="Cavolini" panose="03000502040302020204" pitchFamily="66" charset="0"/>
            </a:rPr>
            <a:t>Day</a:t>
          </a:r>
          <a:endParaRPr lang="en-GB" sz="1000" b="1">
            <a:solidFill>
              <a:schemeClr val="bg1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6</xdr:col>
      <xdr:colOff>9431</xdr:colOff>
      <xdr:row>5</xdr:row>
      <xdr:rowOff>18861</xdr:rowOff>
    </xdr:from>
    <xdr:to>
      <xdr:col>12</xdr:col>
      <xdr:colOff>254629</xdr:colOff>
      <xdr:row>7</xdr:row>
      <xdr:rowOff>94308</xdr:rowOff>
    </xdr:to>
    <xdr:sp macro="" textlink="">
      <xdr:nvSpPr>
        <xdr:cNvPr id="5548" name="Callout: Left Arrow 5547">
          <a:extLst>
            <a:ext uri="{FF2B5EF4-FFF2-40B4-BE49-F238E27FC236}">
              <a16:creationId xmlns:a16="http://schemas.microsoft.com/office/drawing/2014/main" id="{9452C3A4-07DE-67F4-3F70-2A41F495AB8A}"/>
            </a:ext>
          </a:extLst>
        </xdr:cNvPr>
        <xdr:cNvSpPr/>
      </xdr:nvSpPr>
      <xdr:spPr>
        <a:xfrm>
          <a:off x="3470495" y="1009084"/>
          <a:ext cx="2055891" cy="471536"/>
        </a:xfrm>
        <a:prstGeom prst="leftArrowCallou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  <a:latin typeface="Cavolini" panose="03000502040302020204" pitchFamily="66" charset="0"/>
              <a:cs typeface="Cavolini" panose="03000502040302020204" pitchFamily="66" charset="0"/>
            </a:rPr>
            <a:t>Number</a:t>
          </a:r>
          <a:r>
            <a:rPr lang="en-GB" sz="1100" b="1" baseline="0">
              <a:solidFill>
                <a:sysClr val="windowText" lastClr="000000"/>
              </a:solidFill>
              <a:latin typeface="Cavolini" panose="03000502040302020204" pitchFamily="66" charset="0"/>
              <a:cs typeface="Cavolini" panose="03000502040302020204" pitchFamily="66" charset="0"/>
            </a:rPr>
            <a:t> of Cars, n</a:t>
          </a:r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10</xdr:col>
      <xdr:colOff>103737</xdr:colOff>
      <xdr:row>10</xdr:row>
      <xdr:rowOff>0</xdr:rowOff>
    </xdr:from>
    <xdr:to>
      <xdr:col>17</xdr:col>
      <xdr:colOff>1</xdr:colOff>
      <xdr:row>15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49" name="Callout: Left Arrow 5548">
              <a:extLst>
                <a:ext uri="{FF2B5EF4-FFF2-40B4-BE49-F238E27FC236}">
                  <a16:creationId xmlns:a16="http://schemas.microsoft.com/office/drawing/2014/main" id="{DEFD24CD-B8EF-447B-9E5E-14F96575112A}"/>
                </a:ext>
              </a:extLst>
            </xdr:cNvPr>
            <xdr:cNvSpPr/>
          </xdr:nvSpPr>
          <xdr:spPr>
            <a:xfrm>
              <a:off x="4809653" y="1980446"/>
              <a:ext cx="2357675" cy="1122252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𝒏𝒖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undamaged cars at depot i at the beginning of day t for all i, t</a:t>
              </a:r>
            </a:p>
          </xdr:txBody>
        </xdr:sp>
      </mc:Choice>
      <mc:Fallback xmlns="">
        <xdr:sp macro="" textlink="">
          <xdr:nvSpPr>
            <xdr:cNvPr id="5549" name="Callout: Left Arrow 5548">
              <a:extLst>
                <a:ext uri="{FF2B5EF4-FFF2-40B4-BE49-F238E27FC236}">
                  <a16:creationId xmlns:a16="http://schemas.microsoft.com/office/drawing/2014/main" id="{DEFD24CD-B8EF-447B-9E5E-14F96575112A}"/>
                </a:ext>
              </a:extLst>
            </xdr:cNvPr>
            <xdr:cNvSpPr/>
          </xdr:nvSpPr>
          <xdr:spPr>
            <a:xfrm>
              <a:off x="4809653" y="1980446"/>
              <a:ext cx="2357675" cy="1122252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𝒏𝒖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undamaged cars at depot i at the beginning of day t for all i, t</a:t>
              </a:r>
            </a:p>
          </xdr:txBody>
        </xdr:sp>
      </mc:Fallback>
    </mc:AlternateContent>
    <xdr:clientData/>
  </xdr:twoCellAnchor>
  <xdr:twoCellAnchor>
    <xdr:from>
      <xdr:col>10</xdr:col>
      <xdr:colOff>179294</xdr:colOff>
      <xdr:row>18</xdr:row>
      <xdr:rowOff>67236</xdr:rowOff>
    </xdr:from>
    <xdr:to>
      <xdr:col>17</xdr:col>
      <xdr:colOff>75558</xdr:colOff>
      <xdr:row>23</xdr:row>
      <xdr:rowOff>67236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50" name="Callout: Left Arrow 5549">
              <a:extLst>
                <a:ext uri="{FF2B5EF4-FFF2-40B4-BE49-F238E27FC236}">
                  <a16:creationId xmlns:a16="http://schemas.microsoft.com/office/drawing/2014/main" id="{7FB17A49-3D18-4FAB-8FED-490B53646A80}"/>
                </a:ext>
              </a:extLst>
            </xdr:cNvPr>
            <xdr:cNvSpPr/>
          </xdr:nvSpPr>
          <xdr:spPr>
            <a:xfrm>
              <a:off x="4885765" y="3832412"/>
              <a:ext cx="2372764" cy="1143000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𝒏𝒅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damaged cars at depot i at the beginning of day t for all i, t</a:t>
              </a:r>
            </a:p>
          </xdr:txBody>
        </xdr:sp>
      </mc:Choice>
      <mc:Fallback xmlns="">
        <xdr:sp macro="" textlink="">
          <xdr:nvSpPr>
            <xdr:cNvPr id="5550" name="Callout: Left Arrow 5549">
              <a:extLst>
                <a:ext uri="{FF2B5EF4-FFF2-40B4-BE49-F238E27FC236}">
                  <a16:creationId xmlns:a16="http://schemas.microsoft.com/office/drawing/2014/main" id="{7FB17A49-3D18-4FAB-8FED-490B53646A80}"/>
                </a:ext>
              </a:extLst>
            </xdr:cNvPr>
            <xdr:cNvSpPr/>
          </xdr:nvSpPr>
          <xdr:spPr>
            <a:xfrm>
              <a:off x="4885765" y="3832412"/>
              <a:ext cx="2372764" cy="1143000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𝒏𝒅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damaged cars at depot i at the beginning of day t for all i, t</a:t>
              </a:r>
            </a:p>
          </xdr:txBody>
        </xdr:sp>
      </mc:Fallback>
    </mc:AlternateContent>
    <xdr:clientData/>
  </xdr:twoCellAnchor>
  <xdr:twoCellAnchor>
    <xdr:from>
      <xdr:col>10</xdr:col>
      <xdr:colOff>156883</xdr:colOff>
      <xdr:row>25</xdr:row>
      <xdr:rowOff>190500</xdr:rowOff>
    </xdr:from>
    <xdr:to>
      <xdr:col>17</xdr:col>
      <xdr:colOff>53147</xdr:colOff>
      <xdr:row>30</xdr:row>
      <xdr:rowOff>190500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52" name="Callout: Left Arrow 5551">
              <a:extLst>
                <a:ext uri="{FF2B5EF4-FFF2-40B4-BE49-F238E27FC236}">
                  <a16:creationId xmlns:a16="http://schemas.microsoft.com/office/drawing/2014/main" id="{FE798CFB-61E3-41B4-A8B6-1033BCAF4032}"/>
                </a:ext>
              </a:extLst>
            </xdr:cNvPr>
            <xdr:cNvSpPr/>
          </xdr:nvSpPr>
          <xdr:spPr>
            <a:xfrm>
              <a:off x="4863354" y="5502088"/>
              <a:ext cx="2372764" cy="1143000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𝒕𝒓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cars rented out from depot i at beginning of day t for all i, t</a:t>
              </a:r>
            </a:p>
          </xdr:txBody>
        </xdr:sp>
      </mc:Choice>
      <mc:Fallback xmlns="">
        <xdr:sp macro="" textlink="">
          <xdr:nvSpPr>
            <xdr:cNvPr id="5552" name="Callout: Left Arrow 5551">
              <a:extLst>
                <a:ext uri="{FF2B5EF4-FFF2-40B4-BE49-F238E27FC236}">
                  <a16:creationId xmlns:a16="http://schemas.microsoft.com/office/drawing/2014/main" id="{FE798CFB-61E3-41B4-A8B6-1033BCAF4032}"/>
                </a:ext>
              </a:extLst>
            </xdr:cNvPr>
            <xdr:cNvSpPr/>
          </xdr:nvSpPr>
          <xdr:spPr>
            <a:xfrm>
              <a:off x="4863354" y="5502088"/>
              <a:ext cx="2372764" cy="1143000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𝒕𝒓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cars rented out from depot i at beginning of day t for all i, t</a:t>
              </a:r>
            </a:p>
          </xdr:txBody>
        </xdr:sp>
      </mc:Fallback>
    </mc:AlternateContent>
    <xdr:clientData/>
  </xdr:twoCellAnchor>
  <xdr:twoCellAnchor>
    <xdr:from>
      <xdr:col>10</xdr:col>
      <xdr:colOff>190499</xdr:colOff>
      <xdr:row>34</xdr:row>
      <xdr:rowOff>56029</xdr:rowOff>
    </xdr:from>
    <xdr:to>
      <xdr:col>17</xdr:col>
      <xdr:colOff>86763</xdr:colOff>
      <xdr:row>39</xdr:row>
      <xdr:rowOff>56029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53" name="Callout: Left Arrow 5552">
              <a:extLst>
                <a:ext uri="{FF2B5EF4-FFF2-40B4-BE49-F238E27FC236}">
                  <a16:creationId xmlns:a16="http://schemas.microsoft.com/office/drawing/2014/main" id="{701B350F-BFB6-4728-808B-C7A4DF635E9B}"/>
                </a:ext>
              </a:extLst>
            </xdr:cNvPr>
            <xdr:cNvSpPr/>
          </xdr:nvSpPr>
          <xdr:spPr>
            <a:xfrm>
              <a:off x="4896970" y="7317441"/>
              <a:ext cx="2473617" cy="1143000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𝒆𝒖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Undamaged cars left at depot i during day t for all i, t</a:t>
              </a:r>
            </a:p>
          </xdr:txBody>
        </xdr:sp>
      </mc:Choice>
      <mc:Fallback xmlns="">
        <xdr:sp macro="" textlink="">
          <xdr:nvSpPr>
            <xdr:cNvPr id="5553" name="Callout: Left Arrow 5552">
              <a:extLst>
                <a:ext uri="{FF2B5EF4-FFF2-40B4-BE49-F238E27FC236}">
                  <a16:creationId xmlns:a16="http://schemas.microsoft.com/office/drawing/2014/main" id="{701B350F-BFB6-4728-808B-C7A4DF635E9B}"/>
                </a:ext>
              </a:extLst>
            </xdr:cNvPr>
            <xdr:cNvSpPr/>
          </xdr:nvSpPr>
          <xdr:spPr>
            <a:xfrm>
              <a:off x="4896970" y="7317441"/>
              <a:ext cx="2473617" cy="1143000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𝒆𝒖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Undamaged cars left at depot i during day t for all i, t</a:t>
              </a:r>
            </a:p>
          </xdr:txBody>
        </xdr:sp>
      </mc:Fallback>
    </mc:AlternateContent>
    <xdr:clientData/>
  </xdr:twoCellAnchor>
  <xdr:twoCellAnchor>
    <xdr:from>
      <xdr:col>10</xdr:col>
      <xdr:colOff>168088</xdr:colOff>
      <xdr:row>41</xdr:row>
      <xdr:rowOff>100852</xdr:rowOff>
    </xdr:from>
    <xdr:to>
      <xdr:col>16</xdr:col>
      <xdr:colOff>613441</xdr:colOff>
      <xdr:row>47</xdr:row>
      <xdr:rowOff>33617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54" name="Callout: Left Arrow 5553">
              <a:extLst>
                <a:ext uri="{FF2B5EF4-FFF2-40B4-BE49-F238E27FC236}">
                  <a16:creationId xmlns:a16="http://schemas.microsoft.com/office/drawing/2014/main" id="{4110F91C-8014-4FE4-A4BA-98F20A99C3BC}"/>
                </a:ext>
              </a:extLst>
            </xdr:cNvPr>
            <xdr:cNvSpPr/>
          </xdr:nvSpPr>
          <xdr:spPr>
            <a:xfrm>
              <a:off x="4874559" y="8908676"/>
              <a:ext cx="2372764" cy="1143000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𝒆𝒅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Damaged cars left at depot i at the beginning of day t for all i, t</a:t>
              </a:r>
            </a:p>
          </xdr:txBody>
        </xdr:sp>
      </mc:Choice>
      <mc:Fallback xmlns="">
        <xdr:sp macro="" textlink="">
          <xdr:nvSpPr>
            <xdr:cNvPr id="5554" name="Callout: Left Arrow 5553">
              <a:extLst>
                <a:ext uri="{FF2B5EF4-FFF2-40B4-BE49-F238E27FC236}">
                  <a16:creationId xmlns:a16="http://schemas.microsoft.com/office/drawing/2014/main" id="{4110F91C-8014-4FE4-A4BA-98F20A99C3BC}"/>
                </a:ext>
              </a:extLst>
            </xdr:cNvPr>
            <xdr:cNvSpPr/>
          </xdr:nvSpPr>
          <xdr:spPr>
            <a:xfrm>
              <a:off x="4874559" y="8908676"/>
              <a:ext cx="2372764" cy="1143000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𝒆𝒅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Damaged cars left at depot i at the beginning of day t for all i, t</a:t>
              </a:r>
            </a:p>
          </xdr:txBody>
        </xdr:sp>
      </mc:Fallback>
    </mc:AlternateContent>
    <xdr:clientData/>
  </xdr:twoCellAnchor>
  <xdr:twoCellAnchor>
    <xdr:from>
      <xdr:col>10</xdr:col>
      <xdr:colOff>280146</xdr:colOff>
      <xdr:row>80</xdr:row>
      <xdr:rowOff>22411</xdr:rowOff>
    </xdr:from>
    <xdr:to>
      <xdr:col>17</xdr:col>
      <xdr:colOff>176410</xdr:colOff>
      <xdr:row>85</xdr:row>
      <xdr:rowOff>22411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55" name="Callout: Left Arrow 5554">
              <a:extLst>
                <a:ext uri="{FF2B5EF4-FFF2-40B4-BE49-F238E27FC236}">
                  <a16:creationId xmlns:a16="http://schemas.microsoft.com/office/drawing/2014/main" id="{1D5F9477-0011-487A-A591-88193115F1F0}"/>
                </a:ext>
              </a:extLst>
            </xdr:cNvPr>
            <xdr:cNvSpPr/>
          </xdr:nvSpPr>
          <xdr:spPr>
            <a:xfrm>
              <a:off x="4986617" y="17357911"/>
              <a:ext cx="2372764" cy="1143000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𝒓𝒑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damaged cars to be repaired at depot i on day for all i, t</a:t>
              </a:r>
            </a:p>
          </xdr:txBody>
        </xdr:sp>
      </mc:Choice>
      <mc:Fallback xmlns="">
        <xdr:sp macro="" textlink="">
          <xdr:nvSpPr>
            <xdr:cNvPr id="5555" name="Callout: Left Arrow 5554">
              <a:extLst>
                <a:ext uri="{FF2B5EF4-FFF2-40B4-BE49-F238E27FC236}">
                  <a16:creationId xmlns:a16="http://schemas.microsoft.com/office/drawing/2014/main" id="{1D5F9477-0011-487A-A591-88193115F1F0}"/>
                </a:ext>
              </a:extLst>
            </xdr:cNvPr>
            <xdr:cNvSpPr/>
          </xdr:nvSpPr>
          <xdr:spPr>
            <a:xfrm>
              <a:off x="4986617" y="17357911"/>
              <a:ext cx="2372764" cy="1143000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𝒓𝒑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damaged cars to be repaired at depot i on day for all i, t</a:t>
              </a:r>
            </a:p>
          </xdr:txBody>
        </xdr:sp>
      </mc:Fallback>
    </mc:AlternateContent>
    <xdr:clientData/>
  </xdr:twoCellAnchor>
  <xdr:twoCellAnchor>
    <xdr:from>
      <xdr:col>18</xdr:col>
      <xdr:colOff>30932</xdr:colOff>
      <xdr:row>38</xdr:row>
      <xdr:rowOff>39029</xdr:rowOff>
    </xdr:from>
    <xdr:to>
      <xdr:col>20</xdr:col>
      <xdr:colOff>320385</xdr:colOff>
      <xdr:row>49</xdr:row>
      <xdr:rowOff>193028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56" name="Callout: Left Arrow 5555">
              <a:extLst>
                <a:ext uri="{FF2B5EF4-FFF2-40B4-BE49-F238E27FC236}">
                  <a16:creationId xmlns:a16="http://schemas.microsoft.com/office/drawing/2014/main" id="{A5F8D29F-301D-40DC-81FA-B1D58C1E5133}"/>
                </a:ext>
              </a:extLst>
            </xdr:cNvPr>
            <xdr:cNvSpPr/>
          </xdr:nvSpPr>
          <xdr:spPr>
            <a:xfrm rot="17863405">
              <a:off x="7572983" y="8633449"/>
              <a:ext cx="2372764" cy="1589335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𝒕𝒖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𝒊𝒋𝒕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undamaged cars at depot i at the beginning of day t, to be transferred to depot j for all i, j, t</a:t>
              </a:r>
            </a:p>
          </xdr:txBody>
        </xdr:sp>
      </mc:Choice>
      <mc:Fallback xmlns="">
        <xdr:sp macro="" textlink="">
          <xdr:nvSpPr>
            <xdr:cNvPr id="5556" name="Callout: Left Arrow 5555">
              <a:extLst>
                <a:ext uri="{FF2B5EF4-FFF2-40B4-BE49-F238E27FC236}">
                  <a16:creationId xmlns:a16="http://schemas.microsoft.com/office/drawing/2014/main" id="{A5F8D29F-301D-40DC-81FA-B1D58C1E5133}"/>
                </a:ext>
              </a:extLst>
            </xdr:cNvPr>
            <xdr:cNvSpPr/>
          </xdr:nvSpPr>
          <xdr:spPr>
            <a:xfrm rot="17863405">
              <a:off x="7572983" y="8633449"/>
              <a:ext cx="2372764" cy="1589335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𝒕𝒖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𝒊𝒋𝒕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undamaged cars at depot i at the beginning of day t, to be transferred to depot j for all i, j, t</a:t>
              </a:r>
            </a:p>
          </xdr:txBody>
        </xdr:sp>
      </mc:Fallback>
    </mc:AlternateContent>
    <xdr:clientData/>
  </xdr:twoCellAnchor>
  <xdr:twoCellAnchor>
    <xdr:from>
      <xdr:col>18</xdr:col>
      <xdr:colOff>0</xdr:colOff>
      <xdr:row>79</xdr:row>
      <xdr:rowOff>0</xdr:rowOff>
    </xdr:from>
    <xdr:to>
      <xdr:col>20</xdr:col>
      <xdr:colOff>289453</xdr:colOff>
      <xdr:row>90</xdr:row>
      <xdr:rowOff>19529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57" name="Callout: Left Arrow 5556">
              <a:extLst>
                <a:ext uri="{FF2B5EF4-FFF2-40B4-BE49-F238E27FC236}">
                  <a16:creationId xmlns:a16="http://schemas.microsoft.com/office/drawing/2014/main" id="{5ABEEAD2-140F-4128-A159-C69B0EED68B1}"/>
                </a:ext>
              </a:extLst>
            </xdr:cNvPr>
            <xdr:cNvSpPr/>
          </xdr:nvSpPr>
          <xdr:spPr>
            <a:xfrm rot="4154618">
              <a:off x="7542051" y="18153038"/>
              <a:ext cx="2372764" cy="1589335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𝒕𝒅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𝒊𝒋𝒕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damaged cars at depot i at the beginning of day t, to be transferred to depot j for all i, j, t</a:t>
              </a:r>
            </a:p>
          </xdr:txBody>
        </xdr:sp>
      </mc:Choice>
      <mc:Fallback xmlns="">
        <xdr:sp macro="" textlink="">
          <xdr:nvSpPr>
            <xdr:cNvPr id="5557" name="Callout: Left Arrow 5556">
              <a:extLst>
                <a:ext uri="{FF2B5EF4-FFF2-40B4-BE49-F238E27FC236}">
                  <a16:creationId xmlns:a16="http://schemas.microsoft.com/office/drawing/2014/main" id="{5ABEEAD2-140F-4128-A159-C69B0EED68B1}"/>
                </a:ext>
              </a:extLst>
            </xdr:cNvPr>
            <xdr:cNvSpPr/>
          </xdr:nvSpPr>
          <xdr:spPr>
            <a:xfrm rot="4154618">
              <a:off x="7542051" y="18153038"/>
              <a:ext cx="2372764" cy="1589335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𝒕𝒅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𝒊𝒋𝒕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damaged cars at depot i at the beginning of day t, to be transferred to depot j for all i, j, t</a:t>
              </a:r>
            </a:p>
          </xdr:txBody>
        </xdr:sp>
      </mc:Fallback>
    </mc:AlternateContent>
    <xdr:clientData/>
  </xdr:twoCellAnchor>
  <xdr:twoCellAnchor>
    <xdr:from>
      <xdr:col>26</xdr:col>
      <xdr:colOff>459441</xdr:colOff>
      <xdr:row>75</xdr:row>
      <xdr:rowOff>22412</xdr:rowOff>
    </xdr:from>
    <xdr:to>
      <xdr:col>31</xdr:col>
      <xdr:colOff>145676</xdr:colOff>
      <xdr:row>80</xdr:row>
      <xdr:rowOff>224118</xdr:rowOff>
    </xdr:to>
    <xdr:sp macro="" textlink="">
      <xdr:nvSpPr>
        <xdr:cNvPr id="5559" name="Arrow: Left 5558">
          <a:extLst>
            <a:ext uri="{FF2B5EF4-FFF2-40B4-BE49-F238E27FC236}">
              <a16:creationId xmlns:a16="http://schemas.microsoft.com/office/drawing/2014/main" id="{9E1CF217-000B-80B0-142B-F036406F359D}"/>
            </a:ext>
          </a:extLst>
        </xdr:cNvPr>
        <xdr:cNvSpPr/>
      </xdr:nvSpPr>
      <xdr:spPr>
        <a:xfrm rot="469296">
          <a:off x="13615147" y="16853647"/>
          <a:ext cx="2835088" cy="13335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1" i="0">
            <a:solidFill>
              <a:sysClr val="windowText" lastClr="000000"/>
            </a:solidFill>
            <a:effectLst/>
            <a:latin typeface="Cavolini" panose="03000502040302020204" pitchFamily="66" charset="0"/>
            <a:ea typeface="+mn-ea"/>
            <a:cs typeface="Cavolini" panose="03000502040302020204" pitchFamily="66" charset="0"/>
          </a:endParaRPr>
        </a:p>
        <a:p>
          <a:pPr algn="l"/>
          <a:r>
            <a:rPr lang="en-GB" sz="1100" b="1" i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∑0.25𝑡𝑟𝑖1+0.45𝑡𝑟𝑖2+ 𝑛𝑢𝑖3+ 𝑛𝑑𝑖3=𝑛 i</a:t>
          </a:r>
          <a:r>
            <a:rPr lang="en-GB" sz="1100" b="1" i="0" baseline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 = 1 to 4</a:t>
          </a:r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38</xdr:col>
      <xdr:colOff>0</xdr:colOff>
      <xdr:row>65</xdr:row>
      <xdr:rowOff>0</xdr:rowOff>
    </xdr:from>
    <xdr:to>
      <xdr:col>42</xdr:col>
      <xdr:colOff>235323</xdr:colOff>
      <xdr:row>70</xdr:row>
      <xdr:rowOff>33618</xdr:rowOff>
    </xdr:to>
    <xdr:sp macro="" textlink="">
      <xdr:nvSpPr>
        <xdr:cNvPr id="5560" name="Arrow: Left 5559">
          <a:extLst>
            <a:ext uri="{FF2B5EF4-FFF2-40B4-BE49-F238E27FC236}">
              <a16:creationId xmlns:a16="http://schemas.microsoft.com/office/drawing/2014/main" id="{6E89EB8E-4A0F-4916-AF7E-E5DE407A492C}"/>
            </a:ext>
          </a:extLst>
        </xdr:cNvPr>
        <xdr:cNvSpPr/>
      </xdr:nvSpPr>
      <xdr:spPr>
        <a:xfrm rot="469296">
          <a:off x="20876559" y="14231471"/>
          <a:ext cx="2835088" cy="13335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1" i="0">
            <a:solidFill>
              <a:sysClr val="windowText" lastClr="000000"/>
            </a:solidFill>
            <a:effectLst/>
            <a:latin typeface="Cavolini" panose="03000502040302020204" pitchFamily="66" charset="0"/>
            <a:ea typeface="+mn-ea"/>
            <a:cs typeface="Cavolini" panose="03000502040302020204" pitchFamily="66" charset="0"/>
          </a:endParaRPr>
        </a:p>
        <a:p>
          <a:pPr algn="l"/>
          <a:r>
            <a:rPr lang="en-GB" sz="1100" b="1" i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𝑡𝑟𝑖𝑡≤ 𝐷𝑖𝑡 , for all i, t</a:t>
          </a:r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38</xdr:col>
      <xdr:colOff>0</xdr:colOff>
      <xdr:row>53</xdr:row>
      <xdr:rowOff>0</xdr:rowOff>
    </xdr:from>
    <xdr:to>
      <xdr:col>42</xdr:col>
      <xdr:colOff>235323</xdr:colOff>
      <xdr:row>58</xdr:row>
      <xdr:rowOff>33618</xdr:rowOff>
    </xdr:to>
    <xdr:sp macro="" textlink="">
      <xdr:nvSpPr>
        <xdr:cNvPr id="5561" name="Arrow: Left 5560">
          <a:extLst>
            <a:ext uri="{FF2B5EF4-FFF2-40B4-BE49-F238E27FC236}">
              <a16:creationId xmlns:a16="http://schemas.microsoft.com/office/drawing/2014/main" id="{7CDCBCFB-5143-4044-A45A-282F1EBE5ED2}"/>
            </a:ext>
          </a:extLst>
        </xdr:cNvPr>
        <xdr:cNvSpPr/>
      </xdr:nvSpPr>
      <xdr:spPr>
        <a:xfrm rot="469296">
          <a:off x="20876559" y="11519647"/>
          <a:ext cx="2835088" cy="13335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1" i="0">
            <a:solidFill>
              <a:sysClr val="windowText" lastClr="000000"/>
            </a:solidFill>
            <a:effectLst/>
            <a:latin typeface="Cavolini" panose="03000502040302020204" pitchFamily="66" charset="0"/>
            <a:ea typeface="+mn-ea"/>
            <a:cs typeface="Cavolini" panose="03000502040302020204" pitchFamily="66" charset="0"/>
          </a:endParaRPr>
        </a:p>
        <a:p>
          <a:pPr algn="l"/>
          <a:r>
            <a:rPr lang="en-GB" sz="1100" b="1" i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𝑟𝑝𝑖𝑡≤ 𝑅𝑖, for all i, t</a:t>
          </a:r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43</xdr:col>
      <xdr:colOff>235323</xdr:colOff>
      <xdr:row>47</xdr:row>
      <xdr:rowOff>123265</xdr:rowOff>
    </xdr:to>
    <xdr:sp macro="" textlink="">
      <xdr:nvSpPr>
        <xdr:cNvPr id="5562" name="Arrow: Left 5561">
          <a:extLst>
            <a:ext uri="{FF2B5EF4-FFF2-40B4-BE49-F238E27FC236}">
              <a16:creationId xmlns:a16="http://schemas.microsoft.com/office/drawing/2014/main" id="{7BBCE423-F240-432C-B6E9-EA198AE80AF1}"/>
            </a:ext>
          </a:extLst>
        </xdr:cNvPr>
        <xdr:cNvSpPr/>
      </xdr:nvSpPr>
      <xdr:spPr>
        <a:xfrm rot="469296">
          <a:off x="21526500" y="8807824"/>
          <a:ext cx="2835088" cy="13335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𝑟𝑝𝑖𝑡+ ∑𝑡𝑑𝑗𝑖𝑡4𝑗=1 + 𝑒𝑑𝑖𝑡= 𝑛𝑑𝑖𝑡 , for all i, t</a:t>
          </a:r>
        </a:p>
        <a:p>
          <a:pPr algn="l"/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39</xdr:col>
      <xdr:colOff>0</xdr:colOff>
      <xdr:row>29</xdr:row>
      <xdr:rowOff>0</xdr:rowOff>
    </xdr:from>
    <xdr:to>
      <xdr:col>43</xdr:col>
      <xdr:colOff>235323</xdr:colOff>
      <xdr:row>34</xdr:row>
      <xdr:rowOff>324970</xdr:rowOff>
    </xdr:to>
    <xdr:sp macro="" textlink="">
      <xdr:nvSpPr>
        <xdr:cNvPr id="5563" name="Arrow: Left 5562">
          <a:extLst>
            <a:ext uri="{FF2B5EF4-FFF2-40B4-BE49-F238E27FC236}">
              <a16:creationId xmlns:a16="http://schemas.microsoft.com/office/drawing/2014/main" id="{795FBFEB-5B4B-4A19-9645-ED37FF4FB02F}"/>
            </a:ext>
          </a:extLst>
        </xdr:cNvPr>
        <xdr:cNvSpPr/>
      </xdr:nvSpPr>
      <xdr:spPr>
        <a:xfrm rot="469296">
          <a:off x="21526500" y="6252882"/>
          <a:ext cx="2835088" cy="13335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1" i="0">
            <a:solidFill>
              <a:sysClr val="windowText" lastClr="000000"/>
            </a:solidFill>
            <a:effectLst/>
            <a:latin typeface="Cavolini" panose="03000502040302020204" pitchFamily="66" charset="0"/>
            <a:ea typeface="+mn-ea"/>
            <a:cs typeface="Cavolini" panose="03000502040302020204" pitchFamily="66" charset="0"/>
          </a:endParaRPr>
        </a:p>
        <a:p>
          <a:pPr algn="l"/>
          <a:r>
            <a:rPr lang="en-GB" sz="1100" b="1" i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𝑡𝑟𝑖𝑡+ ∑𝑡𝑢𝑗𝑖𝑡4𝑗=1 + 𝑒𝑢𝑖𝑡= 𝑛𝑢𝑖𝑡 , for all i, t</a:t>
          </a:r>
        </a:p>
        <a:p>
          <a:pPr algn="l"/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39</xdr:col>
      <xdr:colOff>0</xdr:colOff>
      <xdr:row>18</xdr:row>
      <xdr:rowOff>0</xdr:rowOff>
    </xdr:from>
    <xdr:to>
      <xdr:col>43</xdr:col>
      <xdr:colOff>235323</xdr:colOff>
      <xdr:row>23</xdr:row>
      <xdr:rowOff>190500</xdr:rowOff>
    </xdr:to>
    <xdr:sp macro="" textlink="">
      <xdr:nvSpPr>
        <xdr:cNvPr id="5564" name="Arrow: Left 5563">
          <a:extLst>
            <a:ext uri="{FF2B5EF4-FFF2-40B4-BE49-F238E27FC236}">
              <a16:creationId xmlns:a16="http://schemas.microsoft.com/office/drawing/2014/main" id="{120E0435-19D1-4539-835D-5788C1ADFF5E}"/>
            </a:ext>
          </a:extLst>
        </xdr:cNvPr>
        <xdr:cNvSpPr/>
      </xdr:nvSpPr>
      <xdr:spPr>
        <a:xfrm rot="469296">
          <a:off x="21526500" y="3765176"/>
          <a:ext cx="2835088" cy="13335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∑∑0.13𝑘=1 4𝑗=1 𝑃𝑗𝑖 𝑄𝑘𝑡𝑟𝑗𝑡−𝑘 + ∑𝑡𝑑𝑗𝑖𝑡−1 4𝑗=1 +𝑟𝑝𝑖𝑡−1+ 𝑒𝑑𝑖𝑡−1=𝑛𝑑𝑖𝑡 , for all i, t</a:t>
          </a:r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17</xdr:col>
      <xdr:colOff>268941</xdr:colOff>
      <xdr:row>5</xdr:row>
      <xdr:rowOff>44823</xdr:rowOff>
    </xdr:from>
    <xdr:to>
      <xdr:col>20</xdr:col>
      <xdr:colOff>537883</xdr:colOff>
      <xdr:row>11</xdr:row>
      <xdr:rowOff>44823</xdr:rowOff>
    </xdr:to>
    <xdr:sp macro="" textlink="">
      <xdr:nvSpPr>
        <xdr:cNvPr id="5566" name="Arrow: Right 5565">
          <a:extLst>
            <a:ext uri="{FF2B5EF4-FFF2-40B4-BE49-F238E27FC236}">
              <a16:creationId xmlns:a16="http://schemas.microsoft.com/office/drawing/2014/main" id="{783DC08F-A71F-CD33-0D2C-086CB87AE582}"/>
            </a:ext>
          </a:extLst>
        </xdr:cNvPr>
        <xdr:cNvSpPr/>
      </xdr:nvSpPr>
      <xdr:spPr>
        <a:xfrm rot="19547059">
          <a:off x="7362265" y="1187823"/>
          <a:ext cx="2218765" cy="134470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000" b="1">
              <a:solidFill>
                <a:sysClr val="windowText" lastClr="000000"/>
              </a:solidFill>
              <a:latin typeface="Cavolini" panose="03000502040302020204" pitchFamily="66" charset="0"/>
              <a:cs typeface="Cavolini" panose="03000502040302020204" pitchFamily="66" charset="0"/>
            </a:rPr>
            <a:t>∑∑0.93𝑘=1 4𝑗=1 𝑃𝑗𝑖 𝑄𝑘𝑡𝑟𝑗𝑡−𝑘 + ∑𝑡𝑢𝑗𝑖𝑡−1 4𝑗=1 +𝑟𝑝𝑖𝑡−1+ 𝑒𝑢𝑖𝑡−1=𝑛𝑢𝑖𝑡 , for all i, t </a:t>
          </a:r>
          <a:endParaRPr lang="en-GB" sz="9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12</xdr:row>
      <xdr:rowOff>2999</xdr:rowOff>
    </xdr:from>
    <xdr:ext cx="638175" cy="4238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AAAE1D8-EB41-4443-AC56-84384AB2495D}"/>
                </a:ext>
              </a:extLst>
            </xdr:cNvPr>
            <xdr:cNvSpPr txBox="1"/>
          </xdr:nvSpPr>
          <xdr:spPr>
            <a:xfrm>
              <a:off x="647700" y="2669999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𝒏𝒖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AAAE1D8-EB41-4443-AC56-84384AB2495D}"/>
                </a:ext>
              </a:extLst>
            </xdr:cNvPr>
            <xdr:cNvSpPr txBox="1"/>
          </xdr:nvSpPr>
          <xdr:spPr>
            <a:xfrm>
              <a:off x="647700" y="2669999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𝒏𝒖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26459</xdr:colOff>
      <xdr:row>19</xdr:row>
      <xdr:rowOff>117656</xdr:rowOff>
    </xdr:from>
    <xdr:ext cx="638175" cy="4238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866B992-3F6F-4637-B4D9-3957B05BE00E}"/>
                </a:ext>
              </a:extLst>
            </xdr:cNvPr>
            <xdr:cNvSpPr txBox="1"/>
          </xdr:nvSpPr>
          <xdr:spPr>
            <a:xfrm>
              <a:off x="674159" y="4318181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𝒏𝒅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866B992-3F6F-4637-B4D9-3957B05BE00E}"/>
                </a:ext>
              </a:extLst>
            </xdr:cNvPr>
            <xdr:cNvSpPr txBox="1"/>
          </xdr:nvSpPr>
          <xdr:spPr>
            <a:xfrm>
              <a:off x="674159" y="4318181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𝒏𝒅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626181</xdr:colOff>
      <xdr:row>27</xdr:row>
      <xdr:rowOff>144110</xdr:rowOff>
    </xdr:from>
    <xdr:ext cx="638175" cy="4238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9FF240D-403B-4B0B-BF8B-40F3CEAF4D42}"/>
                </a:ext>
              </a:extLst>
            </xdr:cNvPr>
            <xdr:cNvSpPr txBox="1"/>
          </xdr:nvSpPr>
          <xdr:spPr>
            <a:xfrm>
              <a:off x="626181" y="6078185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𝒕𝒓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9FF240D-403B-4B0B-BF8B-40F3CEAF4D42}"/>
                </a:ext>
              </a:extLst>
            </xdr:cNvPr>
            <xdr:cNvSpPr txBox="1"/>
          </xdr:nvSpPr>
          <xdr:spPr>
            <a:xfrm>
              <a:off x="626181" y="6078185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𝒕𝒓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35276</xdr:colOff>
      <xdr:row>35</xdr:row>
      <xdr:rowOff>91194</xdr:rowOff>
    </xdr:from>
    <xdr:ext cx="638175" cy="4238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5A9D91D-3802-422F-896E-F88D57D052D6}"/>
                </a:ext>
              </a:extLst>
            </xdr:cNvPr>
            <xdr:cNvSpPr txBox="1"/>
          </xdr:nvSpPr>
          <xdr:spPr>
            <a:xfrm>
              <a:off x="682976" y="7758819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𝒆𝒖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5A9D91D-3802-422F-896E-F88D57D052D6}"/>
                </a:ext>
              </a:extLst>
            </xdr:cNvPr>
            <xdr:cNvSpPr txBox="1"/>
          </xdr:nvSpPr>
          <xdr:spPr>
            <a:xfrm>
              <a:off x="682976" y="7758819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𝒆𝒖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634998</xdr:colOff>
      <xdr:row>43</xdr:row>
      <xdr:rowOff>11819</xdr:rowOff>
    </xdr:from>
    <xdr:ext cx="638175" cy="4238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E31DAFE-54FE-482A-8EE7-8C21B56C0711}"/>
                </a:ext>
              </a:extLst>
            </xdr:cNvPr>
            <xdr:cNvSpPr txBox="1"/>
          </xdr:nvSpPr>
          <xdr:spPr>
            <a:xfrm>
              <a:off x="634998" y="9279644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𝒆𝒅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E31DAFE-54FE-482A-8EE7-8C21B56C0711}"/>
                </a:ext>
              </a:extLst>
            </xdr:cNvPr>
            <xdr:cNvSpPr txBox="1"/>
          </xdr:nvSpPr>
          <xdr:spPr>
            <a:xfrm>
              <a:off x="634998" y="9279644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𝒆𝒅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44096</xdr:colOff>
      <xdr:row>54</xdr:row>
      <xdr:rowOff>73554</xdr:rowOff>
    </xdr:from>
    <xdr:ext cx="638175" cy="4238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7956E48-7758-4676-8A1C-D10126B94B8F}"/>
                </a:ext>
              </a:extLst>
            </xdr:cNvPr>
            <xdr:cNvSpPr txBox="1"/>
          </xdr:nvSpPr>
          <xdr:spPr>
            <a:xfrm>
              <a:off x="691796" y="12151254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𝒕𝒖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𝒊𝒋𝒕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7956E48-7758-4676-8A1C-D10126B94B8F}"/>
                </a:ext>
              </a:extLst>
            </xdr:cNvPr>
            <xdr:cNvSpPr txBox="1"/>
          </xdr:nvSpPr>
          <xdr:spPr>
            <a:xfrm>
              <a:off x="691796" y="12151254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𝒕𝒖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𝒊𝒋𝒕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17640</xdr:colOff>
      <xdr:row>70</xdr:row>
      <xdr:rowOff>20651</xdr:rowOff>
    </xdr:from>
    <xdr:ext cx="638175" cy="4238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B0236BA-1B96-4FA8-B8C3-3315FB5A39E8}"/>
                </a:ext>
              </a:extLst>
            </xdr:cNvPr>
            <xdr:cNvSpPr txBox="1"/>
          </xdr:nvSpPr>
          <xdr:spPr>
            <a:xfrm>
              <a:off x="665340" y="16517951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𝒕𝒅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𝒊𝒋𝒕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B0236BA-1B96-4FA8-B8C3-3315FB5A39E8}"/>
                </a:ext>
              </a:extLst>
            </xdr:cNvPr>
            <xdr:cNvSpPr txBox="1"/>
          </xdr:nvSpPr>
          <xdr:spPr>
            <a:xfrm>
              <a:off x="665340" y="16517951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𝒕𝒅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𝒊𝒋𝒕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80</xdr:row>
      <xdr:rowOff>197045</xdr:rowOff>
    </xdr:from>
    <xdr:ext cx="638175" cy="4238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7A9A92E-CB4B-4C9C-8E70-30DDC8841819}"/>
                </a:ext>
              </a:extLst>
            </xdr:cNvPr>
            <xdr:cNvSpPr txBox="1"/>
          </xdr:nvSpPr>
          <xdr:spPr>
            <a:xfrm>
              <a:off x="647700" y="19428020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𝒓𝒑</m:t>
                        </m:r>
                      </m:e>
                      <m:sub>
                        <m:r>
                          <a:rPr lang="en-US" sz="2000" b="1" i="1">
                            <a:latin typeface="Cambria Math" panose="02040503050406030204" pitchFamily="18" charset="0"/>
                          </a:rPr>
                          <m:t>𝒊𝒕</m:t>
                        </m:r>
                      </m:sub>
                    </m:sSub>
                  </m:oMath>
                </m:oMathPara>
              </a14:m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7A9A92E-CB4B-4C9C-8E70-30DDC8841819}"/>
                </a:ext>
              </a:extLst>
            </xdr:cNvPr>
            <xdr:cNvSpPr txBox="1"/>
          </xdr:nvSpPr>
          <xdr:spPr>
            <a:xfrm>
              <a:off x="647700" y="19428020"/>
              <a:ext cx="638175" cy="423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2000" b="1" i="0">
                  <a:latin typeface="Cambria Math" panose="02040503050406030204" pitchFamily="18" charset="0"/>
                </a:rPr>
                <a:t>〖</a:t>
              </a:r>
              <a:r>
                <a:rPr lang="en-US" sz="2000" b="1" i="0">
                  <a:latin typeface="Cambria Math" panose="02040503050406030204" pitchFamily="18" charset="0"/>
                </a:rPr>
                <a:t>𝒓𝒑</a:t>
              </a:r>
              <a:r>
                <a:rPr lang="en-GB" sz="2000" b="1" i="0">
                  <a:latin typeface="Cambria Math" panose="02040503050406030204" pitchFamily="18" charset="0"/>
                </a:rPr>
                <a:t>〗_</a:t>
              </a:r>
              <a:r>
                <a:rPr lang="en-US" sz="2000" b="1" i="0">
                  <a:latin typeface="Cambria Math" panose="02040503050406030204" pitchFamily="18" charset="0"/>
                </a:rPr>
                <a:t>𝒊𝒕</a:t>
              </a:r>
              <a:endParaRPr lang="en-GB" sz="15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4</xdr:col>
      <xdr:colOff>27869</xdr:colOff>
      <xdr:row>65</xdr:row>
      <xdr:rowOff>19050</xdr:rowOff>
    </xdr:from>
    <xdr:ext cx="302647" cy="1484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FB8D0D0-6135-4DE2-AC9D-2CB6F4426B4E}"/>
                </a:ext>
              </a:extLst>
            </xdr:cNvPr>
            <xdr:cNvSpPr txBox="1"/>
          </xdr:nvSpPr>
          <xdr:spPr>
            <a:xfrm>
              <a:off x="2856794" y="14906625"/>
              <a:ext cx="302647" cy="148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1" i="1">
                        <a:latin typeface="Cambria Math" panose="02040503050406030204" pitchFamily="18" charset="0"/>
                      </a:rPr>
                      <m:t>𝒊</m:t>
                    </m:r>
                    <m:r>
                      <a:rPr lang="en-US" sz="9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900" b="1" i="1">
                        <a:latin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en-GB" sz="9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FB8D0D0-6135-4DE2-AC9D-2CB6F4426B4E}"/>
                </a:ext>
              </a:extLst>
            </xdr:cNvPr>
            <xdr:cNvSpPr txBox="1"/>
          </xdr:nvSpPr>
          <xdr:spPr>
            <a:xfrm>
              <a:off x="2856794" y="14906625"/>
              <a:ext cx="302647" cy="148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900" b="1" i="0">
                  <a:latin typeface="Cambria Math" panose="02040503050406030204" pitchFamily="18" charset="0"/>
                </a:rPr>
                <a:t>𝒊=𝟏</a:t>
              </a:r>
              <a:endParaRPr lang="en-GB" sz="9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17639</xdr:colOff>
      <xdr:row>67</xdr:row>
      <xdr:rowOff>26458</xdr:rowOff>
    </xdr:from>
    <xdr:ext cx="302647" cy="1484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7CA6C35-5AF4-4AE4-99AD-754E928A020C}"/>
                </a:ext>
              </a:extLst>
            </xdr:cNvPr>
            <xdr:cNvSpPr txBox="1"/>
          </xdr:nvSpPr>
          <xdr:spPr>
            <a:xfrm>
              <a:off x="4970639" y="15923683"/>
              <a:ext cx="302647" cy="148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1" i="1">
                        <a:latin typeface="Cambria Math" panose="02040503050406030204" pitchFamily="18" charset="0"/>
                      </a:rPr>
                      <m:t>𝒊</m:t>
                    </m:r>
                    <m:r>
                      <a:rPr lang="en-US" sz="9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900" b="1" i="1">
                        <a:latin typeface="Cambria Math" panose="02040503050406030204" pitchFamily="18" charset="0"/>
                      </a:rPr>
                      <m:t>𝟐</m:t>
                    </m:r>
                  </m:oMath>
                </m:oMathPara>
              </a14:m>
              <a:endParaRPr lang="en-GB" sz="9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7CA6C35-5AF4-4AE4-99AD-754E928A020C}"/>
                </a:ext>
              </a:extLst>
            </xdr:cNvPr>
            <xdr:cNvSpPr txBox="1"/>
          </xdr:nvSpPr>
          <xdr:spPr>
            <a:xfrm>
              <a:off x="4970639" y="15923683"/>
              <a:ext cx="302647" cy="148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900" b="1" i="0">
                  <a:latin typeface="Cambria Math" panose="02040503050406030204" pitchFamily="18" charset="0"/>
                </a:rPr>
                <a:t>𝒊=𝟐</a:t>
              </a:r>
              <a:endParaRPr lang="en-GB" sz="900" b="1">
                <a:latin typeface="Cavolini" panose="03000502040302020204" pitchFamily="66" charset="0"/>
                <a:cs typeface="Cavolini" panose="03000502040302020204" pitchFamily="66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102834</xdr:colOff>
      <xdr:row>5</xdr:row>
      <xdr:rowOff>124883</xdr:rowOff>
    </xdr:from>
    <xdr:ext cx="443972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EE355FDA-DD00-42EB-9ADF-79A16DAD09C2}"/>
                </a:ext>
              </a:extLst>
            </xdr:cNvPr>
            <xdr:cNvSpPr txBox="1"/>
          </xdr:nvSpPr>
          <xdr:spPr>
            <a:xfrm>
              <a:off x="750534" y="125835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1" i="1">
                        <a:latin typeface="Cambria Math" panose="02040503050406030204" pitchFamily="18" charset="0"/>
                      </a:rPr>
                      <m:t>𝒏</m:t>
                    </m:r>
                  </m:oMath>
                </m:oMathPara>
              </a14:m>
              <a:endParaRPr lang="en-GB" sz="2000" b="1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EE355FDA-DD00-42EB-9ADF-79A16DAD09C2}"/>
                </a:ext>
              </a:extLst>
            </xdr:cNvPr>
            <xdr:cNvSpPr txBox="1"/>
          </xdr:nvSpPr>
          <xdr:spPr>
            <a:xfrm>
              <a:off x="750534" y="125835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2000" b="1" i="0">
                  <a:latin typeface="Cambria Math" panose="02040503050406030204" pitchFamily="18" charset="0"/>
                </a:rPr>
                <a:t>𝒏</a:t>
              </a:r>
              <a:endParaRPr lang="en-GB" sz="2000" b="1"/>
            </a:p>
          </xdr:txBody>
        </xdr:sp>
      </mc:Fallback>
    </mc:AlternateContent>
    <xdr:clientData/>
  </xdr:oneCellAnchor>
  <xdr:twoCellAnchor>
    <xdr:from>
      <xdr:col>61</xdr:col>
      <xdr:colOff>0</xdr:colOff>
      <xdr:row>2</xdr:row>
      <xdr:rowOff>0</xdr:rowOff>
    </xdr:from>
    <xdr:to>
      <xdr:col>62</xdr:col>
      <xdr:colOff>0</xdr:colOff>
      <xdr:row>3</xdr:row>
      <xdr:rowOff>0</xdr:rowOff>
    </xdr:to>
    <xdr:sp macro="" textlink="">
      <xdr:nvSpPr>
        <xdr:cNvPr id="14" name="Right Triangle 13">
          <a:extLst>
            <a:ext uri="{FF2B5EF4-FFF2-40B4-BE49-F238E27FC236}">
              <a16:creationId xmlns:a16="http://schemas.microsoft.com/office/drawing/2014/main" id="{07AE4AC4-4591-4518-B14B-1773B57B6517}"/>
            </a:ext>
          </a:extLst>
        </xdr:cNvPr>
        <xdr:cNvSpPr/>
      </xdr:nvSpPr>
      <xdr:spPr>
        <a:xfrm>
          <a:off x="35537775" y="400050"/>
          <a:ext cx="647700" cy="200025"/>
        </a:xfrm>
        <a:prstGeom prst="rtTriangle">
          <a:avLst/>
        </a:prstGeom>
        <a:solidFill>
          <a:schemeClr val="accent2">
            <a:lumMod val="7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 baseline="0">
              <a:solidFill>
                <a:schemeClr val="bg1"/>
              </a:solidFill>
              <a:latin typeface="Cavolini" panose="03000502040302020204" pitchFamily="66" charset="0"/>
              <a:cs typeface="Cavolini" panose="03000502040302020204" pitchFamily="66" charset="0"/>
            </a:rPr>
            <a:t>Depot</a:t>
          </a:r>
        </a:p>
      </xdr:txBody>
    </xdr:sp>
    <xdr:clientData/>
  </xdr:twoCellAnchor>
  <xdr:twoCellAnchor>
    <xdr:from>
      <xdr:col>61</xdr:col>
      <xdr:colOff>0</xdr:colOff>
      <xdr:row>2</xdr:row>
      <xdr:rowOff>0</xdr:rowOff>
    </xdr:from>
    <xdr:to>
      <xdr:col>62</xdr:col>
      <xdr:colOff>0</xdr:colOff>
      <xdr:row>3</xdr:row>
      <xdr:rowOff>0</xdr:rowOff>
    </xdr:to>
    <xdr:sp macro="" textlink="">
      <xdr:nvSpPr>
        <xdr:cNvPr id="15" name="Right Triangle 14">
          <a:extLst>
            <a:ext uri="{FF2B5EF4-FFF2-40B4-BE49-F238E27FC236}">
              <a16:creationId xmlns:a16="http://schemas.microsoft.com/office/drawing/2014/main" id="{5C67D253-4C14-45EA-8C67-4E41FBC9419D}"/>
            </a:ext>
          </a:extLst>
        </xdr:cNvPr>
        <xdr:cNvSpPr/>
      </xdr:nvSpPr>
      <xdr:spPr>
        <a:xfrm>
          <a:off x="35537775" y="400050"/>
          <a:ext cx="647700" cy="200025"/>
        </a:xfrm>
        <a:prstGeom prst="rtTriangle">
          <a:avLst/>
        </a:prstGeom>
        <a:solidFill>
          <a:schemeClr val="accent2">
            <a:lumMod val="7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 b="1" baseline="0">
              <a:solidFill>
                <a:schemeClr val="bg1"/>
              </a:solidFill>
              <a:latin typeface="Cavolini" panose="03000502040302020204" pitchFamily="66" charset="0"/>
              <a:cs typeface="Cavolini" panose="03000502040302020204" pitchFamily="66" charset="0"/>
            </a:rPr>
            <a:t>-</a:t>
          </a:r>
        </a:p>
      </xdr:txBody>
    </xdr:sp>
    <xdr:clientData/>
  </xdr:twoCellAnchor>
  <xdr:twoCellAnchor>
    <xdr:from>
      <xdr:col>61</xdr:col>
      <xdr:colOff>0</xdr:colOff>
      <xdr:row>7</xdr:row>
      <xdr:rowOff>0</xdr:rowOff>
    </xdr:from>
    <xdr:to>
      <xdr:col>62</xdr:col>
      <xdr:colOff>0</xdr:colOff>
      <xdr:row>8</xdr:row>
      <xdr:rowOff>0</xdr:rowOff>
    </xdr:to>
    <xdr:sp macro="" textlink="">
      <xdr:nvSpPr>
        <xdr:cNvPr id="16" name="Right Triangle 15">
          <a:extLst>
            <a:ext uri="{FF2B5EF4-FFF2-40B4-BE49-F238E27FC236}">
              <a16:creationId xmlns:a16="http://schemas.microsoft.com/office/drawing/2014/main" id="{934AEAD3-665A-468D-9588-81DAA456D7D5}"/>
            </a:ext>
          </a:extLst>
        </xdr:cNvPr>
        <xdr:cNvSpPr/>
      </xdr:nvSpPr>
      <xdr:spPr>
        <a:xfrm>
          <a:off x="35537775" y="1533525"/>
          <a:ext cx="647700" cy="200025"/>
        </a:xfrm>
        <a:prstGeom prst="rtTriangle">
          <a:avLst/>
        </a:prstGeom>
        <a:solidFill>
          <a:schemeClr val="accent6">
            <a:lumMod val="7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 b="1">
              <a:solidFill>
                <a:schemeClr val="bg1"/>
              </a:solidFill>
              <a:latin typeface="Cavolini" panose="03000502040302020204" pitchFamily="66" charset="0"/>
              <a:cs typeface="Cavolini" panose="03000502040302020204" pitchFamily="66" charset="0"/>
            </a:rPr>
            <a:t>Day</a:t>
          </a:r>
          <a:endParaRPr lang="en-GB" sz="1000" b="1">
            <a:solidFill>
              <a:schemeClr val="bg1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6</xdr:col>
      <xdr:colOff>9431</xdr:colOff>
      <xdr:row>5</xdr:row>
      <xdr:rowOff>18861</xdr:rowOff>
    </xdr:from>
    <xdr:to>
      <xdr:col>12</xdr:col>
      <xdr:colOff>254629</xdr:colOff>
      <xdr:row>7</xdr:row>
      <xdr:rowOff>94308</xdr:rowOff>
    </xdr:to>
    <xdr:sp macro="" textlink="">
      <xdr:nvSpPr>
        <xdr:cNvPr id="17" name="Callout: Left Arrow 16">
          <a:extLst>
            <a:ext uri="{FF2B5EF4-FFF2-40B4-BE49-F238E27FC236}">
              <a16:creationId xmlns:a16="http://schemas.microsoft.com/office/drawing/2014/main" id="{B68769FC-B2D6-48B4-87CA-FE7C40EC7241}"/>
            </a:ext>
          </a:extLst>
        </xdr:cNvPr>
        <xdr:cNvSpPr/>
      </xdr:nvSpPr>
      <xdr:spPr>
        <a:xfrm>
          <a:off x="3467006" y="1152336"/>
          <a:ext cx="1988273" cy="475497"/>
        </a:xfrm>
        <a:prstGeom prst="leftArrowCallou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  <a:latin typeface="Cavolini" panose="03000502040302020204" pitchFamily="66" charset="0"/>
              <a:cs typeface="Cavolini" panose="03000502040302020204" pitchFamily="66" charset="0"/>
            </a:rPr>
            <a:t>Number</a:t>
          </a:r>
          <a:r>
            <a:rPr lang="en-GB" sz="1100" b="1" baseline="0">
              <a:solidFill>
                <a:sysClr val="windowText" lastClr="000000"/>
              </a:solidFill>
              <a:latin typeface="Cavolini" panose="03000502040302020204" pitchFamily="66" charset="0"/>
              <a:cs typeface="Cavolini" panose="03000502040302020204" pitchFamily="66" charset="0"/>
            </a:rPr>
            <a:t> of Cars, n</a:t>
          </a:r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10</xdr:col>
      <xdr:colOff>103737</xdr:colOff>
      <xdr:row>10</xdr:row>
      <xdr:rowOff>0</xdr:rowOff>
    </xdr:from>
    <xdr:to>
      <xdr:col>17</xdr:col>
      <xdr:colOff>1</xdr:colOff>
      <xdr:row>15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allout: Left Arrow 17">
              <a:extLst>
                <a:ext uri="{FF2B5EF4-FFF2-40B4-BE49-F238E27FC236}">
                  <a16:creationId xmlns:a16="http://schemas.microsoft.com/office/drawing/2014/main" id="{11F186E0-2D18-48B6-9B34-1CA8A922CC88}"/>
                </a:ext>
              </a:extLst>
            </xdr:cNvPr>
            <xdr:cNvSpPr/>
          </xdr:nvSpPr>
          <xdr:spPr>
            <a:xfrm>
              <a:off x="4742412" y="2133600"/>
              <a:ext cx="2363239" cy="1133475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𝒏𝒖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undamaged cars at depot i at the beginning of day t for all i, t</a:t>
              </a:r>
            </a:p>
          </xdr:txBody>
        </xdr:sp>
      </mc:Choice>
      <mc:Fallback>
        <xdr:sp macro="" textlink="">
          <xdr:nvSpPr>
            <xdr:cNvPr id="18" name="Callout: Left Arrow 17">
              <a:extLst>
                <a:ext uri="{FF2B5EF4-FFF2-40B4-BE49-F238E27FC236}">
                  <a16:creationId xmlns:a16="http://schemas.microsoft.com/office/drawing/2014/main" id="{11F186E0-2D18-48B6-9B34-1CA8A922CC88}"/>
                </a:ext>
              </a:extLst>
            </xdr:cNvPr>
            <xdr:cNvSpPr/>
          </xdr:nvSpPr>
          <xdr:spPr>
            <a:xfrm>
              <a:off x="4742412" y="2133600"/>
              <a:ext cx="2363239" cy="1133475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𝒏𝒖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undamaged cars at depot i at the beginning of day t for all i, t</a:t>
              </a:r>
            </a:p>
          </xdr:txBody>
        </xdr:sp>
      </mc:Fallback>
    </mc:AlternateContent>
    <xdr:clientData/>
  </xdr:twoCellAnchor>
  <xdr:twoCellAnchor>
    <xdr:from>
      <xdr:col>10</xdr:col>
      <xdr:colOff>179294</xdr:colOff>
      <xdr:row>18</xdr:row>
      <xdr:rowOff>67236</xdr:rowOff>
    </xdr:from>
    <xdr:to>
      <xdr:col>17</xdr:col>
      <xdr:colOff>75558</xdr:colOff>
      <xdr:row>23</xdr:row>
      <xdr:rowOff>67236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allout: Left Arrow 18">
              <a:extLst>
                <a:ext uri="{FF2B5EF4-FFF2-40B4-BE49-F238E27FC236}">
                  <a16:creationId xmlns:a16="http://schemas.microsoft.com/office/drawing/2014/main" id="{121E7937-1FBC-42E5-8D89-A60DBD5AEF8E}"/>
                </a:ext>
              </a:extLst>
            </xdr:cNvPr>
            <xdr:cNvSpPr/>
          </xdr:nvSpPr>
          <xdr:spPr>
            <a:xfrm>
              <a:off x="4817969" y="3934386"/>
              <a:ext cx="2363239" cy="1133475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𝒏𝒅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damaged cars at depot i at the beginning of day t for all i, t</a:t>
              </a:r>
            </a:p>
          </xdr:txBody>
        </xdr:sp>
      </mc:Choice>
      <mc:Fallback>
        <xdr:sp macro="" textlink="">
          <xdr:nvSpPr>
            <xdr:cNvPr id="19" name="Callout: Left Arrow 18">
              <a:extLst>
                <a:ext uri="{FF2B5EF4-FFF2-40B4-BE49-F238E27FC236}">
                  <a16:creationId xmlns:a16="http://schemas.microsoft.com/office/drawing/2014/main" id="{121E7937-1FBC-42E5-8D89-A60DBD5AEF8E}"/>
                </a:ext>
              </a:extLst>
            </xdr:cNvPr>
            <xdr:cNvSpPr/>
          </xdr:nvSpPr>
          <xdr:spPr>
            <a:xfrm>
              <a:off x="4817969" y="3934386"/>
              <a:ext cx="2363239" cy="1133475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𝒏𝒅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damaged cars at depot i at the beginning of day t for all i, t</a:t>
              </a:r>
            </a:p>
          </xdr:txBody>
        </xdr:sp>
      </mc:Fallback>
    </mc:AlternateContent>
    <xdr:clientData/>
  </xdr:twoCellAnchor>
  <xdr:twoCellAnchor>
    <xdr:from>
      <xdr:col>10</xdr:col>
      <xdr:colOff>156883</xdr:colOff>
      <xdr:row>25</xdr:row>
      <xdr:rowOff>190500</xdr:rowOff>
    </xdr:from>
    <xdr:to>
      <xdr:col>17</xdr:col>
      <xdr:colOff>53147</xdr:colOff>
      <xdr:row>30</xdr:row>
      <xdr:rowOff>190500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allout: Left Arrow 19">
              <a:extLst>
                <a:ext uri="{FF2B5EF4-FFF2-40B4-BE49-F238E27FC236}">
                  <a16:creationId xmlns:a16="http://schemas.microsoft.com/office/drawing/2014/main" id="{6F45EADB-6BBA-4AC5-B59B-EB3192560C37}"/>
                </a:ext>
              </a:extLst>
            </xdr:cNvPr>
            <xdr:cNvSpPr/>
          </xdr:nvSpPr>
          <xdr:spPr>
            <a:xfrm>
              <a:off x="4795558" y="5591175"/>
              <a:ext cx="2363239" cy="1133475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𝒕𝒓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cars rented out from depot i at beginning of day t for all i, t</a:t>
              </a:r>
            </a:p>
          </xdr:txBody>
        </xdr:sp>
      </mc:Choice>
      <mc:Fallback>
        <xdr:sp macro="" textlink="">
          <xdr:nvSpPr>
            <xdr:cNvPr id="20" name="Callout: Left Arrow 19">
              <a:extLst>
                <a:ext uri="{FF2B5EF4-FFF2-40B4-BE49-F238E27FC236}">
                  <a16:creationId xmlns:a16="http://schemas.microsoft.com/office/drawing/2014/main" id="{6F45EADB-6BBA-4AC5-B59B-EB3192560C37}"/>
                </a:ext>
              </a:extLst>
            </xdr:cNvPr>
            <xdr:cNvSpPr/>
          </xdr:nvSpPr>
          <xdr:spPr>
            <a:xfrm>
              <a:off x="4795558" y="5591175"/>
              <a:ext cx="2363239" cy="1133475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𝒕𝒓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cars rented out from depot i at beginning of day t for all i, t</a:t>
              </a:r>
            </a:p>
          </xdr:txBody>
        </xdr:sp>
      </mc:Fallback>
    </mc:AlternateContent>
    <xdr:clientData/>
  </xdr:twoCellAnchor>
  <xdr:twoCellAnchor>
    <xdr:from>
      <xdr:col>10</xdr:col>
      <xdr:colOff>190499</xdr:colOff>
      <xdr:row>34</xdr:row>
      <xdr:rowOff>56029</xdr:rowOff>
    </xdr:from>
    <xdr:to>
      <xdr:col>17</xdr:col>
      <xdr:colOff>86763</xdr:colOff>
      <xdr:row>39</xdr:row>
      <xdr:rowOff>56029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allout: Left Arrow 20">
              <a:extLst>
                <a:ext uri="{FF2B5EF4-FFF2-40B4-BE49-F238E27FC236}">
                  <a16:creationId xmlns:a16="http://schemas.microsoft.com/office/drawing/2014/main" id="{258882F8-5C07-4C0E-BD82-D8A716F41F17}"/>
                </a:ext>
              </a:extLst>
            </xdr:cNvPr>
            <xdr:cNvSpPr/>
          </xdr:nvSpPr>
          <xdr:spPr>
            <a:xfrm>
              <a:off x="4829174" y="7390279"/>
              <a:ext cx="2363239" cy="1133475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𝒆𝒖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Undamaged cars left at depot i during day t for all i, t</a:t>
              </a:r>
            </a:p>
          </xdr:txBody>
        </xdr:sp>
      </mc:Choice>
      <mc:Fallback>
        <xdr:sp macro="" textlink="">
          <xdr:nvSpPr>
            <xdr:cNvPr id="21" name="Callout: Left Arrow 20">
              <a:extLst>
                <a:ext uri="{FF2B5EF4-FFF2-40B4-BE49-F238E27FC236}">
                  <a16:creationId xmlns:a16="http://schemas.microsoft.com/office/drawing/2014/main" id="{258882F8-5C07-4C0E-BD82-D8A716F41F17}"/>
                </a:ext>
              </a:extLst>
            </xdr:cNvPr>
            <xdr:cNvSpPr/>
          </xdr:nvSpPr>
          <xdr:spPr>
            <a:xfrm>
              <a:off x="4829174" y="7390279"/>
              <a:ext cx="2363239" cy="1133475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𝒆𝒖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Undamaged cars left at depot i during day t for all i, t</a:t>
              </a:r>
            </a:p>
          </xdr:txBody>
        </xdr:sp>
      </mc:Fallback>
    </mc:AlternateContent>
    <xdr:clientData/>
  </xdr:twoCellAnchor>
  <xdr:twoCellAnchor>
    <xdr:from>
      <xdr:col>10</xdr:col>
      <xdr:colOff>168088</xdr:colOff>
      <xdr:row>41</xdr:row>
      <xdr:rowOff>100852</xdr:rowOff>
    </xdr:from>
    <xdr:to>
      <xdr:col>16</xdr:col>
      <xdr:colOff>613441</xdr:colOff>
      <xdr:row>47</xdr:row>
      <xdr:rowOff>33617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allout: Left Arrow 21">
              <a:extLst>
                <a:ext uri="{FF2B5EF4-FFF2-40B4-BE49-F238E27FC236}">
                  <a16:creationId xmlns:a16="http://schemas.microsoft.com/office/drawing/2014/main" id="{7FC590B0-19D4-4C15-8FCA-35AF1FED582F}"/>
                </a:ext>
              </a:extLst>
            </xdr:cNvPr>
            <xdr:cNvSpPr/>
          </xdr:nvSpPr>
          <xdr:spPr>
            <a:xfrm>
              <a:off x="4806763" y="8968627"/>
              <a:ext cx="2264628" cy="1132915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𝒆𝒅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Damaged cars left at depot i at the beginning of day t for all i, t</a:t>
              </a:r>
            </a:p>
          </xdr:txBody>
        </xdr:sp>
      </mc:Choice>
      <mc:Fallback>
        <xdr:sp macro="" textlink="">
          <xdr:nvSpPr>
            <xdr:cNvPr id="22" name="Callout: Left Arrow 21">
              <a:extLst>
                <a:ext uri="{FF2B5EF4-FFF2-40B4-BE49-F238E27FC236}">
                  <a16:creationId xmlns:a16="http://schemas.microsoft.com/office/drawing/2014/main" id="{7FC590B0-19D4-4C15-8FCA-35AF1FED582F}"/>
                </a:ext>
              </a:extLst>
            </xdr:cNvPr>
            <xdr:cNvSpPr/>
          </xdr:nvSpPr>
          <xdr:spPr>
            <a:xfrm>
              <a:off x="4806763" y="8968627"/>
              <a:ext cx="2264628" cy="1132915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𝒆𝒅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Damaged cars left at depot i at the beginning of day t for all i, t</a:t>
              </a:r>
            </a:p>
          </xdr:txBody>
        </xdr:sp>
      </mc:Fallback>
    </mc:AlternateContent>
    <xdr:clientData/>
  </xdr:twoCellAnchor>
  <xdr:twoCellAnchor>
    <xdr:from>
      <xdr:col>10</xdr:col>
      <xdr:colOff>280146</xdr:colOff>
      <xdr:row>80</xdr:row>
      <xdr:rowOff>22411</xdr:rowOff>
    </xdr:from>
    <xdr:to>
      <xdr:col>17</xdr:col>
      <xdr:colOff>176410</xdr:colOff>
      <xdr:row>85</xdr:row>
      <xdr:rowOff>22411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allout: Left Arrow 22">
              <a:extLst>
                <a:ext uri="{FF2B5EF4-FFF2-40B4-BE49-F238E27FC236}">
                  <a16:creationId xmlns:a16="http://schemas.microsoft.com/office/drawing/2014/main" id="{7EE732CD-7C55-487D-8F4E-25C1CA96CC12}"/>
                </a:ext>
              </a:extLst>
            </xdr:cNvPr>
            <xdr:cNvSpPr/>
          </xdr:nvSpPr>
          <xdr:spPr>
            <a:xfrm>
              <a:off x="4918821" y="19253386"/>
              <a:ext cx="2363239" cy="1133475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𝒓𝒑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damaged cars to be repaired at depot i on day for all i, t</a:t>
              </a:r>
            </a:p>
          </xdr:txBody>
        </xdr:sp>
      </mc:Choice>
      <mc:Fallback>
        <xdr:sp macro="" textlink="">
          <xdr:nvSpPr>
            <xdr:cNvPr id="23" name="Callout: Left Arrow 22">
              <a:extLst>
                <a:ext uri="{FF2B5EF4-FFF2-40B4-BE49-F238E27FC236}">
                  <a16:creationId xmlns:a16="http://schemas.microsoft.com/office/drawing/2014/main" id="{7EE732CD-7C55-487D-8F4E-25C1CA96CC12}"/>
                </a:ext>
              </a:extLst>
            </xdr:cNvPr>
            <xdr:cNvSpPr/>
          </xdr:nvSpPr>
          <xdr:spPr>
            <a:xfrm>
              <a:off x="4918821" y="19253386"/>
              <a:ext cx="2363239" cy="1133475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𝒓𝒑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damaged cars to be repaired at depot i on day for all i, t</a:t>
              </a:r>
            </a:p>
          </xdr:txBody>
        </xdr:sp>
      </mc:Fallback>
    </mc:AlternateContent>
    <xdr:clientData/>
  </xdr:twoCellAnchor>
  <xdr:twoCellAnchor>
    <xdr:from>
      <xdr:col>18</xdr:col>
      <xdr:colOff>30932</xdr:colOff>
      <xdr:row>38</xdr:row>
      <xdr:rowOff>39029</xdr:rowOff>
    </xdr:from>
    <xdr:to>
      <xdr:col>20</xdr:col>
      <xdr:colOff>320385</xdr:colOff>
      <xdr:row>49</xdr:row>
      <xdr:rowOff>193028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allout: Left Arrow 23">
              <a:extLst>
                <a:ext uri="{FF2B5EF4-FFF2-40B4-BE49-F238E27FC236}">
                  <a16:creationId xmlns:a16="http://schemas.microsoft.com/office/drawing/2014/main" id="{DB0A44DF-BAC4-4299-BD8B-5C90B90C95AD}"/>
                </a:ext>
              </a:extLst>
            </xdr:cNvPr>
            <xdr:cNvSpPr/>
          </xdr:nvSpPr>
          <xdr:spPr>
            <a:xfrm rot="17863405">
              <a:off x="7399572" y="8691439"/>
              <a:ext cx="2354274" cy="1584853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𝒕𝒖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𝒊𝒋𝒕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undamaged cars at depot i at the beginning of day t, to be transferred to depot j for all i, j, t</a:t>
              </a:r>
            </a:p>
          </xdr:txBody>
        </xdr:sp>
      </mc:Choice>
      <mc:Fallback>
        <xdr:sp macro="" textlink="">
          <xdr:nvSpPr>
            <xdr:cNvPr id="24" name="Callout: Left Arrow 23">
              <a:extLst>
                <a:ext uri="{FF2B5EF4-FFF2-40B4-BE49-F238E27FC236}">
                  <a16:creationId xmlns:a16="http://schemas.microsoft.com/office/drawing/2014/main" id="{DB0A44DF-BAC4-4299-BD8B-5C90B90C95AD}"/>
                </a:ext>
              </a:extLst>
            </xdr:cNvPr>
            <xdr:cNvSpPr/>
          </xdr:nvSpPr>
          <xdr:spPr>
            <a:xfrm rot="17863405">
              <a:off x="7399572" y="8691439"/>
              <a:ext cx="2354274" cy="1584853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𝒕𝒖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𝒊𝒋𝒕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undamaged cars at depot i at the beginning of day t, to be transferred to depot j for all i, j, t</a:t>
              </a:r>
            </a:p>
          </xdr:txBody>
        </xdr:sp>
      </mc:Fallback>
    </mc:AlternateContent>
    <xdr:clientData/>
  </xdr:twoCellAnchor>
  <xdr:twoCellAnchor>
    <xdr:from>
      <xdr:col>18</xdr:col>
      <xdr:colOff>0</xdr:colOff>
      <xdr:row>79</xdr:row>
      <xdr:rowOff>0</xdr:rowOff>
    </xdr:from>
    <xdr:to>
      <xdr:col>20</xdr:col>
      <xdr:colOff>289453</xdr:colOff>
      <xdr:row>90</xdr:row>
      <xdr:rowOff>19529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allout: Left Arrow 24">
              <a:extLst>
                <a:ext uri="{FF2B5EF4-FFF2-40B4-BE49-F238E27FC236}">
                  <a16:creationId xmlns:a16="http://schemas.microsoft.com/office/drawing/2014/main" id="{D5F0A1AE-B0E7-42CF-A7BC-1A6959459406}"/>
                </a:ext>
              </a:extLst>
            </xdr:cNvPr>
            <xdr:cNvSpPr/>
          </xdr:nvSpPr>
          <xdr:spPr>
            <a:xfrm rot="4154618">
              <a:off x="7369200" y="19415100"/>
              <a:ext cx="2353154" cy="1584853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𝒕𝒅</m:t>
                      </m:r>
                    </m:e>
                    <m:sub>
                      <m:r>
                        <a:rPr lang="en-US" sz="11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cs typeface="Cavolini" panose="03000502040302020204" pitchFamily="66" charset="0"/>
                        </a:rPr>
                        <m:t>𝒊𝒋𝒕</m:t>
                      </m:r>
                    </m:sub>
                  </m:sSub>
                </m:oMath>
              </a14:m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damaged cars at depot i at the beginning of day t, to be transferred to depot j for all i, j, t</a:t>
              </a:r>
            </a:p>
          </xdr:txBody>
        </xdr:sp>
      </mc:Choice>
      <mc:Fallback>
        <xdr:sp macro="" textlink="">
          <xdr:nvSpPr>
            <xdr:cNvPr id="25" name="Callout: Left Arrow 24">
              <a:extLst>
                <a:ext uri="{FF2B5EF4-FFF2-40B4-BE49-F238E27FC236}">
                  <a16:creationId xmlns:a16="http://schemas.microsoft.com/office/drawing/2014/main" id="{D5F0A1AE-B0E7-42CF-A7BC-1A6959459406}"/>
                </a:ext>
              </a:extLst>
            </xdr:cNvPr>
            <xdr:cNvSpPr/>
          </xdr:nvSpPr>
          <xdr:spPr>
            <a:xfrm rot="4154618">
              <a:off x="7369200" y="19415100"/>
              <a:ext cx="2353154" cy="1584853"/>
            </a:xfrm>
            <a:prstGeom prst="leftArrowCallou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〖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𝒕𝒅</a:t>
              </a:r>
              <a:r>
                <a:rPr lang="en-GB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〗_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cs typeface="Cavolini" panose="03000502040302020204" pitchFamily="66" charset="0"/>
                </a:rPr>
                <a:t>𝒊𝒋𝒕</a:t>
              </a:r>
              <a:r>
                <a:rPr lang="en-GB" sz="1100" b="1">
                  <a:solidFill>
                    <a:sysClr val="windowText" lastClr="000000"/>
                  </a:solidFill>
                  <a:latin typeface="Cavolini" panose="03000502040302020204" pitchFamily="66" charset="0"/>
                  <a:cs typeface="Cavolini" panose="03000502040302020204" pitchFamily="66" charset="0"/>
                </a:rPr>
                <a:t>-&gt; Number of damaged cars at depot i at the beginning of day t, to be transferred to depot j for all i, j, t</a:t>
              </a:r>
            </a:p>
          </xdr:txBody>
        </xdr:sp>
      </mc:Fallback>
    </mc:AlternateContent>
    <xdr:clientData/>
  </xdr:twoCellAnchor>
  <xdr:twoCellAnchor>
    <xdr:from>
      <xdr:col>26</xdr:col>
      <xdr:colOff>459441</xdr:colOff>
      <xdr:row>52</xdr:row>
      <xdr:rowOff>22412</xdr:rowOff>
    </xdr:from>
    <xdr:to>
      <xdr:col>31</xdr:col>
      <xdr:colOff>145676</xdr:colOff>
      <xdr:row>57</xdr:row>
      <xdr:rowOff>224118</xdr:rowOff>
    </xdr:to>
    <xdr:sp macro="" textlink="">
      <xdr:nvSpPr>
        <xdr:cNvPr id="26" name="Arrow: Left 25">
          <a:extLst>
            <a:ext uri="{FF2B5EF4-FFF2-40B4-BE49-F238E27FC236}">
              <a16:creationId xmlns:a16="http://schemas.microsoft.com/office/drawing/2014/main" id="{B62DC5A7-4EFE-4B5B-AE8D-ECBCB6F393B5}"/>
            </a:ext>
          </a:extLst>
        </xdr:cNvPr>
        <xdr:cNvSpPr/>
      </xdr:nvSpPr>
      <xdr:spPr>
        <a:xfrm rot="469296">
          <a:off x="13413441" y="18129437"/>
          <a:ext cx="2819960" cy="1325656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1" i="0">
            <a:solidFill>
              <a:sysClr val="windowText" lastClr="000000"/>
            </a:solidFill>
            <a:effectLst/>
            <a:latin typeface="Cavolini" panose="03000502040302020204" pitchFamily="66" charset="0"/>
            <a:ea typeface="+mn-ea"/>
            <a:cs typeface="Cavolini" panose="03000502040302020204" pitchFamily="66" charset="0"/>
          </a:endParaRPr>
        </a:p>
        <a:p>
          <a:pPr algn="l"/>
          <a:r>
            <a:rPr lang="en-GB" sz="1100" b="1" i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∑0.25𝑡𝑟𝑖1+0.45𝑡𝑟𝑖2+ 𝑛𝑢𝑖3+ 𝑛𝑑𝑖3=𝑛 i</a:t>
          </a:r>
          <a:r>
            <a:rPr lang="en-GB" sz="1100" b="1" i="0" baseline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 = 1 to 4</a:t>
          </a:r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43</xdr:col>
      <xdr:colOff>235323</xdr:colOff>
      <xdr:row>47</xdr:row>
      <xdr:rowOff>123265</xdr:rowOff>
    </xdr:to>
    <xdr:sp macro="" textlink="">
      <xdr:nvSpPr>
        <xdr:cNvPr id="29" name="Arrow: Left 28">
          <a:extLst>
            <a:ext uri="{FF2B5EF4-FFF2-40B4-BE49-F238E27FC236}">
              <a16:creationId xmlns:a16="http://schemas.microsoft.com/office/drawing/2014/main" id="{69602F18-1EED-4E24-BEC0-60ADB5E0680D}"/>
            </a:ext>
          </a:extLst>
        </xdr:cNvPr>
        <xdr:cNvSpPr/>
      </xdr:nvSpPr>
      <xdr:spPr>
        <a:xfrm rot="469296">
          <a:off x="21288375" y="8867775"/>
          <a:ext cx="2826123" cy="1323415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𝑟𝑝𝑖𝑡+ ∑𝑡𝑑𝑗𝑖𝑡4𝑗=1 + 𝑒𝑑𝑖𝑡= 𝑛𝑑𝑖𝑡 , for all i, t</a:t>
          </a:r>
        </a:p>
        <a:p>
          <a:pPr algn="l"/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39</xdr:col>
      <xdr:colOff>0</xdr:colOff>
      <xdr:row>29</xdr:row>
      <xdr:rowOff>0</xdr:rowOff>
    </xdr:from>
    <xdr:to>
      <xdr:col>43</xdr:col>
      <xdr:colOff>235323</xdr:colOff>
      <xdr:row>34</xdr:row>
      <xdr:rowOff>324970</xdr:rowOff>
    </xdr:to>
    <xdr:sp macro="" textlink="">
      <xdr:nvSpPr>
        <xdr:cNvPr id="30" name="Arrow: Left 29">
          <a:extLst>
            <a:ext uri="{FF2B5EF4-FFF2-40B4-BE49-F238E27FC236}">
              <a16:creationId xmlns:a16="http://schemas.microsoft.com/office/drawing/2014/main" id="{3868AB07-8125-4F0F-992C-77CA3DFA5642}"/>
            </a:ext>
          </a:extLst>
        </xdr:cNvPr>
        <xdr:cNvSpPr/>
      </xdr:nvSpPr>
      <xdr:spPr>
        <a:xfrm rot="469296">
          <a:off x="21288375" y="6334125"/>
          <a:ext cx="2826123" cy="1325095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1" i="0">
            <a:solidFill>
              <a:sysClr val="windowText" lastClr="000000"/>
            </a:solidFill>
            <a:effectLst/>
            <a:latin typeface="Cavolini" panose="03000502040302020204" pitchFamily="66" charset="0"/>
            <a:ea typeface="+mn-ea"/>
            <a:cs typeface="Cavolini" panose="03000502040302020204" pitchFamily="66" charset="0"/>
          </a:endParaRPr>
        </a:p>
        <a:p>
          <a:pPr algn="l"/>
          <a:r>
            <a:rPr lang="en-GB" sz="1100" b="1" i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𝑡𝑟𝑖𝑡+ ∑𝑡𝑢𝑗𝑖𝑡4𝑗=1 + 𝑒𝑢𝑖𝑡= 𝑛𝑢𝑖𝑡 , for all i, t</a:t>
          </a:r>
        </a:p>
        <a:p>
          <a:pPr algn="l"/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39</xdr:col>
      <xdr:colOff>0</xdr:colOff>
      <xdr:row>18</xdr:row>
      <xdr:rowOff>0</xdr:rowOff>
    </xdr:from>
    <xdr:to>
      <xdr:col>43</xdr:col>
      <xdr:colOff>235323</xdr:colOff>
      <xdr:row>23</xdr:row>
      <xdr:rowOff>190500</xdr:rowOff>
    </xdr:to>
    <xdr:sp macro="" textlink="">
      <xdr:nvSpPr>
        <xdr:cNvPr id="31" name="Arrow: Left 30">
          <a:extLst>
            <a:ext uri="{FF2B5EF4-FFF2-40B4-BE49-F238E27FC236}">
              <a16:creationId xmlns:a16="http://schemas.microsoft.com/office/drawing/2014/main" id="{272A546F-4F3D-4E5F-AE9F-5CE97DCCDB95}"/>
            </a:ext>
          </a:extLst>
        </xdr:cNvPr>
        <xdr:cNvSpPr/>
      </xdr:nvSpPr>
      <xdr:spPr>
        <a:xfrm rot="469296">
          <a:off x="21288375" y="3867150"/>
          <a:ext cx="2826123" cy="1323975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∑∑0.13𝑘=1 4𝑗=1 𝑃𝑗𝑖 𝑄𝑘𝑡𝑟𝑗𝑡−𝑘 + ∑𝑡𝑑𝑗𝑖𝑡−1 4𝑗=1 +𝑟𝑝𝑖𝑡−1+ 𝑒𝑑𝑖𝑡−1=𝑛𝑑𝑖𝑡 , for all i, t</a:t>
          </a:r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17</xdr:col>
      <xdr:colOff>268941</xdr:colOff>
      <xdr:row>5</xdr:row>
      <xdr:rowOff>44823</xdr:rowOff>
    </xdr:from>
    <xdr:to>
      <xdr:col>20</xdr:col>
      <xdr:colOff>537883</xdr:colOff>
      <xdr:row>11</xdr:row>
      <xdr:rowOff>44823</xdr:rowOff>
    </xdr:to>
    <xdr:sp macro="" textlink="">
      <xdr:nvSpPr>
        <xdr:cNvPr id="32" name="Arrow: Right 31">
          <a:extLst>
            <a:ext uri="{FF2B5EF4-FFF2-40B4-BE49-F238E27FC236}">
              <a16:creationId xmlns:a16="http://schemas.microsoft.com/office/drawing/2014/main" id="{83A16F64-A1AC-47E2-9ACB-C759E533C48C}"/>
            </a:ext>
          </a:extLst>
        </xdr:cNvPr>
        <xdr:cNvSpPr/>
      </xdr:nvSpPr>
      <xdr:spPr>
        <a:xfrm rot="19547059">
          <a:off x="7374591" y="1178298"/>
          <a:ext cx="2212042" cy="13335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000" b="1">
              <a:solidFill>
                <a:sysClr val="windowText" lastClr="000000"/>
              </a:solidFill>
              <a:latin typeface="Cavolini" panose="03000502040302020204" pitchFamily="66" charset="0"/>
              <a:cs typeface="Cavolini" panose="03000502040302020204" pitchFamily="66" charset="0"/>
            </a:rPr>
            <a:t>∑∑0.93𝑘=1 4𝑗=1 𝑃𝑗𝑖 𝑄𝑘𝑡𝑟𝑗𝑡−𝑘 + ∑𝑡𝑢𝑗𝑖𝑡−1 4𝑗=1 +𝑟𝑝𝑖𝑡−1+ 𝑒𝑢𝑖𝑡−1=𝑛𝑢𝑖𝑡 , for all i, t </a:t>
          </a:r>
          <a:endParaRPr lang="en-GB" sz="9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oneCellAnchor>
    <xdr:from>
      <xdr:col>2</xdr:col>
      <xdr:colOff>0</xdr:colOff>
      <xdr:row>87</xdr:row>
      <xdr:rowOff>0</xdr:rowOff>
    </xdr:from>
    <xdr:ext cx="638175" cy="423862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9C61BDB-14D3-4208-9D01-25CE97F17FB5}"/>
            </a:ext>
          </a:extLst>
        </xdr:cNvPr>
        <xdr:cNvSpPr txBox="1"/>
      </xdr:nvSpPr>
      <xdr:spPr>
        <a:xfrm>
          <a:off x="647700" y="18602325"/>
          <a:ext cx="638175" cy="4238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en-GB" sz="1500" b="1"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oneCellAnchor>
  <xdr:oneCellAnchor>
    <xdr:from>
      <xdr:col>2</xdr:col>
      <xdr:colOff>102834</xdr:colOff>
      <xdr:row>87</xdr:row>
      <xdr:rowOff>124883</xdr:rowOff>
    </xdr:from>
    <xdr:ext cx="443972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05939CAF-EAF2-45BF-B18E-CB45FB3F719D}"/>
                </a:ext>
              </a:extLst>
            </xdr:cNvPr>
            <xdr:cNvSpPr txBox="1"/>
          </xdr:nvSpPr>
          <xdr:spPr>
            <a:xfrm>
              <a:off x="750534" y="1872720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1" i="1">
                        <a:latin typeface="Cambria Math" panose="02040503050406030204" pitchFamily="18" charset="0"/>
                      </a:rPr>
                      <m:t>𝒎</m:t>
                    </m:r>
                    <m:r>
                      <a:rPr lang="en-US" sz="2000" b="1" i="1">
                        <a:latin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en-GB" sz="2000" b="1"/>
            </a:p>
          </xdr:txBody>
        </xdr:sp>
      </mc:Choice>
      <mc:Fallback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05939CAF-EAF2-45BF-B18E-CB45FB3F719D}"/>
                </a:ext>
              </a:extLst>
            </xdr:cNvPr>
            <xdr:cNvSpPr txBox="1"/>
          </xdr:nvSpPr>
          <xdr:spPr>
            <a:xfrm>
              <a:off x="750534" y="1872720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2000" b="1" i="0">
                  <a:latin typeface="Cambria Math" panose="02040503050406030204" pitchFamily="18" charset="0"/>
                </a:rPr>
                <a:t>𝒎𝟏</a:t>
              </a:r>
              <a:endParaRPr lang="en-GB" sz="2000" b="1"/>
            </a:p>
          </xdr:txBody>
        </xdr:sp>
      </mc:Fallback>
    </mc:AlternateContent>
    <xdr:clientData/>
  </xdr:oneCellAnchor>
  <xdr:oneCellAnchor>
    <xdr:from>
      <xdr:col>7</xdr:col>
      <xdr:colOff>102834</xdr:colOff>
      <xdr:row>87</xdr:row>
      <xdr:rowOff>124883</xdr:rowOff>
    </xdr:from>
    <xdr:ext cx="443972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75F3DBC-0052-4027-831E-B933639C6936}"/>
                </a:ext>
              </a:extLst>
            </xdr:cNvPr>
            <xdr:cNvSpPr txBox="1"/>
          </xdr:nvSpPr>
          <xdr:spPr>
            <a:xfrm>
              <a:off x="3388959" y="1872720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1" i="1">
                        <a:latin typeface="Cambria Math" panose="02040503050406030204" pitchFamily="18" charset="0"/>
                      </a:rPr>
                      <m:t>𝒎</m:t>
                    </m:r>
                    <m:r>
                      <a:rPr lang="en-US" sz="2000" b="1" i="1">
                        <a:latin typeface="Cambria Math" panose="02040503050406030204" pitchFamily="18" charset="0"/>
                      </a:rPr>
                      <m:t>𝟐</m:t>
                    </m:r>
                  </m:oMath>
                </m:oMathPara>
              </a14:m>
              <a:endParaRPr lang="en-GB" sz="2000" b="1"/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75F3DBC-0052-4027-831E-B933639C6936}"/>
                </a:ext>
              </a:extLst>
            </xdr:cNvPr>
            <xdr:cNvSpPr txBox="1"/>
          </xdr:nvSpPr>
          <xdr:spPr>
            <a:xfrm>
              <a:off x="3388959" y="1872720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2000" b="1" i="0">
                  <a:latin typeface="Cambria Math" panose="02040503050406030204" pitchFamily="18" charset="0"/>
                </a:rPr>
                <a:t>𝒎𝟐</a:t>
              </a:r>
              <a:endParaRPr lang="en-GB" sz="2000" b="1"/>
            </a:p>
          </xdr:txBody>
        </xdr:sp>
      </mc:Fallback>
    </mc:AlternateContent>
    <xdr:clientData/>
  </xdr:oneCellAnchor>
  <xdr:oneCellAnchor>
    <xdr:from>
      <xdr:col>12</xdr:col>
      <xdr:colOff>102834</xdr:colOff>
      <xdr:row>87</xdr:row>
      <xdr:rowOff>124883</xdr:rowOff>
    </xdr:from>
    <xdr:ext cx="443972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EB023BBA-1715-4437-9100-8D9ECA4542FD}"/>
                </a:ext>
              </a:extLst>
            </xdr:cNvPr>
            <xdr:cNvSpPr txBox="1"/>
          </xdr:nvSpPr>
          <xdr:spPr>
            <a:xfrm>
              <a:off x="5474934" y="1872720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1" i="1">
                        <a:latin typeface="Cambria Math" panose="02040503050406030204" pitchFamily="18" charset="0"/>
                      </a:rPr>
                      <m:t>𝒑</m:t>
                    </m:r>
                    <m:r>
                      <a:rPr lang="en-US" sz="2000" b="1" i="1">
                        <a:latin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en-GB" sz="2000" b="1"/>
            </a:p>
          </xdr:txBody>
        </xdr:sp>
      </mc:Choice>
      <mc:Fallback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EB023BBA-1715-4437-9100-8D9ECA4542FD}"/>
                </a:ext>
              </a:extLst>
            </xdr:cNvPr>
            <xdr:cNvSpPr txBox="1"/>
          </xdr:nvSpPr>
          <xdr:spPr>
            <a:xfrm>
              <a:off x="5474934" y="1872720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2000" b="1" i="0">
                  <a:latin typeface="Cambria Math" panose="02040503050406030204" pitchFamily="18" charset="0"/>
                </a:rPr>
                <a:t>𝒑𝟏</a:t>
              </a:r>
              <a:endParaRPr lang="en-GB" sz="2000" b="1"/>
            </a:p>
          </xdr:txBody>
        </xdr:sp>
      </mc:Fallback>
    </mc:AlternateContent>
    <xdr:clientData/>
  </xdr:oneCellAnchor>
  <xdr:oneCellAnchor>
    <xdr:from>
      <xdr:col>2</xdr:col>
      <xdr:colOff>102834</xdr:colOff>
      <xdr:row>91</xdr:row>
      <xdr:rowOff>124883</xdr:rowOff>
    </xdr:from>
    <xdr:ext cx="443972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AB3B5AE1-9F28-47DD-BE0B-246192115D22}"/>
                </a:ext>
              </a:extLst>
            </xdr:cNvPr>
            <xdr:cNvSpPr txBox="1"/>
          </xdr:nvSpPr>
          <xdr:spPr>
            <a:xfrm>
              <a:off x="750534" y="1952730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1" i="1">
                        <a:latin typeface="Cambria Math" panose="02040503050406030204" pitchFamily="18" charset="0"/>
                      </a:rPr>
                      <m:t>𝒃</m:t>
                    </m:r>
                    <m:r>
                      <a:rPr lang="en-US" sz="2000" b="1" i="1">
                        <a:latin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en-GB" sz="2000" b="1"/>
            </a:p>
          </xdr:txBody>
        </xdr:sp>
      </mc:Choice>
      <mc:Fallback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AB3B5AE1-9F28-47DD-BE0B-246192115D22}"/>
                </a:ext>
              </a:extLst>
            </xdr:cNvPr>
            <xdr:cNvSpPr txBox="1"/>
          </xdr:nvSpPr>
          <xdr:spPr>
            <a:xfrm>
              <a:off x="750534" y="1952730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2000" b="1" i="0">
                  <a:latin typeface="Cambria Math" panose="02040503050406030204" pitchFamily="18" charset="0"/>
                </a:rPr>
                <a:t>𝒃𝟏</a:t>
              </a:r>
              <a:endParaRPr lang="en-GB" sz="2000" b="1"/>
            </a:p>
          </xdr:txBody>
        </xdr:sp>
      </mc:Fallback>
    </mc:AlternateContent>
    <xdr:clientData/>
  </xdr:oneCellAnchor>
  <xdr:oneCellAnchor>
    <xdr:from>
      <xdr:col>7</xdr:col>
      <xdr:colOff>102834</xdr:colOff>
      <xdr:row>91</xdr:row>
      <xdr:rowOff>124883</xdr:rowOff>
    </xdr:from>
    <xdr:ext cx="443972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D5C0C855-8C6B-4DF5-A00D-28E109C79C57}"/>
                </a:ext>
              </a:extLst>
            </xdr:cNvPr>
            <xdr:cNvSpPr txBox="1"/>
          </xdr:nvSpPr>
          <xdr:spPr>
            <a:xfrm>
              <a:off x="3388959" y="1952730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1" i="1">
                        <a:latin typeface="Cambria Math" panose="02040503050406030204" pitchFamily="18" charset="0"/>
                      </a:rPr>
                      <m:t>𝒃</m:t>
                    </m:r>
                    <m:r>
                      <a:rPr lang="en-US" sz="2000" b="1" i="1">
                        <a:latin typeface="Cambria Math" panose="02040503050406030204" pitchFamily="18" charset="0"/>
                      </a:rPr>
                      <m:t>𝟐</m:t>
                    </m:r>
                  </m:oMath>
                </m:oMathPara>
              </a14:m>
              <a:endParaRPr lang="en-GB" sz="2000" b="1"/>
            </a:p>
          </xdr:txBody>
        </xdr:sp>
      </mc:Choice>
      <mc:Fallback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D5C0C855-8C6B-4DF5-A00D-28E109C79C57}"/>
                </a:ext>
              </a:extLst>
            </xdr:cNvPr>
            <xdr:cNvSpPr txBox="1"/>
          </xdr:nvSpPr>
          <xdr:spPr>
            <a:xfrm>
              <a:off x="3388959" y="19527308"/>
              <a:ext cx="44397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2000" b="1" i="0">
                  <a:latin typeface="Cambria Math" panose="02040503050406030204" pitchFamily="18" charset="0"/>
                </a:rPr>
                <a:t>𝒃𝟐</a:t>
              </a:r>
              <a:endParaRPr lang="en-GB" sz="2000" b="1"/>
            </a:p>
          </xdr:txBody>
        </xdr:sp>
      </mc:Fallback>
    </mc:AlternateContent>
    <xdr:clientData/>
  </xdr:oneCellAnchor>
  <xdr:twoCellAnchor>
    <xdr:from>
      <xdr:col>2</xdr:col>
      <xdr:colOff>609599</xdr:colOff>
      <xdr:row>90</xdr:row>
      <xdr:rowOff>123825</xdr:rowOff>
    </xdr:from>
    <xdr:to>
      <xdr:col>4</xdr:col>
      <xdr:colOff>219074</xdr:colOff>
      <xdr:row>98</xdr:row>
      <xdr:rowOff>123825</xdr:rowOff>
    </xdr:to>
    <xdr:cxnSp macro="">
      <xdr:nvCxnSpPr>
        <xdr:cNvPr id="39" name="Connector: Curved 38">
          <a:extLst>
            <a:ext uri="{FF2B5EF4-FFF2-40B4-BE49-F238E27FC236}">
              <a16:creationId xmlns:a16="http://schemas.microsoft.com/office/drawing/2014/main" id="{08FDB46D-2B35-4E72-88EA-B2FCDEAE1CAE}"/>
            </a:ext>
          </a:extLst>
        </xdr:cNvPr>
        <xdr:cNvCxnSpPr>
          <a:cxnSpLocks/>
        </xdr:cNvCxnSpPr>
      </xdr:nvCxnSpPr>
      <xdr:spPr>
        <a:xfrm rot="16200000" flipH="1">
          <a:off x="890587" y="19692937"/>
          <a:ext cx="1600200" cy="8667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95</xdr:row>
      <xdr:rowOff>180975</xdr:rowOff>
    </xdr:from>
    <xdr:to>
      <xdr:col>8</xdr:col>
      <xdr:colOff>152400</xdr:colOff>
      <xdr:row>100</xdr:row>
      <xdr:rowOff>180975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2DDC36B8-F05C-4A8A-BB08-73B18D6CE6BE}"/>
            </a:ext>
          </a:extLst>
        </xdr:cNvPr>
        <xdr:cNvSpPr/>
      </xdr:nvSpPr>
      <xdr:spPr>
        <a:xfrm>
          <a:off x="2133600" y="20383500"/>
          <a:ext cx="2133600" cy="1000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  <a:latin typeface="Cavolini" panose="03000502040302020204" pitchFamily="66" charset="0"/>
              <a:cs typeface="Cavolini" panose="03000502040302020204" pitchFamily="66" charset="0"/>
            </a:rPr>
            <a:t>m1, m2, b1, b2,and p1 are decision variables indicating expansion for Manchester, Birmingham and Plymouth</a:t>
          </a:r>
        </a:p>
        <a:p>
          <a:pPr algn="l"/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  <xdr:twoCellAnchor>
    <xdr:from>
      <xdr:col>2</xdr:col>
      <xdr:colOff>428625</xdr:colOff>
      <xdr:row>94</xdr:row>
      <xdr:rowOff>38100</xdr:rowOff>
    </xdr:from>
    <xdr:to>
      <xdr:col>4</xdr:col>
      <xdr:colOff>228600</xdr:colOff>
      <xdr:row>98</xdr:row>
      <xdr:rowOff>80963</xdr:rowOff>
    </xdr:to>
    <xdr:cxnSp macro="">
      <xdr:nvCxnSpPr>
        <xdr:cNvPr id="41" name="Connector: Curved 40">
          <a:extLst>
            <a:ext uri="{FF2B5EF4-FFF2-40B4-BE49-F238E27FC236}">
              <a16:creationId xmlns:a16="http://schemas.microsoft.com/office/drawing/2014/main" id="{8D2A1E86-57C0-4E9F-A658-B445F158E1A3}"/>
            </a:ext>
          </a:extLst>
        </xdr:cNvPr>
        <xdr:cNvCxnSpPr>
          <a:endCxn id="40" idx="1"/>
        </xdr:cNvCxnSpPr>
      </xdr:nvCxnSpPr>
      <xdr:spPr>
        <a:xfrm>
          <a:off x="1076325" y="20040600"/>
          <a:ext cx="1057275" cy="84296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90</xdr:row>
      <xdr:rowOff>28576</xdr:rowOff>
    </xdr:from>
    <xdr:to>
      <xdr:col>7</xdr:col>
      <xdr:colOff>142875</xdr:colOff>
      <xdr:row>95</xdr:row>
      <xdr:rowOff>171451</xdr:rowOff>
    </xdr:to>
    <xdr:cxnSp macro="">
      <xdr:nvCxnSpPr>
        <xdr:cNvPr id="42" name="Connector: Curved 41">
          <a:extLst>
            <a:ext uri="{FF2B5EF4-FFF2-40B4-BE49-F238E27FC236}">
              <a16:creationId xmlns:a16="http://schemas.microsoft.com/office/drawing/2014/main" id="{E90BAD5B-72E7-4347-95A3-D9CF2B0FB5AC}"/>
            </a:ext>
          </a:extLst>
        </xdr:cNvPr>
        <xdr:cNvCxnSpPr/>
      </xdr:nvCxnSpPr>
      <xdr:spPr>
        <a:xfrm rot="5400000">
          <a:off x="2681288" y="19626263"/>
          <a:ext cx="1143000" cy="352425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94</xdr:row>
      <xdr:rowOff>28575</xdr:rowOff>
    </xdr:from>
    <xdr:to>
      <xdr:col>8</xdr:col>
      <xdr:colOff>28575</xdr:colOff>
      <xdr:row>95</xdr:row>
      <xdr:rowOff>171450</xdr:rowOff>
    </xdr:to>
    <xdr:cxnSp macro="">
      <xdr:nvCxnSpPr>
        <xdr:cNvPr id="43" name="Connector: Curved 42">
          <a:extLst>
            <a:ext uri="{FF2B5EF4-FFF2-40B4-BE49-F238E27FC236}">
              <a16:creationId xmlns:a16="http://schemas.microsoft.com/office/drawing/2014/main" id="{AC7BF8C2-24F8-4210-A340-DBE98518DFC9}"/>
            </a:ext>
          </a:extLst>
        </xdr:cNvPr>
        <xdr:cNvCxnSpPr/>
      </xdr:nvCxnSpPr>
      <xdr:spPr>
        <a:xfrm rot="5400000">
          <a:off x="3962400" y="20193000"/>
          <a:ext cx="342900" cy="1905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152401</xdr:colOff>
      <xdr:row>90</xdr:row>
      <xdr:rowOff>28575</xdr:rowOff>
    </xdr:from>
    <xdr:to>
      <xdr:col>13</xdr:col>
      <xdr:colOff>66676</xdr:colOff>
      <xdr:row>98</xdr:row>
      <xdr:rowOff>80963</xdr:rowOff>
    </xdr:to>
    <xdr:cxnSp macro="">
      <xdr:nvCxnSpPr>
        <xdr:cNvPr id="44" name="Connector: Curved 43">
          <a:extLst>
            <a:ext uri="{FF2B5EF4-FFF2-40B4-BE49-F238E27FC236}">
              <a16:creationId xmlns:a16="http://schemas.microsoft.com/office/drawing/2014/main" id="{8EB3D7F7-CEBB-487E-8116-2A65E69784AB}"/>
            </a:ext>
          </a:extLst>
        </xdr:cNvPr>
        <xdr:cNvCxnSpPr>
          <a:endCxn id="40" idx="3"/>
        </xdr:cNvCxnSpPr>
      </xdr:nvCxnSpPr>
      <xdr:spPr>
        <a:xfrm rot="10800000" flipV="1">
          <a:off x="4267201" y="19230975"/>
          <a:ext cx="1666875" cy="165258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13606</xdr:colOff>
      <xdr:row>61</xdr:row>
      <xdr:rowOff>136070</xdr:rowOff>
    </xdr:from>
    <xdr:to>
      <xdr:col>30</xdr:col>
      <xdr:colOff>96922</xdr:colOff>
      <xdr:row>68</xdr:row>
      <xdr:rowOff>81715</xdr:rowOff>
    </xdr:to>
    <xdr:sp macro="" textlink="">
      <xdr:nvSpPr>
        <xdr:cNvPr id="45" name="Arrow: Left 44">
          <a:extLst>
            <a:ext uri="{FF2B5EF4-FFF2-40B4-BE49-F238E27FC236}">
              <a16:creationId xmlns:a16="http://schemas.microsoft.com/office/drawing/2014/main" id="{A6BC84A5-D7F9-431D-B3F8-BB8700F6DF51}"/>
            </a:ext>
          </a:extLst>
        </xdr:cNvPr>
        <xdr:cNvSpPr/>
      </xdr:nvSpPr>
      <xdr:spPr>
        <a:xfrm rot="1800074">
          <a:off x="13743213" y="20669249"/>
          <a:ext cx="2695888" cy="1374395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1" i="0">
            <a:solidFill>
              <a:sysClr val="windowText" lastClr="000000"/>
            </a:solidFill>
            <a:effectLst/>
            <a:latin typeface="Cavolini" panose="03000502040302020204" pitchFamily="66" charset="0"/>
            <a:ea typeface="+mn-ea"/>
            <a:cs typeface="Cavolini" panose="03000502040302020204" pitchFamily="66" charset="0"/>
          </a:endParaRPr>
        </a:p>
        <a:p>
          <a:pPr algn="l"/>
          <a:r>
            <a:rPr lang="en-GB" sz="1100" b="1" i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m1</a:t>
          </a:r>
          <a:r>
            <a:rPr lang="en-GB" sz="1100" b="1" i="0" baseline="0">
              <a:solidFill>
                <a:sysClr val="windowText" lastClr="000000"/>
              </a:solidFill>
              <a:effectLst/>
              <a:latin typeface="Cavolini" panose="03000502040302020204" pitchFamily="66" charset="0"/>
              <a:ea typeface="+mn-ea"/>
              <a:cs typeface="Cavolini" panose="03000502040302020204" pitchFamily="66" charset="0"/>
            </a:rPr>
            <a:t> + m2 + b1 + b2 + p1 &lt;= 3</a:t>
          </a:r>
          <a:endParaRPr lang="en-GB" sz="1100" b="1">
            <a:solidFill>
              <a:sysClr val="windowText" lastClr="00000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ISWARYA GOURI UNNIKRISHNAN" id="{03011845-BF49-4F8A-A7B1-17EB29548CA4}" userId="S::psxau2@nottingham.ac.uk::903e808e-0bf8-49ef-b425-feb505d6351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313DDBA1-647B-4189-B261-79BD2CF88B3C}" name="TRit4088" displayName="TRit4088" ref="D27:I31" totalsRowShown="0" headerRowDxfId="457" headerRowBorderDxfId="456" tableBorderDxfId="455">
  <autoFilter ref="D27:I31" xr:uid="{0DCBFD2B-AE8D-4968-ABFC-723922E059F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2B56070-A7C1-4065-87EE-1589BC6C722D}" name="1" dataDxfId="454"/>
    <tableColumn id="2" xr3:uid="{4528502B-650F-484A-AA6A-1A83A75EC502}" name="2" dataDxfId="453"/>
    <tableColumn id="3" xr3:uid="{237DEC79-D1E2-4B9F-B824-A95715EC91A5}" name="3" dataDxfId="452"/>
    <tableColumn id="4" xr3:uid="{B9C1EC37-D71B-4930-AD60-7BB2CC8642E1}" name="4" dataDxfId="451"/>
    <tableColumn id="5" xr3:uid="{849CB443-1E94-4F19-8231-F711A1E023C3}" name="5" dataDxfId="450"/>
    <tableColumn id="6" xr3:uid="{DCF7B6A0-9920-4C3F-AA1F-DEEE3EACCE7B}" name="6" dataDxfId="449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4D3D25CD-D9B0-4222-96C0-EE2F20C076CF}" name="RPit4189" displayName="RPit4189" ref="D81:I85" totalsRowShown="0" headerRowDxfId="448" headerRowBorderDxfId="447" tableBorderDxfId="446">
  <autoFilter ref="D81:I85" xr:uid="{4CDA3332-C5F0-4BEA-82CE-25DC1B935DE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6879621-ED30-4FE6-B79C-3D686389E3DB}" name="1" dataDxfId="445"/>
    <tableColumn id="2" xr3:uid="{51AF88BC-1585-4739-B026-7445687874EA}" name="2" dataDxfId="444"/>
    <tableColumn id="3" xr3:uid="{72F23BD9-D6C5-4C92-85A8-08AC31E227D4}" name="3" dataDxfId="443"/>
    <tableColumn id="4" xr3:uid="{B72DD9C0-9B56-4DD4-BDB9-F0365FA30862}" name="4" dataDxfId="442"/>
    <tableColumn id="5" xr3:uid="{96D701EB-C816-4BF1-A7BA-1DAC7D20004B}" name="5" dataDxfId="441"/>
    <tableColumn id="6" xr3:uid="{A685933E-869B-47DE-B064-030F37F48489}" name="6" dataDxfId="440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1388D5EF-7BF2-4443-B4C5-F3E6AC27EF06}" name="NDit4290" displayName="NDit4290" ref="D19:I23" totalsRowShown="0" headerRowDxfId="439" headerRowBorderDxfId="438" tableBorderDxfId="437">
  <autoFilter ref="D19:I23" xr:uid="{022A7521-3889-407F-9F89-CA381D89908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4C00804-64A6-40DD-A5BF-1683827287ED}" name="1" dataDxfId="436"/>
    <tableColumn id="2" xr3:uid="{CB7F8EFD-174E-4234-9151-3A2DC4132550}" name="2" dataDxfId="435"/>
    <tableColumn id="3" xr3:uid="{CFA9EC92-B2AD-4339-AF30-70C2E712D087}" name="3" dataDxfId="434"/>
    <tableColumn id="4" xr3:uid="{74C071B3-9273-4428-B0F8-9A58E25FBEB3}" name="4" dataDxfId="433"/>
    <tableColumn id="5" xr3:uid="{53C0FAD4-7109-49C5-8C69-2962406B6E46}" name="5" dataDxfId="432"/>
    <tableColumn id="6" xr3:uid="{CA3EDED4-F16A-4F7B-BF00-D3CCE77CA1B7}" name="6" dataDxfId="43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164C0224-4E06-4FC5-B081-3D9C3F60FD75}" name="EDit4391" displayName="EDit4391" ref="D43:I47" totalsRowShown="0" headerRowDxfId="430" headerRowBorderDxfId="429" tableBorderDxfId="428">
  <autoFilter ref="D43:I47" xr:uid="{2F7FDF5C-A712-4C57-A966-D36BB7D37E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F53DF8C-92E3-450B-976D-C64020658C2F}" name="1" dataDxfId="427"/>
    <tableColumn id="2" xr3:uid="{FB6131B1-F5F1-417A-B47B-AD40698F0C2F}" name="2" dataDxfId="426"/>
    <tableColumn id="3" xr3:uid="{8758BD17-8EB0-4F08-919A-EE032FE7A029}" name="3" dataDxfId="425"/>
    <tableColumn id="4" xr3:uid="{F5AA0A5E-AC78-4F90-808E-26EE60DA0CAB}" name="4" dataDxfId="424"/>
    <tableColumn id="5" xr3:uid="{B16E6782-57FD-43EF-BE8B-402C743F70C0}" name="5" dataDxfId="423"/>
    <tableColumn id="6" xr3:uid="{0C7D973A-88C0-4974-B89B-BD12C4478854}" name="6" dataDxfId="422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0AFCC9C5-1293-4213-A334-2CA7ABA6C45A}" name="EUit4492" displayName="EUit4492" ref="D35:I39" totalsRowShown="0" headerRowDxfId="421" headerRowBorderDxfId="420" tableBorderDxfId="419">
  <autoFilter ref="D35:I39" xr:uid="{444BB33B-F1E0-4BEF-ADCA-CBDAFEADC72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7D5D63E-D291-4769-B539-550E7B8B0866}" name="1" dataDxfId="418"/>
    <tableColumn id="2" xr3:uid="{19581552-1328-4D82-A920-B5CEF0B312F7}" name="2" dataDxfId="417"/>
    <tableColumn id="3" xr3:uid="{2164E70A-AF17-47E9-B32E-D0C805AB99ED}" name="3" dataDxfId="416"/>
    <tableColumn id="4" xr3:uid="{204AA987-4366-4F9C-839F-DF15FE0E5918}" name="4" dataDxfId="415"/>
    <tableColumn id="5" xr3:uid="{1DDB94D1-A37E-46D8-911E-CE327CFFF2DE}" name="5" dataDxfId="414"/>
    <tableColumn id="6" xr3:uid="{F63A4B4B-0817-4264-B1C9-0610B29C2B74}" name="6" dataDxfId="413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8639FA24-DD8A-46F3-8012-09169C2DD82D}" name="TU1jt4593" displayName="TU1jt4593" ref="D51:I55" totalsRowShown="0" headerRowDxfId="412" headerRowBorderDxfId="411" tableBorderDxfId="410">
  <autoFilter ref="D51:I55" xr:uid="{E3290E78-BF32-4245-8039-37AB886FE04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19D9685-1BF4-4B0C-9789-32B3FE1A0112}" name="1" dataDxfId="409"/>
    <tableColumn id="2" xr3:uid="{CB342A80-8426-4D05-8D15-FB952615A2B4}" name="2" dataDxfId="408"/>
    <tableColumn id="3" xr3:uid="{C523D3EF-EFC4-44E0-AAF7-17AED86BB2B7}" name="3" dataDxfId="407"/>
    <tableColumn id="4" xr3:uid="{36117253-493C-47A1-9944-53A265CF7EA3}" name="4" dataDxfId="406"/>
    <tableColumn id="5" xr3:uid="{3B0C7A36-4DB3-457C-8DDB-D81CFCDF8B03}" name="5" dataDxfId="405"/>
    <tableColumn id="6" xr3:uid="{144D8ACD-F23F-4755-AAE9-BB1B6F2B0634}" name="6" dataDxfId="404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0B3498D0-6171-422A-BDC1-EBDD11100BFA}" name="TU2jt4694" displayName="TU2jt4694" ref="M51:R55" totalsRowShown="0" headerRowDxfId="403" headerRowBorderDxfId="402" tableBorderDxfId="401">
  <autoFilter ref="M51:R55" xr:uid="{7DED1818-B5FB-43E0-B1F6-4DE972BC6CC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24926FF-04E0-4006-B805-F7DEB6200F59}" name="1" dataDxfId="400"/>
    <tableColumn id="2" xr3:uid="{8E4E4357-DD7C-4564-BD60-D49180F21CBB}" name="2" dataDxfId="399"/>
    <tableColumn id="3" xr3:uid="{26023EDF-A000-4B2B-B5D5-605B07D93F8D}" name="3" dataDxfId="398"/>
    <tableColumn id="4" xr3:uid="{E44896F3-A2DC-4809-AC31-C4FE90D6CE60}" name="4" dataDxfId="397"/>
    <tableColumn id="5" xr3:uid="{448334B7-F4E1-4979-AD7F-5FA290396BEA}" name="5" dataDxfId="396"/>
    <tableColumn id="6" xr3:uid="{8ED4952B-9009-4256-953F-5883E331B3DB}" name="6" dataDxfId="395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905AFCC3-1877-45A1-9755-ABE1231698CE}" name="TU3jt4795" displayName="TU3jt4795" ref="D57:I61" totalsRowShown="0" headerRowDxfId="394" headerRowBorderDxfId="393" tableBorderDxfId="392">
  <autoFilter ref="D57:I61" xr:uid="{7A68EA17-9EAB-4516-A558-B76C17936A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82469A4-BF0F-4339-A387-8A341FE623D2}" name="1" dataDxfId="391"/>
    <tableColumn id="2" xr3:uid="{129C7706-1B01-40B3-8945-174F67015607}" name="2" dataDxfId="390"/>
    <tableColumn id="3" xr3:uid="{7EBE603D-0DFB-4439-9BD5-0555253D9A2D}" name="3" dataDxfId="389"/>
    <tableColumn id="4" xr3:uid="{5255E08F-76BF-4188-BFDC-84A20CD2F2FE}" name="4" dataDxfId="388"/>
    <tableColumn id="5" xr3:uid="{0903446B-58C5-4FEA-8A48-589735FF87F1}" name="5" dataDxfId="387"/>
    <tableColumn id="6" xr3:uid="{52A868A1-C6F2-45AD-A490-5C5CB93E26EB}" name="6" dataDxfId="386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5D658AD0-475D-4C4F-9B85-F34057679078}" name="TU4jt4896" displayName="TU4jt4896" ref="M57:R61" totalsRowShown="0" headerRowDxfId="385" headerRowBorderDxfId="384" tableBorderDxfId="383">
  <autoFilter ref="M57:R61" xr:uid="{B3E966C4-4AC2-4F46-8069-D6836BE623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E6594B7-6614-4443-8503-D2748452C680}" name="1" dataDxfId="382"/>
    <tableColumn id="2" xr3:uid="{A6FC4294-4EED-42B1-B9E0-F7BB097C8B83}" name="2" dataDxfId="381"/>
    <tableColumn id="3" xr3:uid="{AD97E7DB-B9CE-4F63-A768-2A49CB52C04E}" name="3" dataDxfId="380"/>
    <tableColumn id="4" xr3:uid="{7DBE7C29-4E87-4073-9D13-C8BA028A5410}" name="4" dataDxfId="379"/>
    <tableColumn id="5" xr3:uid="{2CE669F7-68D1-4DED-88F6-9ED296BE7EAE}" name="5" dataDxfId="378"/>
    <tableColumn id="6" xr3:uid="{E995D76E-56E8-489F-A29F-ABCC9FD4B4C8}" name="6" dataDxfId="377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C3A37EEC-2022-4552-9C08-B41F0C5C1128}" name="TD1jt4997" displayName="TD1jt4997" ref="D66:I70" totalsRowShown="0" headerRowDxfId="376" headerRowBorderDxfId="375" tableBorderDxfId="374">
  <autoFilter ref="D66:I70" xr:uid="{ED7E49E4-7A41-4E89-9666-92A599B830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2A37D8B-255A-4E89-B609-43F0E9E49ADF}" name="1" dataDxfId="373"/>
    <tableColumn id="2" xr3:uid="{A358062A-733D-4402-9C01-D6DB271F6905}" name="2" dataDxfId="372"/>
    <tableColumn id="3" xr3:uid="{6A2F1704-58A4-48B6-AFC4-F7B1413196CB}" name="3" dataDxfId="371"/>
    <tableColumn id="4" xr3:uid="{3F650F93-70F2-4BCB-9BF4-60FD95DDF485}" name="4" dataDxfId="370"/>
    <tableColumn id="5" xr3:uid="{420275B2-C70D-483E-B550-29FAA95FEDEF}" name="5" dataDxfId="369"/>
    <tableColumn id="6" xr3:uid="{72C85B50-3A64-43FB-B4C9-1A6C2E9770B1}" name="6" dataDxfId="368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0DFEAB8F-7ED6-4A94-B02E-D895F5D0214F}" name="TD2jt5098" displayName="TD2jt5098" ref="M66:R70" totalsRowShown="0" headerRowDxfId="367" headerRowBorderDxfId="366" tableBorderDxfId="365">
  <autoFilter ref="M66:R70" xr:uid="{5C42F928-E8B0-4F8E-846F-0ADC85C6D79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92C20FA-813D-4FC6-990F-1FEB5F2FB859}" name="1" dataDxfId="364"/>
    <tableColumn id="2" xr3:uid="{1703C377-D426-4C4E-85A8-3862546214BE}" name="2" dataDxfId="363"/>
    <tableColumn id="3" xr3:uid="{DCCD3055-E247-4764-BC74-397D709539F6}" name="3" dataDxfId="362"/>
    <tableColumn id="4" xr3:uid="{EC6F8074-205B-4A76-B82F-066D2811517E}" name="4" dataDxfId="361"/>
    <tableColumn id="5" xr3:uid="{EDB768D3-C4DD-48FA-8A9B-4A0B26D01BE9}" name="5" dataDxfId="360"/>
    <tableColumn id="6" xr3:uid="{F890E63D-3F50-46CE-9A6E-46051995D902}" name="6" dataDxfId="359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8AA8E088-8B6A-4C26-B33A-CD8CA69A4C52}" name="TD3jt5199" displayName="TD3jt5199" ref="D72:I76" totalsRowShown="0" headerRowDxfId="358" headerRowBorderDxfId="357" tableBorderDxfId="356">
  <autoFilter ref="D72:I76" xr:uid="{F6C4A0FD-6ED4-4209-9D7B-E174B95B37D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85F2914-F68E-41FB-ACC5-8B9551253211}" name="1" dataDxfId="355"/>
    <tableColumn id="2" xr3:uid="{AAFA3141-CD02-4E85-B479-8349EB79A6AB}" name="2" dataDxfId="354"/>
    <tableColumn id="3" xr3:uid="{D155B291-B95A-428F-94F1-507A202A33B9}" name="3" dataDxfId="353"/>
    <tableColumn id="4" xr3:uid="{3913E315-FBDC-4C77-BFEE-E97176A5598B}" name="4" dataDxfId="352"/>
    <tableColumn id="5" xr3:uid="{60E7D296-9020-4D6D-8791-99944B3181AD}" name="5" dataDxfId="351"/>
    <tableColumn id="6" xr3:uid="{6EA11D70-6E72-481B-9777-BE4F1C880F4F}" name="6" dataDxfId="350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CE25A8B7-6F22-45D6-8B1E-769CB9AE7AB3}" name="TD4jt52100" displayName="TD4jt52100" ref="M72:R76" totalsRowShown="0" headerRowDxfId="349" headerRowBorderDxfId="348" tableBorderDxfId="347">
  <autoFilter ref="M72:R76" xr:uid="{7983963B-74E8-4785-89B8-E6DDDF95D07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68B980C-19F9-42A7-B536-E214AEF2ECBD}" name="1" dataDxfId="346"/>
    <tableColumn id="2" xr3:uid="{60FE42C7-5B2C-431B-8130-13BA8C2FCB5B}" name="2" dataDxfId="345"/>
    <tableColumn id="3" xr3:uid="{755CE711-6B58-447E-A3A6-3B79EA5B7461}" name="3" dataDxfId="344"/>
    <tableColumn id="4" xr3:uid="{B6FB4A9C-4AFD-4879-B409-5DC41CB79D84}" name="4" dataDxfId="343"/>
    <tableColumn id="5" xr3:uid="{F16DCAA6-E8A5-4469-A50B-91FB5326E751}" name="5" dataDxfId="342"/>
    <tableColumn id="6" xr3:uid="{A21CA552-DC01-465A-A6D5-1FFCF40867CC}" name="6" dataDxfId="341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9391CB54-7511-4254-A722-6B23BC036DAC}" name="NUit53101" displayName="NUit53101" ref="D11:I15" totalsRowShown="0" headerRowDxfId="340" headerRowBorderDxfId="339" tableBorderDxfId="338">
  <autoFilter ref="D11:I15" xr:uid="{F864F00E-EF7F-4617-8C69-82932F81D5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AF778D0-9CD5-45FE-B902-99B3BD9CC177}" name="1" dataDxfId="337"/>
    <tableColumn id="2" xr3:uid="{CA751EA4-66E2-477D-A8CF-ABA6ECEA48A0}" name="2" dataDxfId="336"/>
    <tableColumn id="3" xr3:uid="{1215578A-3B61-4F6D-9390-3685A614DDBF}" name="3" dataDxfId="335"/>
    <tableColumn id="4" xr3:uid="{B643DA6C-4290-4138-837C-939F3CADA339}" name="4" dataDxfId="334"/>
    <tableColumn id="5" xr3:uid="{D3C0A002-2136-4F95-9403-96F277DD1B8D}" name="5" dataDxfId="333"/>
    <tableColumn id="6" xr3:uid="{5AF885E5-1579-4CEB-9622-DF4D101569D5}" name="6" dataDxfId="33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7E56C236-3F8A-45C4-91DF-BD6E3AC0235E}" name="Repair_Capacity3854102" displayName="Repair_Capacity3854102" ref="BK3:BN4" totalsRowShown="0" headerRowDxfId="331" tableBorderDxfId="330">
  <autoFilter ref="BK3:BN4" xr:uid="{3CB4286C-EF6E-4863-9D03-22E96D57D05F}"/>
  <tableColumns count="4">
    <tableColumn id="1" xr3:uid="{CC8F7D36-E0D4-4E40-84C8-9AFA11F6EEB1}" name="Glasgow" dataDxfId="329"/>
    <tableColumn id="2" xr3:uid="{1925554C-82F8-4F16-A04A-64E5266030BC}" name="Manchester" dataDxfId="328"/>
    <tableColumn id="3" xr3:uid="{916AB036-7FEA-4CBC-BF62-B07AEFA95114}" name="Birmingham" dataDxfId="327"/>
    <tableColumn id="4" xr3:uid="{0D3748BE-4288-4A0D-B424-4AA32A4F49EC}" name="Plymouth" dataDxfId="326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755574EE-77F9-4A50-98F8-E10F1E439FB9}" name="Demand3955103" displayName="Demand3955103" ref="BK8:BN14" totalsRowShown="0" headerRowDxfId="325" tableBorderDxfId="324">
  <autoFilter ref="BK8:BN14" xr:uid="{1CEFF076-78D2-4B49-8DE1-D35F09443B82}"/>
  <tableColumns count="4">
    <tableColumn id="1" xr3:uid="{B5E57814-E5EF-4FB1-AE47-F0F386DD8D46}" name="Glasgow" dataDxfId="323"/>
    <tableColumn id="2" xr3:uid="{C4F77C39-5EAA-4EEC-9352-425189149138}" name="Manchester" dataDxfId="322"/>
    <tableColumn id="3" xr3:uid="{0ED9B532-2AB0-4CD4-89D1-EC93B300787C}" name="Birmingham" dataDxfId="321"/>
    <tableColumn id="4" xr3:uid="{0C09E28D-EC88-4F09-999B-94EF82FAD005}" name="Plymouth" dataDxfId="320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D665EC-C591-4A9E-B064-C388A3C0E749}" name="Demand" displayName="Demand" ref="C6:F12" totalsRowShown="0" headerRowDxfId="319" tableBorderDxfId="318">
  <autoFilter ref="C6:F12" xr:uid="{B2D665EC-C591-4A9E-B064-C388A3C0E749}">
    <filterColumn colId="0" hiddenButton="1"/>
    <filterColumn colId="1" hiddenButton="1"/>
    <filterColumn colId="2" hiddenButton="1"/>
    <filterColumn colId="3" hiddenButton="1"/>
  </autoFilter>
  <tableColumns count="4">
    <tableColumn id="1" xr3:uid="{475DCB7E-23E6-4EB5-BAC1-3081BEA1FE35}" name="Glasgow" dataDxfId="317"/>
    <tableColumn id="2" xr3:uid="{230BBCEE-96C2-4050-841E-06BAB34F967A}" name="Manchester" dataDxfId="316"/>
    <tableColumn id="3" xr3:uid="{3FBFDFF5-471D-4DD2-B94C-2DF33B727FE5}" name="Birmingham" dataDxfId="315"/>
    <tableColumn id="4" xr3:uid="{577E5FD6-68C2-403F-BA83-6FFE9C6F7982}" name="Plymouth" dataDxfId="314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72AA35-9F36-421F-ABE8-E587888F35B8}" name="Repair_Capacity" displayName="Repair_Capacity" ref="I18:L19" totalsRowShown="0" headerRowDxfId="313" tableBorderDxfId="312">
  <autoFilter ref="I18:L19" xr:uid="{2572AA35-9F36-421F-ABE8-E587888F35B8}">
    <filterColumn colId="0" hiddenButton="1"/>
    <filterColumn colId="1" hiddenButton="1"/>
    <filterColumn colId="2" hiddenButton="1"/>
    <filterColumn colId="3" hiddenButton="1"/>
  </autoFilter>
  <tableColumns count="4">
    <tableColumn id="1" xr3:uid="{A67D7327-71A9-44C6-A202-6BC995E83E2C}" name="Glasgow" dataDxfId="311"/>
    <tableColumn id="2" xr3:uid="{8C2BE202-3A50-4E7C-83F7-A320C8B3B5D7}" name="Manchester" dataDxfId="310"/>
    <tableColumn id="3" xr3:uid="{9F174004-9995-49A4-9111-BB96C0F64E7B}" name="Birmingham" dataDxfId="309"/>
    <tableColumn id="4" xr3:uid="{088E70AC-7506-48E1-94B2-EECE28AC5915}" name="Plymouth" dataDxfId="308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47944BD-AE0B-41A3-9478-D56CC4744A4C}" name="Discount_Details" displayName="Discount_Details" ref="B37:E38" totalsRowShown="0" headerRowDxfId="307" headerRowBorderDxfId="306" tableBorderDxfId="305" totalsRowBorderDxfId="304">
  <autoFilter ref="B37:E38" xr:uid="{C47944BD-AE0B-41A3-9478-D56CC4744A4C}">
    <filterColumn colId="0" hiddenButton="1"/>
    <filterColumn colId="1" hiddenButton="1"/>
    <filterColumn colId="2" hiddenButton="1"/>
    <filterColumn colId="3" hiddenButton="1"/>
  </autoFilter>
  <tableColumns count="4">
    <tableColumn id="1" xr3:uid="{C5A255CE-A58B-47EB-A899-5B2300CA9A17}" name="Day" dataDxfId="303"/>
    <tableColumn id="2" xr3:uid="{DC8E49DC-F9ED-459C-8C72-254CDEFE2DA1}" name="Day Number" dataDxfId="302">
      <calculatedColumnFormula>_xlfn.XLOOKUP(Data!$B$38, CarRental_I_Model!AQ3:AQ8, CarRental_I_Model!AP3:AP8)</calculatedColumnFormula>
    </tableColumn>
    <tableColumn id="3" xr3:uid="{BAA866FC-E8A3-4CB4-BBCC-7E26954A3138}" name="Hire Day Count" dataDxfId="301"/>
    <tableColumn id="4" xr3:uid="{67B6AB38-EF67-4B3B-A1B0-9E81679FDC21}" name="Discount Amount" dataDxfId="300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7A45F31-79A9-4CA9-86EC-2D2DF4A78A06}" name="Depot_Hire_PerC" displayName="Depot_Hire_PerC" ref="I6:L10" totalsRowShown="0" headerRowDxfId="299" headerRowBorderDxfId="298" tableBorderDxfId="297">
  <autoFilter ref="I6:L10" xr:uid="{67A45F31-79A9-4CA9-86EC-2D2DF4A78A06}">
    <filterColumn colId="0" hiddenButton="1"/>
    <filterColumn colId="1" hiddenButton="1"/>
    <filterColumn colId="2" hiddenButton="1"/>
    <filterColumn colId="3" hiddenButton="1"/>
  </autoFilter>
  <tableColumns count="4">
    <tableColumn id="1" xr3:uid="{AFEFCFE9-EE5A-4932-8465-EF7357D0689D}" name="Glasgow" dataDxfId="296"/>
    <tableColumn id="2" xr3:uid="{ED851782-1962-43D5-90BF-2B1EBFAFD78B}" name="Manchester" dataDxfId="295"/>
    <tableColumn id="3" xr3:uid="{9B19749C-A120-4836-A1B3-C08E61D2C8E7}" name="Birmingham" dataDxfId="294"/>
    <tableColumn id="4" xr3:uid="{776C998D-353A-4BA0-BC27-939020AFA192}" name="Plymouth" dataDxfId="293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B2FDFDE-0117-4002-8931-8B618AC9BCCE}" name="Transfer_Cost" displayName="Transfer_Cost" ref="C18:F22" totalsRowShown="0" headerRowDxfId="292" tableBorderDxfId="291">
  <autoFilter ref="C18:F22" xr:uid="{8B2FDFDE-0117-4002-8931-8B618AC9BCCE}">
    <filterColumn colId="0" hiddenButton="1"/>
    <filterColumn colId="1" hiddenButton="1"/>
    <filterColumn colId="2" hiddenButton="1"/>
    <filterColumn colId="3" hiddenButton="1"/>
  </autoFilter>
  <tableColumns count="4">
    <tableColumn id="1" xr3:uid="{8AF37686-61D8-4029-82DA-5F7147EE9BB6}" name="Glasgow" dataDxfId="290"/>
    <tableColumn id="2" xr3:uid="{3424D4B6-D649-4204-989E-96F4616D30EA}" name="Manchester" dataDxfId="289"/>
    <tableColumn id="3" xr3:uid="{5868A7E1-D025-4611-832D-2B441B6C9042}" name="Birmingham" dataDxfId="288"/>
    <tableColumn id="4" xr3:uid="{4B5F2837-BFF6-46CB-8C17-BE117CA0218B}" name="Plymouth" dataDxfId="287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25C1EB0-CF72-4673-AD22-AF6F5EAB3343}" name="Rental_Price" displayName="Rental_Price" ref="C28:D31" totalsRowShown="0" tableBorderDxfId="286">
  <autoFilter ref="C28:D31" xr:uid="{625C1EB0-CF72-4673-AD22-AF6F5EAB3343}">
    <filterColumn colId="0" hiddenButton="1"/>
    <filterColumn colId="1" hiddenButton="1"/>
  </autoFilter>
  <tableColumns count="2">
    <tableColumn id="1" xr3:uid="{0822CD8F-AF84-451B-A765-B9FD9764A314}" name="Same" dataDxfId="285"/>
    <tableColumn id="2" xr3:uid="{1E40F09E-257F-482F-8354-6D789CF372BD}" name="Another" dataDxfId="284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30FA633-9BC2-42A6-A8C9-702795E420B7}" name="Marginal_Cost" displayName="Marginal_Cost" ref="G28:G31" totalsRowShown="0" headerRowDxfId="283" dataDxfId="282" tableBorderDxfId="281">
  <autoFilter ref="G28:G31" xr:uid="{430FA633-9BC2-42A6-A8C9-702795E420B7}"/>
  <tableColumns count="1">
    <tableColumn id="1" xr3:uid="{3F0DD458-1140-4358-86C9-2E07F6FF967A}" name="Marginal Cost" dataDxfId="28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A0291DA-AFB7-4E17-8267-6D2922D66509}" name="Car_Hire_PerC" displayName="Car_Hire_PerC" ref="J28:J31" totalsRowShown="0" headerRowDxfId="279" dataDxfId="278" tableBorderDxfId="277">
  <autoFilter ref="J28:J31" xr:uid="{3A0291DA-AFB7-4E17-8267-6D2922D66509}">
    <filterColumn colId="0" hiddenButton="1"/>
  </autoFilter>
  <tableColumns count="1">
    <tableColumn id="1" xr3:uid="{37E8F54E-F6C9-4FEC-8181-ADD59351F494}" name="Percentage of Cars Hired" dataDxfId="276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CBFD2B-AE8D-4968-ABFC-723922E059FE}" name="TRit" displayName="TRit" ref="D27:I31" totalsRowShown="0" headerRowDxfId="275" headerRowBorderDxfId="274" tableBorderDxfId="273">
  <autoFilter ref="D27:I31" xr:uid="{0DCBFD2B-AE8D-4968-ABFC-723922E059F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E37E8F9-2B4F-4FB5-8FB3-3F49024010F9}" name="Monday" dataDxfId="272"/>
    <tableColumn id="2" xr3:uid="{EA15EB1A-A2CB-4D7B-9F90-6053C1BAF079}" name="Tuesday" dataDxfId="271"/>
    <tableColumn id="3" xr3:uid="{F3C6A346-6A1F-4C25-8786-26E19641C0D8}" name="Wednesday" dataDxfId="270"/>
    <tableColumn id="4" xr3:uid="{0FDE879B-2942-435F-8DC6-D43557F72FAD}" name="Thursday" dataDxfId="269"/>
    <tableColumn id="5" xr3:uid="{B624D071-0E36-4FB6-852F-D13C529B72BE}" name="Friday" dataDxfId="268"/>
    <tableColumn id="6" xr3:uid="{2E084641-12EE-4AE5-8930-7512C8E01FB4}" name="Saturday" dataDxfId="267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A3332-C5F0-4BEA-82CE-25DC1B935DE9}" name="RPit" displayName="RPit" ref="D81:I85" totalsRowShown="0" headerRowDxfId="266" headerRowBorderDxfId="265" tableBorderDxfId="264">
  <autoFilter ref="D81:I85" xr:uid="{4CDA3332-C5F0-4BEA-82CE-25DC1B935DE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42D37D1-8965-4C7B-A9AB-14ED2189C9EF}" name="Monday" dataDxfId="263"/>
    <tableColumn id="2" xr3:uid="{7F1B5CC6-5DCF-466B-B452-1E4C44790D01}" name="Tuesday" dataDxfId="262"/>
    <tableColumn id="3" xr3:uid="{E29F68F6-5278-4A2A-ACB9-081DF0430B6D}" name="Wednesday" dataDxfId="261"/>
    <tableColumn id="4" xr3:uid="{18088B41-796A-4B64-92BF-7884F3105849}" name="Thursday" dataDxfId="260"/>
    <tableColumn id="5" xr3:uid="{71623B10-36EB-41A2-861B-393BB029560D}" name="Friday" dataDxfId="259"/>
    <tableColumn id="6" xr3:uid="{6A5F0C3C-F9B9-4EB0-AD59-953A81164C0A}" name="Saturday" dataDxfId="258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2A7521-3889-407F-9F89-CA381D89908A}" name="NDit" displayName="NDit" ref="D19:I23" totalsRowShown="0" headerRowDxfId="257" headerRowBorderDxfId="256" tableBorderDxfId="255">
  <autoFilter ref="D19:I23" xr:uid="{022A7521-3889-407F-9F89-CA381D89908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5304E88-3853-4164-BA30-A72092C4714B}" name="Monday" dataDxfId="254"/>
    <tableColumn id="2" xr3:uid="{60E0F6FB-2403-4930-81D1-270A88025D41}" name="Tuesday" dataDxfId="253"/>
    <tableColumn id="3" xr3:uid="{F5C0A989-0E67-410C-93F5-E786F9CFF467}" name="Wednesday" dataDxfId="252"/>
    <tableColumn id="4" xr3:uid="{983D3E34-DBCA-4178-8886-60477B9DC351}" name="Thursday" dataDxfId="251"/>
    <tableColumn id="5" xr3:uid="{183CE497-F4C7-4EB3-9530-E1864C983466}" name="Friday" dataDxfId="250"/>
    <tableColumn id="6" xr3:uid="{24B6F72F-D43B-4BB1-88DC-5DF4DEF6D00D}" name="Saturday" dataDxfId="249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7FDF5C-A712-4C57-A966-D36BB7D37ED3}" name="EDit" displayName="EDit" ref="D43:I47" totalsRowShown="0" headerRowDxfId="248" headerRowBorderDxfId="247" tableBorderDxfId="246">
  <autoFilter ref="D43:I47" xr:uid="{2F7FDF5C-A712-4C57-A966-D36BB7D37E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A099296-0428-4D87-9F1F-72E91EAF985B}" name="Monday" dataDxfId="245"/>
    <tableColumn id="2" xr3:uid="{859B0017-8924-437B-80CD-C43362CF8738}" name="Tuesday" dataDxfId="244"/>
    <tableColumn id="3" xr3:uid="{433890C0-FBC4-4438-8636-FBDCA2E5DAFB}" name="Wednesday" dataDxfId="243"/>
    <tableColumn id="4" xr3:uid="{CAC3BF81-C5E7-4B3E-B48C-90D8AC21131A}" name="Thursday" dataDxfId="242"/>
    <tableColumn id="5" xr3:uid="{3FB9875A-0F66-4103-9348-E75FB83D99A8}" name="Friday" dataDxfId="241"/>
    <tableColumn id="6" xr3:uid="{EEC5C100-3761-4BA7-B0A6-2494A26A6289}" name="Saturday" dataDxfId="24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4BB33B-F1E0-4BEF-ADCA-CBDAFEADC724}" name="EUit" displayName="EUit" ref="D35:I39" totalsRowShown="0" headerRowDxfId="239" headerRowBorderDxfId="238" tableBorderDxfId="237">
  <autoFilter ref="D35:I39" xr:uid="{444BB33B-F1E0-4BEF-ADCA-CBDAFEADC72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8D7A195-E242-44D4-9948-BD3D4F65973D}" name="Monday" dataDxfId="236"/>
    <tableColumn id="2" xr3:uid="{5FE6FD11-B8F1-42BB-B6D5-38DBB55974C0}" name="Tuesday" dataDxfId="235"/>
    <tableColumn id="3" xr3:uid="{77D4A465-40BA-41CA-9CAA-7121E718C157}" name="Wednesday" dataDxfId="234"/>
    <tableColumn id="4" xr3:uid="{A1FCD648-CA0B-4252-91C3-58CB69693CA8}" name="Thursday" dataDxfId="233"/>
    <tableColumn id="5" xr3:uid="{C34F40EB-B6F4-471B-A7E5-15589B40ABFD}" name="Friday" dataDxfId="232"/>
    <tableColumn id="6" xr3:uid="{C1D98545-37B2-4A7A-B518-588A2DCC409E}" name="Saturday" dataDxfId="231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3290E78-BF32-4245-8039-37AB886FE048}" name="TU1jt" displayName="TU1jt" ref="D51:I55" totalsRowShown="0" headerRowDxfId="230" headerRowBorderDxfId="229" tableBorderDxfId="228">
  <autoFilter ref="D51:I55" xr:uid="{E3290E78-BF32-4245-8039-37AB886FE04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F397C04-C49C-4295-858F-B1970BD3E96B}" name="Monday" dataDxfId="227"/>
    <tableColumn id="2" xr3:uid="{7FDC4F29-6AF8-4758-8423-968D5F9FA031}" name="Tuesday" dataDxfId="226"/>
    <tableColumn id="3" xr3:uid="{E071930D-8359-41CA-AE8F-16B7361A2FCD}" name="Wednesday" dataDxfId="225"/>
    <tableColumn id="4" xr3:uid="{0B35224D-85AA-4B44-A5E9-61153F7C59D3}" name="Thursday" dataDxfId="224"/>
    <tableColumn id="5" xr3:uid="{5F37BF2E-B8CB-4122-AE44-316751826D73}" name="Friday" dataDxfId="223"/>
    <tableColumn id="6" xr3:uid="{60750E50-247D-4DFD-80FA-4908A3B52FC1}" name="Saturday" dataDxfId="222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ED1818-B5FB-43E0-B1F6-4DE972BC6CC5}" name="TU2jt" displayName="TU2jt" ref="M51:R55" totalsRowShown="0" headerRowDxfId="221" headerRowBorderDxfId="220" tableBorderDxfId="219">
  <autoFilter ref="M51:R55" xr:uid="{7DED1818-B5FB-43E0-B1F6-4DE972BC6CC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49ACB80-08A0-4690-AF04-236487CD31D6}" name="Monday" dataDxfId="218"/>
    <tableColumn id="2" xr3:uid="{08516B15-4C9D-429D-9F3E-089DF0C2C911}" name="Tuesday" dataDxfId="217"/>
    <tableColumn id="3" xr3:uid="{626F721A-5DF4-4D01-A32F-FCC2D3D2D939}" name="Wednesday" dataDxfId="216"/>
    <tableColumn id="4" xr3:uid="{33BBD79E-7DB9-4A68-BA5B-435190554EA8}" name="Thursday" dataDxfId="215"/>
    <tableColumn id="5" xr3:uid="{8FAD86E4-687F-45D4-AD6C-562C79BB23F5}" name="Friday" dataDxfId="214"/>
    <tableColumn id="6" xr3:uid="{840AAB63-7EF9-4459-9FE9-0A40E5F3499F}" name="Saturday" dataDxfId="213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68EA17-9EAB-4516-A558-B76C17936A4C}" name="TU3jt" displayName="TU3jt" ref="D57:I61" totalsRowShown="0" headerRowDxfId="212" headerRowBorderDxfId="211" tableBorderDxfId="210">
  <autoFilter ref="D57:I61" xr:uid="{7A68EA17-9EAB-4516-A558-B76C17936A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C33B4FF-0590-426D-A170-7F6781044269}" name="Monday" dataDxfId="209"/>
    <tableColumn id="2" xr3:uid="{9EB03008-2927-4367-8A59-A54BDC05EE54}" name="Tuesday" dataDxfId="208"/>
    <tableColumn id="3" xr3:uid="{40A13AA9-B33A-467D-A508-D893C6431E0E}" name="Wednesday" dataDxfId="207"/>
    <tableColumn id="4" xr3:uid="{E147C570-2E58-455B-B980-6D8CC66DBF1E}" name="Thursday" dataDxfId="206"/>
    <tableColumn id="5" xr3:uid="{3181BA7D-919B-4EE5-AE0D-38F23E803FD1}" name="Friday" dataDxfId="205"/>
    <tableColumn id="6" xr3:uid="{60B5CCF4-EEBF-484C-B754-0640914413CA}" name="Saturday" dataDxfId="204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3E966C4-4AC2-4F46-8069-D6836BE623B1}" name="TU4jt" displayName="TU4jt" ref="M57:R61" totalsRowShown="0" headerRowDxfId="203" headerRowBorderDxfId="202" tableBorderDxfId="201">
  <autoFilter ref="M57:R61" xr:uid="{B3E966C4-4AC2-4F46-8069-D6836BE623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46CFE5F-2D77-41F5-8BCA-BB68B8DBCE41}" name="Monday" dataDxfId="200"/>
    <tableColumn id="2" xr3:uid="{5F60E22F-DCB4-434A-9208-E03DD64BCF2C}" name="Tuesday" dataDxfId="199"/>
    <tableColumn id="3" xr3:uid="{B5B2E6C4-1914-4EE1-9FFE-9C95819436B3}" name="Wednesday" dataDxfId="198"/>
    <tableColumn id="4" xr3:uid="{7099C430-958D-4E65-BA0D-52E6A0E96B74}" name="Thursday" dataDxfId="197"/>
    <tableColumn id="5" xr3:uid="{3CAA7F73-3D29-454A-A12A-14C44703B732}" name="Friday" dataDxfId="196"/>
    <tableColumn id="6" xr3:uid="{1B0F04FC-AA22-4C33-99C3-9CB848E4555A}" name="Saturday" dataDxfId="195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D7E49E4-7A41-4E89-9666-92A599B83069}" name="TD1jt" displayName="TD1jt" ref="D66:I70" totalsRowShown="0" headerRowDxfId="194" headerRowBorderDxfId="193" tableBorderDxfId="192">
  <autoFilter ref="D66:I70" xr:uid="{ED7E49E4-7A41-4E89-9666-92A599B830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5E2269C-F1D8-4D58-8234-4274E2D4E096}" name="Monday" dataDxfId="191"/>
    <tableColumn id="2" xr3:uid="{4B50777C-617A-4845-AB67-3A24D8AF82D6}" name="Tuesday" dataDxfId="190"/>
    <tableColumn id="3" xr3:uid="{726514DC-DD99-4BF8-848F-A4B8A862D8D1}" name="Wednesday" dataDxfId="189"/>
    <tableColumn id="4" xr3:uid="{14C2173E-32FA-4520-9FBA-686E44957510}" name="Thursday" dataDxfId="188"/>
    <tableColumn id="5" xr3:uid="{9D724109-C0AC-49C6-86DC-A92DB9000D66}" name="Friday" dataDxfId="187"/>
    <tableColumn id="6" xr3:uid="{1FB97B2D-3DE5-46B4-AB4A-C167F58A8D50}" name="Saturday" dataDxfId="186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C42F928-E8B0-4F8E-846F-0ADC85C6D790}" name="TD2jt" displayName="TD2jt" ref="M66:R70" totalsRowShown="0" headerRowDxfId="185" headerRowBorderDxfId="184" tableBorderDxfId="183">
  <autoFilter ref="M66:R70" xr:uid="{5C42F928-E8B0-4F8E-846F-0ADC85C6D79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D056FBE-4C6D-426A-86EF-8536E8E29459}" name="Monday" dataDxfId="182"/>
    <tableColumn id="2" xr3:uid="{ECC4A036-2216-4ED0-9161-7B546F472A4C}" name="Tuesday" dataDxfId="181"/>
    <tableColumn id="3" xr3:uid="{4108EF66-3AC8-4DA4-A320-D9106FAB65C9}" name="Wednesday" dataDxfId="180"/>
    <tableColumn id="4" xr3:uid="{0D9AD3BA-9712-4A61-9EEC-5BB201FEE0A6}" name="Thursday" dataDxfId="179"/>
    <tableColumn id="5" xr3:uid="{7FAEFE95-E3B6-4700-8CF4-0372F1BA5494}" name="Friday" dataDxfId="178"/>
    <tableColumn id="6" xr3:uid="{01A19053-8073-4359-AC66-E38645F808CE}" name="Saturday" dataDxfId="177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6C4A0FD-6ED4-4209-9D7B-E174B95B37DA}" name="TD3jt" displayName="TD3jt" ref="D72:I76" totalsRowShown="0" headerRowDxfId="176" headerRowBorderDxfId="175" tableBorderDxfId="174">
  <autoFilter ref="D72:I76" xr:uid="{F6C4A0FD-6ED4-4209-9D7B-E174B95B37D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A329AD-6AE2-42CF-A5EE-1C64A8EC2783}" name="Monday" dataDxfId="173"/>
    <tableColumn id="2" xr3:uid="{B8225B86-BB61-45CB-A1DC-CC091B640545}" name="Tuesday" dataDxfId="172"/>
    <tableColumn id="3" xr3:uid="{687F0099-F21A-42B0-A840-C9268B07E4B0}" name="Wednesday" dataDxfId="171"/>
    <tableColumn id="4" xr3:uid="{8C7891A7-5C3F-48CB-8791-78F75945AC07}" name="Thursday" dataDxfId="170"/>
    <tableColumn id="5" xr3:uid="{624AB8F1-E9F7-47F4-95E8-11DB52345F17}" name="Friday" dataDxfId="169"/>
    <tableColumn id="6" xr3:uid="{E8AE30E3-CEBB-44CC-9E17-575F98594BCE}" name="Saturday" dataDxfId="168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983963B-74E8-4785-89B8-E6DDDF95D075}" name="TD4jt" displayName="TD4jt" ref="M72:R76" totalsRowShown="0" headerRowDxfId="167" headerRowBorderDxfId="166" tableBorderDxfId="165">
  <autoFilter ref="M72:R76" xr:uid="{7983963B-74E8-4785-89B8-E6DDDF95D07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CD01C19-F478-4F3F-97EE-A06BB69AA9BD}" name="Monday" dataDxfId="164"/>
    <tableColumn id="2" xr3:uid="{4C203D10-033F-43F7-B96D-4EA55169043B}" name="Tuesday" dataDxfId="163"/>
    <tableColumn id="3" xr3:uid="{7D95766B-2403-48C2-87F9-3165B95577AD}" name="Wednesday" dataDxfId="162"/>
    <tableColumn id="4" xr3:uid="{76F189E1-041C-41CE-9657-191B77B5AFB2}" name="Thursday" dataDxfId="161"/>
    <tableColumn id="5" xr3:uid="{8A4AD635-4679-43FD-AF8D-7BEB98BE30DA}" name="Friday" dataDxfId="160"/>
    <tableColumn id="6" xr3:uid="{F9C067D2-BBA0-4FFC-BDD0-C96A148F5DFB}" name="Saturday" dataDxfId="159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64F00E-EF7F-4617-8C69-82932F81D508}" name="NUit" displayName="NUit" ref="D11:I15" totalsRowShown="0" headerRowDxfId="158" headerRowBorderDxfId="157" tableBorderDxfId="156">
  <autoFilter ref="D11:I15" xr:uid="{F864F00E-EF7F-4617-8C69-82932F81D5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F90F4E3-ED06-443B-9283-245818C112AF}" name="Monday" dataDxfId="155"/>
    <tableColumn id="2" xr3:uid="{9ED5FD7A-F457-4E22-B9E5-9E5C757AF4C6}" name="Tuesday" dataDxfId="154"/>
    <tableColumn id="3" xr3:uid="{BF95E86D-A3B8-4E61-A3BC-E99EEF0EC3C1}" name="Wednesday" dataDxfId="153"/>
    <tableColumn id="4" xr3:uid="{46BFD713-7FA6-47CC-81AE-285139DE48B4}" name="Thursday" dataDxfId="152"/>
    <tableColumn id="5" xr3:uid="{60E0D710-6AE7-4903-A3D1-688A7C883AD5}" name="Friday" dataDxfId="151"/>
    <tableColumn id="6" xr3:uid="{CEB5F32E-29C9-44AC-BC34-CEA047AE84C5}" name="Saturday" dataDxfId="150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CB4286C-EF6E-4863-9D03-22E96D57D05F}" name="Repair_Capacity38" displayName="Repair_Capacity38" ref="BK3:BN4" totalsRowShown="0" headerRowDxfId="149" tableBorderDxfId="148">
  <autoFilter ref="BK3:BN4" xr:uid="{3CB4286C-EF6E-4863-9D03-22E96D57D05F}"/>
  <tableColumns count="4">
    <tableColumn id="1" xr3:uid="{8A767420-6C10-48B8-8D85-1FCA0E48F07D}" name="Glasgow" dataDxfId="147"/>
    <tableColumn id="2" xr3:uid="{AF6C15F6-D226-40E1-99F9-594713CA6F4E}" name="Manchester" dataDxfId="146"/>
    <tableColumn id="3" xr3:uid="{329E94AB-0042-4831-A7CA-B8DEBFDD3AAE}" name="Birmingham" dataDxfId="145"/>
    <tableColumn id="4" xr3:uid="{F8AA98D0-C9DD-4BB5-AD45-F25869C76A8D}" name="Plymouth" dataDxfId="144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1CEFF076-78D2-4B49-8DE1-D35F09443B82}" name="Demand39" displayName="Demand39" ref="BK8:BN14" totalsRowShown="0" headerRowDxfId="143" tableBorderDxfId="142">
  <autoFilter ref="BK8:BN14" xr:uid="{1CEFF076-78D2-4B49-8DE1-D35F09443B82}"/>
  <tableColumns count="4">
    <tableColumn id="1" xr3:uid="{404FE418-8FEF-4DD9-B098-66C87F235AD5}" name="Glasgow" dataDxfId="141"/>
    <tableColumn id="2" xr3:uid="{6EE506F7-FBB2-4796-9F15-07F4AF6A5351}" name="Manchester" dataDxfId="140"/>
    <tableColumn id="3" xr3:uid="{BE36D792-636E-4CF8-88DD-363E5A274F85}" name="Birmingham" dataDxfId="139"/>
    <tableColumn id="4" xr3:uid="{8E776859-28CF-4637-93CB-6AD08A0EAA27}" name="Plymouth" dataDxfId="138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6DF2269-06F7-4290-B6A4-8B4FCCF1180A}" name="TRit24" displayName="TRit24" ref="D27:I31" totalsRowShown="0" headerRowDxfId="137" headerRowBorderDxfId="135" tableBorderDxfId="136">
  <autoFilter ref="D27:I31" xr:uid="{0DCBFD2B-AE8D-4968-ABFC-723922E059F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6D553B9-44F7-4D03-A471-EB5EC6052685}" name="Monday" dataDxfId="134"/>
    <tableColumn id="2" xr3:uid="{B1D4472C-2DF3-40F7-85A6-197BD51FE128}" name="Tuesday" dataDxfId="133"/>
    <tableColumn id="3" xr3:uid="{EBD4E2F4-E00F-44CE-B74E-306265AA83B8}" name="Wednesday" dataDxfId="132"/>
    <tableColumn id="4" xr3:uid="{10AD2ABF-12CF-4B89-B682-EB183E76B5E1}" name="Thursday" dataDxfId="131"/>
    <tableColumn id="5" xr3:uid="{AF8F64F5-44A7-4645-92D4-1685B2128475}" name="Friday" dataDxfId="130"/>
    <tableColumn id="6" xr3:uid="{ABE46424-F7A9-4617-89F5-3D5EFD022A50}" name="Saturday" dataDxfId="129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5EC6F50-B85C-4CB0-8C36-87576689CD42}" name="RPit25" displayName="RPit25" ref="D81:I85" totalsRowShown="0" headerRowDxfId="128" headerRowBorderDxfId="126" tableBorderDxfId="127">
  <autoFilter ref="D81:I85" xr:uid="{4CDA3332-C5F0-4BEA-82CE-25DC1B935DE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8BFDE5B-F9EA-4C73-BEF8-E2329C9E2928}" name="Monday" dataDxfId="125"/>
    <tableColumn id="2" xr3:uid="{CF6B5F82-B290-4351-9988-4CA71B2ED9ED}" name="Tuesday" dataDxfId="124"/>
    <tableColumn id="3" xr3:uid="{0896C006-9B84-40EB-8788-65F2D6B7EB8C}" name="Wednesday" dataDxfId="123"/>
    <tableColumn id="4" xr3:uid="{160C5A61-43B7-4240-B667-EF69E1F2EBB4}" name="Thursday" dataDxfId="122"/>
    <tableColumn id="5" xr3:uid="{A9C884E3-E8F2-450A-B1A9-C9DC33773367}" name="Friday" dataDxfId="121"/>
    <tableColumn id="6" xr3:uid="{4987FA77-3BF4-41E7-B08D-021E4633FFCD}" name="Saturday" dataDxfId="120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5919FC9-9350-4180-9B53-13C7FA2C3EFB}" name="NDit26" displayName="NDit26" ref="D19:I23" totalsRowShown="0" headerRowDxfId="119" headerRowBorderDxfId="117" tableBorderDxfId="118">
  <autoFilter ref="D19:I23" xr:uid="{022A7521-3889-407F-9F89-CA381D89908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EDD7A2B-306F-4588-90F4-BF4D7239E3A5}" name="Monday" dataDxfId="116"/>
    <tableColumn id="2" xr3:uid="{9CC32715-AFF6-4047-81A4-64C70832D04E}" name="Tuesday" dataDxfId="115"/>
    <tableColumn id="3" xr3:uid="{280DDF07-64D6-410C-920C-9797769D0A48}" name="Wednesday" dataDxfId="114"/>
    <tableColumn id="4" xr3:uid="{DF1C996B-2109-4507-A519-6BAA5634A5DF}" name="Thursday" dataDxfId="113"/>
    <tableColumn id="5" xr3:uid="{DADD1A2D-6D17-4F1B-8B26-C306117F2F85}" name="Friday" dataDxfId="112"/>
    <tableColumn id="6" xr3:uid="{EB99C27B-C22B-4792-BD28-3B4D17A12A47}" name="Saturday" dataDxfId="111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CC8DCB7-016C-4F27-BBA0-5999965BEBF1}" name="EDit27" displayName="EDit27" ref="D43:I47" totalsRowShown="0" headerRowDxfId="110" headerRowBorderDxfId="108" tableBorderDxfId="109">
  <autoFilter ref="D43:I47" xr:uid="{2F7FDF5C-A712-4C57-A966-D36BB7D37E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C2CDED6-3398-49B8-B9B7-7772DF084A88}" name="Monday" dataDxfId="107"/>
    <tableColumn id="2" xr3:uid="{29F2740C-4514-47A0-8805-DB475CF63FD8}" name="Tuesday" dataDxfId="106"/>
    <tableColumn id="3" xr3:uid="{9173C0BF-983F-46DC-9EBD-378E20D4BBA2}" name="Wednesday" dataDxfId="105"/>
    <tableColumn id="4" xr3:uid="{13213F29-05B5-4F5D-ABF3-85B0B106136F}" name="Thursday" dataDxfId="104"/>
    <tableColumn id="5" xr3:uid="{69ECCB1B-8AA8-4E36-A5AA-8470D19AB122}" name="Friday" dataDxfId="103"/>
    <tableColumn id="6" xr3:uid="{D9FB9F15-60DE-4352-BE15-13568E38184A}" name="Saturday" dataDxfId="102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E6E318D-BBEC-4785-9E18-E376F9F430DD}" name="EUit28" displayName="EUit28" ref="D35:I39" totalsRowShown="0" headerRowDxfId="101" headerRowBorderDxfId="99" tableBorderDxfId="100">
  <autoFilter ref="D35:I39" xr:uid="{444BB33B-F1E0-4BEF-ADCA-CBDAFEADC72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FFB28BD-C7E4-4760-B00B-0FFA3F3F06A5}" name="Monday" dataDxfId="98"/>
    <tableColumn id="2" xr3:uid="{D918A597-890B-4851-81AF-A6FC8E044C29}" name="Tuesday" dataDxfId="97"/>
    <tableColumn id="3" xr3:uid="{F0087494-B0E7-4464-9FF0-E1013B385D87}" name="Wednesday" dataDxfId="96"/>
    <tableColumn id="4" xr3:uid="{F1E46661-4869-451A-BC71-DA4ED1640149}" name="Thursday" dataDxfId="95"/>
    <tableColumn id="5" xr3:uid="{21DE96CD-3431-4684-8FE1-026408D1EE96}" name="Friday" dataDxfId="94"/>
    <tableColumn id="6" xr3:uid="{8557914A-E527-4120-AF2C-EC7F25A7380D}" name="Saturday" dataDxfId="93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8CC1E26-9C9F-432D-88C2-3F06911CB978}" name="TU1jt29" displayName="TU1jt29" ref="D51:I55" totalsRowShown="0" headerRowDxfId="92" headerRowBorderDxfId="90" tableBorderDxfId="91">
  <autoFilter ref="D51:I55" xr:uid="{E3290E78-BF32-4245-8039-37AB886FE04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A0B30EB-A161-4D8A-8353-FA2A61D78F95}" name="Monday" dataDxfId="89"/>
    <tableColumn id="2" xr3:uid="{EAAD75F6-1B1D-46D1-BB34-4DF228ECEF32}" name="Tuesday" dataDxfId="88"/>
    <tableColumn id="3" xr3:uid="{538944F7-B14D-4448-88FC-B02404804774}" name="Wednesday" dataDxfId="87"/>
    <tableColumn id="4" xr3:uid="{F04BD4FF-9787-4B6D-BA9C-AB4690EBD71B}" name="Thursday" dataDxfId="86"/>
    <tableColumn id="5" xr3:uid="{22A08C94-D66F-442E-B006-8B7C4A7F0668}" name="Friday" dataDxfId="85"/>
    <tableColumn id="6" xr3:uid="{AF9D9773-BCD9-439A-9FCC-E6B52C7A87CE}" name="Saturday" dataDxfId="84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D719CAE-42DA-4ADA-BA16-6A41CA024471}" name="TU2jt30" displayName="TU2jt30" ref="M51:R55" totalsRowShown="0" headerRowDxfId="83" headerRowBorderDxfId="81" tableBorderDxfId="82">
  <autoFilter ref="M51:R55" xr:uid="{7DED1818-B5FB-43E0-B1F6-4DE972BC6CC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5520E99-7D23-457C-9C40-6E7D71FF2F3D}" name="Monday" dataDxfId="80"/>
    <tableColumn id="2" xr3:uid="{4BC2FFC9-8D96-4593-AA70-B0D84B9CF8C5}" name="Tuesday" dataDxfId="79"/>
    <tableColumn id="3" xr3:uid="{7EA0BD88-C3DD-4C0D-A3EC-7CC428590734}" name="Wednesday" dataDxfId="78"/>
    <tableColumn id="4" xr3:uid="{C6714F90-D058-4FBF-922A-AA41A204CBC5}" name="Thursday" dataDxfId="77"/>
    <tableColumn id="5" xr3:uid="{F3BCBA56-5725-4FC8-A86C-D0E60E5550A5}" name="Friday" dataDxfId="76"/>
    <tableColumn id="6" xr3:uid="{59335A82-E090-4E69-8A5B-9A76F364A345}" name="Saturday" dataDxfId="75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EF79F8FD-FE02-4C71-9F07-7C2A730195CB}" name="TU3jt31" displayName="TU3jt31" ref="D57:I61" totalsRowShown="0" headerRowDxfId="74" headerRowBorderDxfId="72" tableBorderDxfId="73">
  <autoFilter ref="D57:I61" xr:uid="{7A68EA17-9EAB-4516-A558-B76C17936A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7593941-EB3C-4634-8016-562FA7A093E2}" name="Monday" dataDxfId="71"/>
    <tableColumn id="2" xr3:uid="{17D2B4DC-8F41-4A77-87E1-AF9B5C8667E2}" name="Tuesday" dataDxfId="70"/>
    <tableColumn id="3" xr3:uid="{21AF463D-56F3-46CA-84ED-803C949BDDAF}" name="Wednesday" dataDxfId="69"/>
    <tableColumn id="4" xr3:uid="{7715694E-2202-4F78-9A84-DC21CEBA4E7B}" name="Thursday" dataDxfId="68"/>
    <tableColumn id="5" xr3:uid="{B1BB94E5-832C-45E6-AC6B-19CD3C96EBD8}" name="Friday" dataDxfId="67"/>
    <tableColumn id="6" xr3:uid="{27D86C67-DE07-49DC-BBDD-2FA14B021E9C}" name="Saturday" dataDxfId="66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1B970D3-FB8C-4316-B07E-989630B177CC}" name="TU4jt32" displayName="TU4jt32" ref="M57:R61" totalsRowShown="0" headerRowDxfId="65" headerRowBorderDxfId="63" tableBorderDxfId="64">
  <autoFilter ref="M57:R61" xr:uid="{B3E966C4-4AC2-4F46-8069-D6836BE623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2D9BF44-711F-4D2B-ADF4-F28BA9B8482E}" name="Monday" dataDxfId="62"/>
    <tableColumn id="2" xr3:uid="{AE3EBFD6-0C01-480A-AF89-FE7B535C5749}" name="Tuesday" dataDxfId="61"/>
    <tableColumn id="3" xr3:uid="{394F4F20-3291-4EB7-9B22-1E696FF49EBA}" name="Wednesday" dataDxfId="60"/>
    <tableColumn id="4" xr3:uid="{A9549979-9A85-414E-931C-2C6DC67957CE}" name="Thursday" dataDxfId="59"/>
    <tableColumn id="5" xr3:uid="{05B15A24-5B3E-4386-8C7A-FF63D27AA4FC}" name="Friday" dataDxfId="58"/>
    <tableColumn id="6" xr3:uid="{45142A46-2A38-4616-B376-0376B8BA6ECA}" name="Saturday" dataDxfId="57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8A80376-1753-4D9C-A7AB-D6147D8A9B2F}" name="TD1jt33" displayName="TD1jt33" ref="D66:I70" totalsRowShown="0" headerRowDxfId="56" headerRowBorderDxfId="54" tableBorderDxfId="55">
  <autoFilter ref="D66:I70" xr:uid="{ED7E49E4-7A41-4E89-9666-92A599B830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3D56BCE-6113-4584-8EB5-C4BF249AFF75}" name="Monday" dataDxfId="53"/>
    <tableColumn id="2" xr3:uid="{46465A51-E90F-410A-973D-FABDFA59CEBF}" name="Tuesday" dataDxfId="52"/>
    <tableColumn id="3" xr3:uid="{A814496F-3B13-4CE8-96C6-4BE50B6590A9}" name="Wednesday" dataDxfId="51"/>
    <tableColumn id="4" xr3:uid="{19545E6E-4A6A-4710-B73D-BFB4615174FC}" name="Thursday" dataDxfId="50"/>
    <tableColumn id="5" xr3:uid="{73FFAF72-4970-42BD-A38D-D39C0C2AE6BF}" name="Friday" dataDxfId="49"/>
    <tableColumn id="6" xr3:uid="{E63B7C1C-04B1-48A7-A2B8-D494BB209E98}" name="Saturday" dataDxfId="48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F0ECF7F-FD20-4799-8961-9F0B55FFB266}" name="TD2jt34" displayName="TD2jt34" ref="M66:R70" totalsRowShown="0" headerRowDxfId="47" headerRowBorderDxfId="45" tableBorderDxfId="46">
  <autoFilter ref="M66:R70" xr:uid="{5C42F928-E8B0-4F8E-846F-0ADC85C6D79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79EC5C1-D846-48C4-973E-B6B093C553FF}" name="Monday" dataDxfId="44"/>
    <tableColumn id="2" xr3:uid="{34A043CD-CED9-4BB6-B209-D2D4F883FF99}" name="Tuesday" dataDxfId="43"/>
    <tableColumn id="3" xr3:uid="{5E8C035F-4E77-48A6-853D-8219157089FA}" name="Wednesday" dataDxfId="42"/>
    <tableColumn id="4" xr3:uid="{414050C3-E27A-4DCE-AC91-44AB54ABE8D5}" name="Thursday" dataDxfId="41"/>
    <tableColumn id="5" xr3:uid="{B3E627D7-8B79-4401-86CF-66209859CC43}" name="Friday" dataDxfId="40"/>
    <tableColumn id="6" xr3:uid="{4D366882-EAE7-4709-8368-328D6783E4E4}" name="Saturday" dataDxfId="39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F498D31-EF9C-4D7D-A911-CA48893DB144}" name="TD3jt35" displayName="TD3jt35" ref="D72:I76" totalsRowShown="0" headerRowDxfId="38" headerRowBorderDxfId="36" tableBorderDxfId="37">
  <autoFilter ref="D72:I76" xr:uid="{F6C4A0FD-6ED4-4209-9D7B-E174B95B37D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1B69102-6A8D-41DB-9D59-30978F25E98B}" name="Monday" dataDxfId="35"/>
    <tableColumn id="2" xr3:uid="{A0F8B380-57BA-41D6-8442-60745D899598}" name="Tuesday" dataDxfId="34"/>
    <tableColumn id="3" xr3:uid="{8E1A1576-C1E8-4E57-AFAE-2B7A5B27BDD7}" name="Wednesday" dataDxfId="33"/>
    <tableColumn id="4" xr3:uid="{99CA2C5A-5A69-447E-8084-AA13EF5EB053}" name="Thursday" dataDxfId="32"/>
    <tableColumn id="5" xr3:uid="{EC95AEB1-B545-4899-88D3-45A2FF7E66FE}" name="Friday" dataDxfId="31"/>
    <tableColumn id="6" xr3:uid="{7F8B607F-28D6-4D0D-8A2B-BB5615B0FA3E}" name="Saturday" dataDxfId="30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C3C632-4294-44D5-AB6E-7B2CBC3F4714}" name="TD4jt36" displayName="TD4jt36" ref="M72:R76" totalsRowShown="0" headerRowDxfId="29" headerRowBorderDxfId="27" tableBorderDxfId="28">
  <autoFilter ref="M72:R76" xr:uid="{7983963B-74E8-4785-89B8-E6DDDF95D07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C719A25-23FA-4E4A-9FA8-2C0AD8DBE4D2}" name="Monday" dataDxfId="26"/>
    <tableColumn id="2" xr3:uid="{EA408589-D6EC-49E8-BEEF-3FCCB8052E4E}" name="Tuesday" dataDxfId="25"/>
    <tableColumn id="3" xr3:uid="{9E73DE0B-3656-494E-8A82-42B8DC655F34}" name="Wednesday" dataDxfId="24"/>
    <tableColumn id="4" xr3:uid="{A7D0B530-B799-4B74-A1A9-8B967A844946}" name="Thursday" dataDxfId="23"/>
    <tableColumn id="5" xr3:uid="{E19AC042-F810-44B8-86EA-75A4417537FB}" name="Friday" dataDxfId="22"/>
    <tableColumn id="6" xr3:uid="{8A99AE88-6666-45B3-B4FB-83ABA6C0AC6C}" name="Saturday" dataDxfId="21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2E7106AD-BF3A-4A8B-9577-FEC627E26895}" name="NUit37" displayName="NUit37" ref="D11:I15" totalsRowShown="0" headerRowDxfId="20" headerRowBorderDxfId="18" tableBorderDxfId="19">
  <autoFilter ref="D11:I15" xr:uid="{F864F00E-EF7F-4617-8C69-82932F81D5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217F59B-2D2E-4EC0-8DD1-B5A1DD590AAF}" name="Monday" dataDxfId="17"/>
    <tableColumn id="2" xr3:uid="{8084B6A2-AE06-4E9E-A0ED-AA7922ACCD79}" name="Tuesday" dataDxfId="16"/>
    <tableColumn id="3" xr3:uid="{3BE01713-99C1-47C5-8250-4F8B01686F0C}" name="Wednesday" dataDxfId="15"/>
    <tableColumn id="4" xr3:uid="{949775F7-A473-405C-9D89-ADD765643913}" name="Thursday" dataDxfId="14"/>
    <tableColumn id="5" xr3:uid="{A8F7CC1C-876D-4F4A-92F1-36F39ACE98FF}" name="Friday" dataDxfId="13"/>
    <tableColumn id="6" xr3:uid="{A57EC239-541C-4BA6-940E-9B16E4D05FDB}" name="Saturday" dataDxfId="12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38944EFC-2B29-4529-A66A-28DA7C189C0C}" name="Repair_Capacity3856" displayName="Repair_Capacity3856" ref="BK3:BN4" totalsRowShown="0" headerRowDxfId="11" tableBorderDxfId="10">
  <autoFilter ref="BK3:BN4" xr:uid="{3CB4286C-EF6E-4863-9D03-22E96D57D05F}"/>
  <tableColumns count="4">
    <tableColumn id="1" xr3:uid="{A5F0732C-1DCD-4F9C-9D07-FE3504A53520}" name="Glasgow" dataDxfId="9"/>
    <tableColumn id="2" xr3:uid="{DF19F372-259B-40C5-AB47-FA077DAF202C}" name="Manchester" dataDxfId="8"/>
    <tableColumn id="3" xr3:uid="{135C9189-2965-4222-9212-B9AE93277AF0}" name="Birmingham" dataDxfId="7"/>
    <tableColumn id="4" xr3:uid="{78EB15D2-06C0-40C3-9C16-F262B3D88A0B}" name="Plymouth" dataDxfId="6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53330951-AEFD-4C91-90B5-CA049601A09C}" name="Demand3957" displayName="Demand3957" ref="BK8:BN14" totalsRowShown="0" headerRowDxfId="5" tableBorderDxfId="4">
  <autoFilter ref="BK8:BN14" xr:uid="{1CEFF076-78D2-4B49-8DE1-D35F09443B82}"/>
  <tableColumns count="4">
    <tableColumn id="1" xr3:uid="{727A8F54-FE9C-476A-BAF3-75FCC1653F4B}" name="Glasgow" dataDxfId="3"/>
    <tableColumn id="2" xr3:uid="{C3727413-FAE4-49A1-A4BE-CB9233FB2D18}" name="Manchester" dataDxfId="2"/>
    <tableColumn id="3" xr3:uid="{02D6813A-C795-41CB-8EFF-15F63A618480}" name="Birmingham" dataDxfId="1"/>
    <tableColumn id="4" xr3:uid="{A4A20A5F-9119-4A5B-91CC-6830F9AF49E1}" name="Plymouth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3" dT="2024-01-16T14:05:55.06" personId="{03011845-BF49-4F8A-A7B1-17EB29548CA4}" id="{019F07DE-1206-4123-982D-971E945AA6E0}">
    <text xml:space="preserve">Total number of undamaged cars into depot i on day t </text>
  </threadedComment>
  <threadedComment ref="W15" dT="2024-01-16T14:05:43.99" personId="{03011845-BF49-4F8A-A7B1-17EB29548CA4}" id="{BF326296-0559-4F54-9643-4C2123E84F01}">
    <text xml:space="preserve">Total number of damaged cars into depot i on day t </text>
  </threadedComment>
  <threadedComment ref="W27" dT="2024-01-16T14:05:29.29" personId="{03011845-BF49-4F8A-A7B1-17EB29548CA4}" id="{24AA6E88-3410-4EE0-8225-C89425FC308E}">
    <text>Total number of undamaged cars out of depot i on day t</text>
  </threadedComment>
  <threadedComment ref="W39" dT="2024-01-16T14:05:12.42" personId="{03011845-BF49-4F8A-A7B1-17EB29548CA4}" id="{4A03E5BB-0A99-4515-9FC3-BC767A28333A}">
    <text xml:space="preserve">Total number of damaged cars out of depot i on day t </text>
  </threadedComment>
  <threadedComment ref="W51" dT="2024-01-16T14:04:54.42" personId="{03011845-BF49-4F8A-A7B1-17EB29548CA4}" id="{4E94F689-4542-4448-899A-FF89CAE58E17}">
    <text xml:space="preserve">Repair capacity of depot i on all days </text>
  </threadedComment>
  <threadedComment ref="W63" dT="2024-01-16T14:04:40.94" personId="{03011845-BF49-4F8A-A7B1-17EB29548CA4}" id="{6CE37636-4727-4B69-8590-7CD15E21E9F5}">
    <text xml:space="preserve">Demand at depot i on day t </text>
  </threadedComment>
  <threadedComment ref="W75" dT="2024-01-16T14:04:21.52" personId="{03011845-BF49-4F8A-A7B1-17EB29548CA4}" id="{6DF4AF0A-787E-4FC3-B039-A444ADB5E663}">
    <text xml:space="preserve">Total number of cars equals number hired out from all depots on Monday for 3 days, plus those on Tuesday for 2 or 3 days, plus all damaged and undamaged cars in depots at the beginning of Wednesday.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W3" dT="2024-01-16T14:05:55.06" personId="{03011845-BF49-4F8A-A7B1-17EB29548CA4}" id="{26E5546C-F036-4C86-A09E-12C740A961B2}">
    <text xml:space="preserve">Total number of undamaged cars into depot i on day t </text>
  </threadedComment>
  <threadedComment ref="W15" dT="2024-01-16T14:05:43.99" personId="{03011845-BF49-4F8A-A7B1-17EB29548CA4}" id="{48FD53CB-28D4-4E03-AEE9-AD020DB4E3BF}">
    <text xml:space="preserve">Total number of damaged cars into depot i on day t </text>
  </threadedComment>
  <threadedComment ref="W27" dT="2024-01-16T14:05:29.29" personId="{03011845-BF49-4F8A-A7B1-17EB29548CA4}" id="{CEB56C2C-6EC6-4B6C-92FA-91FFAC9073ED}">
    <text>Total number of undamaged cars out of depot i on day t</text>
  </threadedComment>
  <threadedComment ref="W39" dT="2024-01-16T14:05:12.42" personId="{03011845-BF49-4F8A-A7B1-17EB29548CA4}" id="{19F40578-16C7-48D5-8863-517069466B14}">
    <text xml:space="preserve">Total number of damaged cars out of depot i on day t </text>
  </threadedComment>
  <threadedComment ref="W52" dT="2024-01-16T14:04:21.52" personId="{03011845-BF49-4F8A-A7B1-17EB29548CA4}" id="{7601BE9F-9ABB-49E5-B9E0-D3B37E23694F}">
    <text xml:space="preserve">Total number of cars equals number hired out from all depots on Monday for 3 days, plus those on Tuesday for 2 or 3 days, plus all damaged and undamaged cars in depots at the beginning of Wednesday. 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3" Type="http://schemas.openxmlformats.org/officeDocument/2006/relationships/table" Target="../tables/table18.xml"/><Relationship Id="rId7" Type="http://schemas.openxmlformats.org/officeDocument/2006/relationships/table" Target="../tables/table22.xml"/><Relationship Id="rId2" Type="http://schemas.openxmlformats.org/officeDocument/2006/relationships/table" Target="../tables/table17.xml"/><Relationship Id="rId1" Type="http://schemas.openxmlformats.org/officeDocument/2006/relationships/drawing" Target="../drawings/drawing2.xml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Relationship Id="rId9" Type="http://schemas.openxmlformats.org/officeDocument/2006/relationships/table" Target="../tables/table2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0.xml"/><Relationship Id="rId13" Type="http://schemas.openxmlformats.org/officeDocument/2006/relationships/table" Target="../tables/table35.xml"/><Relationship Id="rId18" Type="http://schemas.openxmlformats.org/officeDocument/2006/relationships/table" Target="../tables/table40.xml"/><Relationship Id="rId3" Type="http://schemas.openxmlformats.org/officeDocument/2006/relationships/table" Target="../tables/table25.xml"/><Relationship Id="rId7" Type="http://schemas.openxmlformats.org/officeDocument/2006/relationships/table" Target="../tables/table29.xml"/><Relationship Id="rId12" Type="http://schemas.openxmlformats.org/officeDocument/2006/relationships/table" Target="../tables/table34.xml"/><Relationship Id="rId17" Type="http://schemas.openxmlformats.org/officeDocument/2006/relationships/table" Target="../tables/table39.xml"/><Relationship Id="rId2" Type="http://schemas.openxmlformats.org/officeDocument/2006/relationships/vmlDrawing" Target="../drawings/vmlDrawing1.vml"/><Relationship Id="rId16" Type="http://schemas.openxmlformats.org/officeDocument/2006/relationships/table" Target="../tables/table38.xml"/><Relationship Id="rId20" Type="http://schemas.microsoft.com/office/2017/10/relationships/threadedComment" Target="../threadedComments/threadedComment1.xml"/><Relationship Id="rId1" Type="http://schemas.openxmlformats.org/officeDocument/2006/relationships/drawing" Target="../drawings/drawing3.xml"/><Relationship Id="rId6" Type="http://schemas.openxmlformats.org/officeDocument/2006/relationships/table" Target="../tables/table28.xml"/><Relationship Id="rId11" Type="http://schemas.openxmlformats.org/officeDocument/2006/relationships/table" Target="../tables/table33.xml"/><Relationship Id="rId5" Type="http://schemas.openxmlformats.org/officeDocument/2006/relationships/table" Target="../tables/table27.xml"/><Relationship Id="rId15" Type="http://schemas.openxmlformats.org/officeDocument/2006/relationships/table" Target="../tables/table37.xml"/><Relationship Id="rId10" Type="http://schemas.openxmlformats.org/officeDocument/2006/relationships/table" Target="../tables/table32.xml"/><Relationship Id="rId19" Type="http://schemas.openxmlformats.org/officeDocument/2006/relationships/comments" Target="../comments1.xml"/><Relationship Id="rId4" Type="http://schemas.openxmlformats.org/officeDocument/2006/relationships/table" Target="../tables/table26.xml"/><Relationship Id="rId9" Type="http://schemas.openxmlformats.org/officeDocument/2006/relationships/table" Target="../tables/table31.xml"/><Relationship Id="rId14" Type="http://schemas.openxmlformats.org/officeDocument/2006/relationships/table" Target="../tables/table3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6.xml"/><Relationship Id="rId13" Type="http://schemas.openxmlformats.org/officeDocument/2006/relationships/table" Target="../tables/table51.xml"/><Relationship Id="rId18" Type="http://schemas.openxmlformats.org/officeDocument/2006/relationships/table" Target="../tables/table56.xml"/><Relationship Id="rId3" Type="http://schemas.openxmlformats.org/officeDocument/2006/relationships/table" Target="../tables/table41.xml"/><Relationship Id="rId7" Type="http://schemas.openxmlformats.org/officeDocument/2006/relationships/table" Target="../tables/table45.xml"/><Relationship Id="rId12" Type="http://schemas.openxmlformats.org/officeDocument/2006/relationships/table" Target="../tables/table50.xml"/><Relationship Id="rId17" Type="http://schemas.openxmlformats.org/officeDocument/2006/relationships/table" Target="../tables/table55.xml"/><Relationship Id="rId2" Type="http://schemas.openxmlformats.org/officeDocument/2006/relationships/vmlDrawing" Target="../drawings/vmlDrawing2.vml"/><Relationship Id="rId16" Type="http://schemas.openxmlformats.org/officeDocument/2006/relationships/table" Target="../tables/table54.xml"/><Relationship Id="rId20" Type="http://schemas.microsoft.com/office/2017/10/relationships/threadedComment" Target="../threadedComments/threadedComment2.xml"/><Relationship Id="rId1" Type="http://schemas.openxmlformats.org/officeDocument/2006/relationships/drawing" Target="../drawings/drawing4.xml"/><Relationship Id="rId6" Type="http://schemas.openxmlformats.org/officeDocument/2006/relationships/table" Target="../tables/table44.xml"/><Relationship Id="rId11" Type="http://schemas.openxmlformats.org/officeDocument/2006/relationships/table" Target="../tables/table49.xml"/><Relationship Id="rId5" Type="http://schemas.openxmlformats.org/officeDocument/2006/relationships/table" Target="../tables/table43.xml"/><Relationship Id="rId15" Type="http://schemas.openxmlformats.org/officeDocument/2006/relationships/table" Target="../tables/table53.xml"/><Relationship Id="rId10" Type="http://schemas.openxmlformats.org/officeDocument/2006/relationships/table" Target="../tables/table48.xml"/><Relationship Id="rId19" Type="http://schemas.openxmlformats.org/officeDocument/2006/relationships/comments" Target="../comments2.xml"/><Relationship Id="rId4" Type="http://schemas.openxmlformats.org/officeDocument/2006/relationships/table" Target="../tables/table42.xml"/><Relationship Id="rId9" Type="http://schemas.openxmlformats.org/officeDocument/2006/relationships/table" Target="../tables/table47.xml"/><Relationship Id="rId14" Type="http://schemas.openxmlformats.org/officeDocument/2006/relationships/table" Target="../tables/table5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EAD9-86E4-4205-B736-15B481929A1D}">
  <sheetPr>
    <tabColor rgb="FFFFFF00"/>
  </sheetPr>
  <dimension ref="A1:BN95"/>
  <sheetViews>
    <sheetView topLeftCell="A78" zoomScale="70" zoomScaleNormal="70" workbookViewId="0">
      <selection activeCell="F2" sqref="F2"/>
    </sheetView>
  </sheetViews>
  <sheetFormatPr defaultColWidth="9.7109375" defaultRowHeight="15.95" customHeight="1" x14ac:dyDescent="0.25"/>
  <cols>
    <col min="1" max="1" width="9.7109375" style="5"/>
    <col min="2" max="2" width="11.140625" style="5" customWidth="1"/>
    <col min="3" max="3" width="13.5703125" style="5" bestFit="1" customWidth="1"/>
    <col min="4" max="4" width="11.28515625" style="5" bestFit="1" customWidth="1"/>
    <col min="5" max="6" width="4.7109375" style="5" customWidth="1"/>
    <col min="7" max="7" width="9" style="5" customWidth="1"/>
    <col min="8" max="11" width="4.7109375" style="5" customWidth="1"/>
    <col min="12" max="12" width="7.42578125" style="5" customWidth="1"/>
    <col min="13" max="16" width="4.7109375" style="5" customWidth="1"/>
    <col min="17" max="29" width="9.7109375" style="5"/>
    <col min="30" max="30" width="9.7109375" style="5" customWidth="1"/>
    <col min="31" max="31" width="7.7109375" style="5" bestFit="1" customWidth="1"/>
    <col min="32" max="16384" width="9.7109375" style="5"/>
  </cols>
  <sheetData>
    <row r="1" spans="2:66" ht="15.95" customHeight="1" thickBot="1" x14ac:dyDescent="0.3">
      <c r="AN1" s="142" t="s">
        <v>55</v>
      </c>
      <c r="AO1" s="142"/>
      <c r="AP1" s="142"/>
      <c r="AQ1" s="142"/>
      <c r="AR1" s="142"/>
      <c r="BJ1" s="143" t="s">
        <v>19</v>
      </c>
      <c r="BK1" s="144"/>
      <c r="BL1" s="144"/>
      <c r="BM1" s="144"/>
      <c r="BN1" s="145"/>
    </row>
    <row r="2" spans="2:66" ht="15.95" customHeight="1" thickTop="1" thickBot="1" x14ac:dyDescent="0.3">
      <c r="B2" s="134" t="s">
        <v>32</v>
      </c>
      <c r="C2" s="130">
        <v>130792.95</v>
      </c>
      <c r="F2" s="5" cm="1">
        <f t="array" ref="F2">SUM(
SUM(INDEX(Glasgow_PerC, $AR$3:$AR$5, $AN$3)*(INDEX(Rental_Price[], $AR$3:$AR$5, 1) - (INDEX(Marginal_Cost[], $AR$3:$AR$5)) + 10))*INDEX(TRit4088[], $AN$3, $AP$3:$AP$7)/100,
SUM(INDEX(Manchester_PerC, $AR$3:$AR$5, $AN$4)*(INDEX(Rental_Price[], $AR$3:$AR$5, 1) - (INDEX(Marginal_Cost[], $AR$3:$AR$5)) + 10))*INDEX(TRit4088[], $AN$4, $AP$3:$AP$7)/100,
SUM(INDEX(Birmingham_PerC, $AR$3:$AR$5, $AN$5)*(INDEX(Rental_Price[], $AR$3:$AR$5, 1) - (INDEX(Marginal_Cost[], $AR$3:$AR$5)) + 10))*INDEX(TRit4088[], $AN$5, $AP$3:$AP$7)/100,
SUM(INDEX(Plymouth_PerC, $AR$3:$AR$5, $AN$6)*(INDEX(Rental_Price[], $AR$3:$AR$5, 1) - (INDEX(Marginal_Cost[], $AR$3:$AR$5)) + 10))*INDEX(TRit4088[], $AN$6, $AP$3:$AP$7)/100
)</f>
        <v>0</v>
      </c>
      <c r="G2" s="5" cm="1">
        <f t="array" ref="G2">SUM(
SUM(INDEX(Glasgow_PerC, $AR$3:$AR$5, $AN$4)*(INDEX(Rental_Price[], $AR$3:$AR$5, 2) - (INDEX(Marginal_Cost[], $AR$3:$AR$5)) + 10))*INDEX(TRit4088[], $AN$3, $AP$3:$AP$7)/100,
SUM(INDEX(Glasgow_PerC, $AR$3:$AR$5, $AN$5)*(INDEX(Rental_Price[], $AR$3:$AR$5, 2) - (INDEX(Marginal_Cost[], $AR$3:$AR$5)) + 10))*INDEX(TRit4088[], $AN$3, $AP$3:$AP$7)/100,
SUM(INDEX(Glasgow_PerC, $AR$3:$AR$5, $AN$6)*(INDEX(Rental_Price[], $AR$3:$AR$5, 2) - (INDEX(Marginal_Cost[], $AR$3:$AR$5)) + 10))*INDEX(TRit4088[], $AN$3, $AP$3:$AP$7)/100,
SUM(INDEX(Manchester_PerC, $AR$3:$AR$5, $AN$3)*(INDEX(Rental_Price[], $AR$3:$AR$5, 2) - (INDEX(Marginal_Cost[], $AR$3:$AR$5)) + 10))*INDEX(TRit4088[], $AN$4, $AP$3:$AP$7)/100,
SUM(INDEX(Manchester_PerC, $AR$3:$AR$5, $AN$5)*(INDEX(Rental_Price[], $AR$3:$AR$5, 2) - (INDEX(Marginal_Cost[], $AR$3:$AR$5)) + 10))*INDEX(TRit4088[], $AN$4, $AP$3:$AP$7)/100,
SUM(INDEX(Manchester_PerC, $AR$3:$AR$5, $AN$6)*(INDEX(Rental_Price[], $AR$3:$AR$5, 2) - (INDEX(Marginal_Cost[], $AR$3:$AR$5)) + 10))*INDEX(TRit4088[], $AN$4, $AP$3:$AP$7)/100,
SUM(INDEX(Birmingham_PerC, $AR$3:$AR$5, $AN$3)*(INDEX(Rental_Price[], $AR$3:$AR$5, 2) - (INDEX(Marginal_Cost[], $AR$3:$AR$5)) + 10))*INDEX(TRit4088[], $AN$5, $AP$3:$AP$7)/100,
SUM(INDEX(Birmingham_PerC, $AR$3:$AR$5, $AN$4)*(INDEX(Rental_Price[], $AR$3:$AR$5, 2) - (INDEX(Marginal_Cost[], $AR$3:$AR$5)) + 10))*INDEX(TRit4088[], $AN$5, $AP$3:$AP$7)/100,
SUM(INDEX(Birmingham_PerC, $AR$3:$AR$5, $AN$6)*(INDEX(Rental_Price[], $AR$3:$AR$5, 2) - (INDEX(Marginal_Cost[], $AR$3:$AR$5)) + 10))*INDEX(TRit4088[], $AN$5, $AP$3:$AP$7)/100,
SUM(INDEX(Plymouth_PerC, $AR$3:$AR$5, $AN$3)*(INDEX(Rental_Price[], $AR$3:$AR$5, 2) - (INDEX(Marginal_Cost[], $AR$3:$AR$5)) + 10))*INDEX(TRit4088[], $AN$6, $AP$3:$AP$7)/100,
SUM(INDEX(Plymouth_PerC, $AR$3:$AR$5, $AN$4)*(INDEX(Rental_Price[], $AR$3:$AR$5, 2) - (INDEX(Marginal_Cost[], $AR$3:$AR$5)) + 10))*INDEX(TRit4088[], $AN$6, $AP$3:$AP$7)/100,
SUM(INDEX(Plymouth_PerC, $AR$3:$AR$5, $AN$5)*(INDEX(Rental_Price[], $AR$3:$AR$5, 2) - (INDEX(Marginal_Cost[], $AR$3:$AR$5)) + 10))*INDEX(TRit4088[], $AN$6, $AP$3:$AP$7)/100,
)</f>
        <v>0</v>
      </c>
      <c r="H2" s="5" cm="1">
        <f t="array" ref="H2">SUM(
INDEX(Glasgow_PerC, $AR$3, $AN$3)*(INDEX(Rental_Price[], $AR$3, 1) - 20 - (INDEX(Marginal_Cost[], $AR$3)) + 10)*INDEX(TRit4088[], $AN$3, $AP$8)/100,
INDEX(Manchester_PerC, $AR$3, $AN$4)*(INDEX(Rental_Price[], $AR$3, 1) - 20 - (INDEX(Marginal_Cost[], $AR$3)) + 10)*INDEX(TRit4088[], $AN$4, $AP$8)/100,
INDEX(Birmingham_PerC, $AR$3, $AN$5)*(INDEX(Rental_Price[], $AR$3, 1) - 20 - (INDEX(Marginal_Cost[], $AR$3)) + 10)*INDEX(TRit4088[], $AN$5, $AP$8)/100,
INDEX(Plymouth_PerC, $AR$3, $AN$6)*(INDEX(Rental_Price[], $AR$3, 1) - 20 - (INDEX(Marginal_Cost[], $AR$3)) + 10)*INDEX(TRit4088[], $AN$6, $AP$8)/100
)</f>
        <v>0</v>
      </c>
      <c r="I2" s="136" cm="1">
        <f t="array" ref="I2">SUM(
SUM(INDEX(Glasgow_PerC, $AR$3, $AN$4)*(INDEX(Rental_Price[], $AR$3, 2)- Discount_Amount -(INDEX(Marginal_Cost[], $AR$3)) + Damage_Fee/100))*INDEX(TRit[], $AN$3,$AP$8)/100,
SUM(INDEX(Glasgow_PerC, $AR$3, $AN$5)*(INDEX(Rental_Price[], $AR$3, 2)- Discount_Amount -(INDEX(Marginal_Cost[], $AR$3)) + Damage_Fee/100))*INDEX(TRit[], $AN$3,$AP$8)/100,
SUM(INDEX(Glasgow_PerC, $AR$3, $AN$6)*(INDEX(Rental_Price[], $AR$3, 2)- Discount_Amount -(INDEX(Marginal_Cost[], $AR$3)) + Damage_Fee/100))*INDEX(TRit[], $AN$3,$AP$8)/100,
SUM(INDEX(Manchester_PerC, $AR$3, $AN$3)*(INDEX(Rental_Price[], $AR$3, 2)- Discount_Amount -(INDEX(Marginal_Cost[], $AR$3)) + Damage_Fee/100))*INDEX(TRit[], $AN$4,$AP$8)/100,
SUM(INDEX(Manchester_PerC, $AR$3, $AN$5)*(INDEX(Rental_Price[], $AR$3, 2)- Discount_Amount -(INDEX(Marginal_Cost[], $AR$3)) + Damage_Fee/100))*INDEX(TRit[], $AN$4,$AP$8)/100,
SUM(INDEX(Manchester_PerC, $AR$3, $AN$6)*(INDEX(Rental_Price[], $AR$3, 2)- Discount_Amount -(INDEX(Marginal_Cost[], $AR$3)) + Damage_Fee/100))*INDEX(TRit[], $AN$4,$AP$8)/100,
SUM(INDEX(Birmingham_PerC, $AR$3, $AN$3)*(INDEX(Rental_Price[], $AR$3, 2)- Discount_Amount -(INDEX(Marginal_Cost[], $AR$3)) + Damage_Fee/100))*INDEX(TRit[], $AN$5,$AP$8)/100,
SUM(INDEX(Birmingham_PerC, $AR$3, $AN$4)*(INDEX(Rental_Price[], $AR$3, 2)- Discount_Amount -(INDEX(Marginal_Cost[], $AR$3)) + Damage_Fee/100))*INDEX(TRit[], $AN$5,$AP$8)/100,
SUM(INDEX(Birmingham_PerC, $AR$3, $AN$6)*(INDEX(Rental_Price[], $AR$3, 2)- Discount_Amount -(INDEX(Marginal_Cost[], $AR$3)) + Damage_Fee/100))*INDEX(TRit[], $AN$5,$AP$8)/100,
SUM(INDEX(Plymouth_PerC, $AR$3, $AN$3)*(INDEX(Rental_Price[], $AR$3, 2)- Discount_Amount -(INDEX(Marginal_Cost[], $AR$3)) + Damage_Fee/100))*INDEX(TRit[], $AN$6,$AP$8)/100,
SUM(INDEX(Plymouth_PerC, $AR$3, $AN$4)*(INDEX(Rental_Price[], $AR$3, 2)- Discount_Amount -(INDEX(Marginal_Cost[], $AR$3)) + Damage_Fee/100))*INDEX(TRit[], $AN$6,$AP$8)/100,
SUM(INDEX(Plymouth_PerC, $AR$3, $AN$5)*(INDEX(Rental_Price[], $AR$3, 2)- Discount_Amount -(INDEX(Marginal_Cost[], $AR$3)) + Damage_Fee/100))*INDEX(TRit[], $AN$6,$AP$8)/100,
)</f>
        <v>1080.6726957399999</v>
      </c>
      <c r="J2" s="5" cm="1">
        <f t="array" ref="J2">SUM(
INDEX(Glasgow_PerC, $AM$4:$AM$5, $AN$3)*(INDEX(Rental_Price[], $AM$4:$AM$5, 1) - (INDEX(Marginal_Cost[], $AM$4:$AM$5)) + 10)*INDEX(TRit4088[], $AN$3, $AP$8)/100,
INDEX(Manchester_PerC, $AM$4:$AM$5, $AN$4)*(INDEX(Rental_Price[], $AM$4:$AM$5, 1) - (INDEX(Marginal_Cost[], $AM$4:$AM$5)) + 10)*INDEX(TRit4088[], $AN$4, $AP$8)/100,
INDEX(Birmingham_PerC, $AM$4:$AM$5, $AN$5)*(INDEX(Rental_Price[], $AM$4:$AM$5, 1) - (INDEX(Marginal_Cost[], $AM$4:$AM$5)) + 10)*INDEX(TRit4088[], $AN$5, $AP$8)/100,
INDEX(Plymouth_PerC, $AM$4:$AM$5, $AN$6)*(INDEX(Rental_Price[], $AM$4:$AM$5, 1) - (INDEX(Marginal_Cost[], $AM$4:$AM$5)) + 10)*INDEX(TRit4088[], $AN$6, $AP$8)/100
)</f>
        <v>0</v>
      </c>
      <c r="K2" s="5" cm="1">
        <f t="array" ref="K2">SUM(
SUM(INDEX(Glasgow_PerC, $AR$4:$AR$5, $AN$4)*(INDEX(Rental_Price[], $AR$4:$AR$5, 2)-(INDEX(Marginal_Cost[], $AR$4:$AR$5)) + 10))*INDEX(TRit4088[], $AN$3,$AP$8)/100,
SUM(INDEX(Glasgow_PerC, $AR$4:$AR$5, $AN$5)*(INDEX(Rental_Price[], $AR$4:$AR$5, 2)-(INDEX(Marginal_Cost[], $AR$4:$AR$5)) + 10))*INDEX(TRit4088[], $AN$3,$AP$8)/100,
SUM(INDEX(Glasgow_PerC, $AR$4:$AR$5, $AN$6)*(INDEX(Rental_Price[], $AR$4:$AR$5, 2)-(INDEX(Marginal_Cost[], $AR$4:$AR$5)) + 10))*INDEX(TRit4088[], $AN$3,$AP$8)/100,
SUM(INDEX(Manchester_PerC, $AR$4:$AR$5, $AN$3)*(INDEX(Rental_Price[], $AR$4:$AR$5, 2)-(INDEX(Marginal_Cost[], $AR$4:$AR$5)) + 10))*INDEX(TRit4088[], $AN$4,$AP$8)/100,
SUM(INDEX(Manchester_PerC, $AR$4:$AR$5, $AN$5)*(INDEX(Rental_Price[], $AR$4:$AR$5, 2)-(INDEX(Marginal_Cost[], $AR$4:$AR$5)) + 10))*INDEX(TRit4088[], $AN$4,$AP$8)/100,
SUM(INDEX(Manchester_PerC, $AR$4:$AR$5, $AN$6)*(INDEX(Rental_Price[], $AR$4:$AR$5, 2)-(INDEX(Marginal_Cost[], $AR$4:$AR$5)) + 10))*INDEX(TRit4088[], $AN$4,$AP$8)/100,
SUM(INDEX(Birmingham_PerC, $AR$4:$AR$5, $AN$3)*(INDEX(Rental_Price[], $AR$4:$AR$5, 2)-(INDEX(Marginal_Cost[], $AR$4:$AR$5)) + 10))*INDEX(TRit4088[], $AN$5,$AP$8)/100,
SUM(INDEX(Birmingham_PerC, $AR$4:$AR$5, $AN$4)*(INDEX(Rental_Price[], $AR$4:$AR$5, 2)-(INDEX(Marginal_Cost[], $AR$4:$AR$5)) + 10))*INDEX(TRit4088[], $AN$5,$AP$8)/100,
SUM(INDEX(Birmingham_PerC, $AR$4:$AR$5, $AN$6)*(INDEX(Rental_Price[], $AR$4:$AR$5, 2)-(INDEX(Marginal_Cost[], $AR$4:$AR$5)) + 10))*INDEX(TRit4088[], $AN$5,$AP$8)/100,
SUM(INDEX(Plymouth_PerC, $AR$4:$AR$5, $AN$3)*(INDEX(Rental_Price[], $AR$4:$AR$5, 2)-(INDEX(Marginal_Cost[], $AR$4:$AR$5)) + 10))*INDEX(TRit4088[], $AN$6,$AP$8)/100,
SUM(INDEX(Plymouth_PerC, $AR$4:$AR$5, $AN$4)*(INDEX(Rental_Price[], $AR$4:$AR$5, 2)-(INDEX(Marginal_Cost[], $AR$4:$AR$5)) + 10))*INDEX(TRit4088[], $AN$6,$AP$8)/100,
SUM(INDEX(Plymouth_PerC, $AR$4:$AR$5, $AN$5)*(INDEX(Rental_Price[], $AR$4:$AR$5, 2)-(INDEX(Marginal_Cost[], $AR$4:$AR$5)) + 10))*INDEX(TRit4088[], $AN$6,$AP$8)/100,
)</f>
        <v>0</v>
      </c>
      <c r="L2" s="5" cm="1">
        <f t="array" ref="L2">SUM(
SUM(IF(INDEX(Transfer_Cost[], $AN$3, $AN$3:$AN$6)="-",999999999,INDEX(Transfer_Cost[], $AN$3, $AN$3:$AN$6))*(TU1jt4593[] + TD1jt4997[])),
SUM(IF(INDEX(Transfer_Cost[], $AN$4, $AN$3:$AN$6)="-",999999999,INDEX(Transfer_Cost[], $AN$4, $AN$3:$AN$6))*(TU2jt4694[] + TD2jt5098[])),
SUM(IF(INDEX(Transfer_Cost[], $AN$5, $AN$3:$AN$6)="-",999999999,INDEX(Transfer_Cost[], $AN$5, $AN$3:$AN$6))*(TU3jt4795[] + TD3jt5199[])),
SUM(IF(INDEX(Transfer_Cost[], $AN$6, $AN$3:$AN$6)="-",999999999,INDEX(Transfer_Cost[], $AN$6, $AN$3:$AN$6))*(TU4jt4896[] + TD4jt52100[]))
)</f>
        <v>0</v>
      </c>
      <c r="M2" s="5">
        <f>Opportunity_Cost*Cars</f>
        <v>9135.6517500000009</v>
      </c>
      <c r="N2" s="5">
        <f>SUM(20000*m_1,  5000*m_2, 18000*b_1, 8000*b_2, 19000*p_1)</f>
        <v>25000</v>
      </c>
      <c r="V2" s="27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N2" s="78" t="s">
        <v>35</v>
      </c>
      <c r="AO2" s="78" t="s">
        <v>36</v>
      </c>
      <c r="AP2" s="78" t="s">
        <v>52</v>
      </c>
      <c r="AQ2" s="78" t="s">
        <v>54</v>
      </c>
      <c r="AR2" s="78" t="s">
        <v>53</v>
      </c>
      <c r="BJ2" s="146"/>
      <c r="BK2" s="147"/>
      <c r="BL2" s="147"/>
      <c r="BM2" s="147"/>
      <c r="BN2" s="148"/>
    </row>
    <row r="3" spans="2:66" ht="15.95" customHeight="1" thickBot="1" x14ac:dyDescent="0.3">
      <c r="F3" s="5" t="s">
        <v>74</v>
      </c>
      <c r="G3" s="5" t="s">
        <v>75</v>
      </c>
      <c r="H3" s="5" t="s">
        <v>76</v>
      </c>
      <c r="I3" s="5" t="s">
        <v>73</v>
      </c>
      <c r="J3" s="5" t="s">
        <v>72</v>
      </c>
      <c r="K3" s="5" t="s">
        <v>71</v>
      </c>
      <c r="L3" s="5" t="s">
        <v>70</v>
      </c>
      <c r="M3" s="5" t="s">
        <v>69</v>
      </c>
      <c r="N3" s="5" t="s">
        <v>71</v>
      </c>
      <c r="V3" s="32"/>
      <c r="W3" s="149" t="s">
        <v>41</v>
      </c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31"/>
      <c r="AN3" s="78">
        <v>1</v>
      </c>
      <c r="AO3" s="78">
        <v>1</v>
      </c>
      <c r="AP3" s="78">
        <v>1</v>
      </c>
      <c r="AQ3" s="78" t="s">
        <v>0</v>
      </c>
      <c r="AR3" s="78">
        <v>1</v>
      </c>
      <c r="BJ3" s="66" t="s">
        <v>17</v>
      </c>
      <c r="BK3" s="83" t="s">
        <v>6</v>
      </c>
      <c r="BL3" s="83" t="s">
        <v>9</v>
      </c>
      <c r="BM3" s="83" t="s">
        <v>7</v>
      </c>
      <c r="BN3" s="84" t="s">
        <v>8</v>
      </c>
    </row>
    <row r="4" spans="2:66" ht="15.95" customHeight="1" thickBot="1" x14ac:dyDescent="0.3">
      <c r="B4" s="17" t="s">
        <v>33</v>
      </c>
      <c r="S4" s="18"/>
      <c r="V4" s="32"/>
      <c r="W4" s="135"/>
      <c r="AL4" s="31"/>
      <c r="AN4" s="78">
        <v>2</v>
      </c>
      <c r="AO4" s="78">
        <v>2</v>
      </c>
      <c r="AP4" s="78">
        <v>2</v>
      </c>
      <c r="AQ4" s="78" t="s">
        <v>1</v>
      </c>
      <c r="AR4" s="78">
        <v>2</v>
      </c>
      <c r="BJ4" s="35" t="s">
        <v>16</v>
      </c>
      <c r="BK4" s="60">
        <v>0</v>
      </c>
      <c r="BL4" s="61">
        <v>12</v>
      </c>
      <c r="BM4" s="62">
        <v>20</v>
      </c>
      <c r="BN4" s="60">
        <v>0</v>
      </c>
    </row>
    <row r="5" spans="2:66" ht="15.95" customHeight="1" thickBot="1" x14ac:dyDescent="0.3">
      <c r="V5" s="32"/>
      <c r="W5" s="150" t="s">
        <v>6</v>
      </c>
      <c r="X5" s="150"/>
      <c r="Y5" s="150"/>
      <c r="AA5" s="151" t="s">
        <v>9</v>
      </c>
      <c r="AB5" s="151"/>
      <c r="AC5" s="151"/>
      <c r="AE5" s="151" t="s">
        <v>7</v>
      </c>
      <c r="AF5" s="151"/>
      <c r="AG5" s="151"/>
      <c r="AI5" s="151" t="s">
        <v>8</v>
      </c>
      <c r="AJ5" s="151"/>
      <c r="AK5" s="151"/>
      <c r="AL5" s="31"/>
      <c r="AN5" s="78">
        <v>3</v>
      </c>
      <c r="AO5" s="78">
        <v>3</v>
      </c>
      <c r="AP5" s="78">
        <v>3</v>
      </c>
      <c r="AQ5" s="78" t="s">
        <v>2</v>
      </c>
      <c r="AR5" s="78">
        <v>3</v>
      </c>
    </row>
    <row r="6" spans="2:66" ht="15.95" customHeight="1" thickTop="1" thickBot="1" x14ac:dyDescent="0.3">
      <c r="B6" s="27"/>
      <c r="C6" s="28"/>
      <c r="D6" s="28"/>
      <c r="E6" s="29"/>
      <c r="V6" s="32" t="s">
        <v>0</v>
      </c>
      <c r="W6" s="75" cm="1">
        <f t="array" ref="W6">SUM(SUM(
SUMPRODUCT(INDEX(Glasgow_PerC, $AR$3:$AR$5, $AN$3)*INDEX(TRit4088[], $AN$3, IF($AP3-$AR$3:$AR$5 &lt;= 0,  ($AP3-$AR$3:$AR$5 + COUNT(variable_t)), $AP3-$AR$3:$AR$5))),
SUMPRODUCT(INDEX(Manchester_PerC, $AR$3:$AR$5, $AN$3)*INDEX(TRit4088[], $AN$4, IF($AP3-$AR$3:$AR$5 &lt;= 0,  ($AP3-$AR$3:$AR$5 + COUNT(variable_t)), $AP3-$AR$3:$AR$5))),
SUMPRODUCT(INDEX(Birmingham_PerC, $AR$3:$AR$5, $AN$3)*INDEX(TRit4088[], $AN$5, IF($AP3-$AR$3:$AR$5 &lt;= 0,  ($AP3-$AR$3:$AR$5 + COUNT(variable_t)), $AP3-$AR$3:$AR$5))),
SUMPRODUCT(INDEX(Plymouth_PerC, $AR$3:$AR$5, $AN$3)*INDEX(TRit4088[], $AN$6, IF($AP3-$AR$3:$AR$5 &lt;= 0,  ($AP3-$AR$3:$AR$5 + COUNT(variable_t)), $AP3-$AR$3:$AR$5))))/100*
Undamaged_CarsPerC/100,
SUM(
INDEX(TU1jt4593[],  $AN$3, IF($AP3-1 = 0,  ($AP3-1 + COUNT(variable_t)), $AP3-1)),
INDEX(TU2jt4694[],  $AN$3, IF($AP3-1 = 0,  ($AP3-1 + COUNT(variable_t)), $AP3-1)),
INDEX(TU3jt4795[],  $AN$3, IF($AP3-1 = 0,  ($AP3-1 + COUNT(variable_t)), $AP3-1)),
INDEX(TU4jt4896[],  $AN$3, IF($AP3-1 = 0,  ($AP3-1 + COUNT(variable_t)), $AP3-1))),
INDEX(RPit4189[], $AN$3, IF($AP3-1 = 0,  ($AP3-1 + COUNT(variable_t)), $AP3-1)),
INDEX(EUit4492[], $AN$3, IF($AP3-1 = 0,  ($AP3-1 + COUNT(varable_t)), $AP3-1)),
)</f>
        <v>0</v>
      </c>
      <c r="X6" s="76" t="s">
        <v>34</v>
      </c>
      <c r="Y6" s="77" cm="1">
        <f t="array" ref="Y6">INDEX(NUit53101[], $AN$3, $AP3)</f>
        <v>0</v>
      </c>
      <c r="Z6" s="76"/>
      <c r="AA6" s="75" cm="1">
        <f t="array" ref="AA6">SUM(SUM(
SUMPRODUCT(INDEX(Glasgow_PerC, $AR$3:$AR$5, $AN$4)*INDEX(TRit4088[], $AN$3, IF($AP3-$AR$3:$AR$5 &lt;= 0,  ($AP3-$AR$3:$AR$5 + COUNT(variable_t)), $AP3-$AR$3:$AR$5))),
SUMPRODUCT(INDEX(Manchester_PerC, $AR$3:$AR$5, $AN$4)*INDEX(TRit4088[], $AN$4, IF($AP3-$AR$3:$AR$5 &lt;= 0,  ($AP3-$AR$3:$AR$5 + COUNT(variable_t)), $AP3-$AR$3:$AR$5))),
SUMPRODUCT(INDEX(Birmingham_PerC, $AR$3:$AR$5, $AN$4)*INDEX(TRit4088[], $AN$5, IF($AP3-$AR$3:$AR$5 &lt;= 0,  ($AP3-$AR$3:$AR$5 + COUNT(variable_t)), $AP3-$AR$3:$AR$5))),
SUMPRODUCT(INDEX(Plymouth_PerC, $AR$3:$AR$5, $AN$4)*INDEX(TRit4088[], $AN$6, IF($AP3-$AR$3:$AR$5 &lt;= 0,  ($AP3-$AR$3:$AR$5 + COUNT(variable_t)), $AP3-$AR$3:$AR$5))))/100*
Undamaged_CarsPerC/100,
SUM(
INDEX(TU1jt4593[],  $AN$4, IF($AP3-1 = 0,  ($AP3-1 + COUNT(variable_t)), $AP3-1)),
INDEX(TU2jt4694[],  $AN$4, IF($AP3-1 = 0,  ($AP3-1 + COUNT(variable_t)), $AP3-1)),
INDEX(TU3jt4795[],  $AN$4, IF($AP3-1 = 0,  ($AP3-1 + COUNT(variable_t)), $AP3-1)),
INDEX(TU4jt4896[],  $AN$4, IF($AP3-1 = 0,  ($AP3-1 + COUNT(variable_t)), $AP3-1))),
INDEX(RPit4189[], $AN$4, IF($AP3-1 = 0,  ($AP3-1 + COUNT(variable_t)), $AP3-1)),
INDEX(EUit4492[], $AN$4, IF($AP3-1 = 0,  ($AP3-1 + COUNT(variable_t)), $AP3-1)),
)</f>
        <v>0</v>
      </c>
      <c r="AB6" s="76" t="s">
        <v>34</v>
      </c>
      <c r="AC6" s="77" cm="1">
        <f t="array" ref="AC6">INDEX(NUit53101[], $AN$4, $AP3)</f>
        <v>0</v>
      </c>
      <c r="AD6" s="76"/>
      <c r="AE6" s="75" cm="1">
        <f t="array" ref="AE6">SUM(SUM(
SUMPRODUCT(INDEX(Glasgow_PerC, $AR$3:$AR$5, $AN$5)*INDEX(TRit4088[], $AN$3, IF($AP3-$AR$3:$AR$5 &lt;= 0,  ($AP3-$AR$3:$AR$5 + COUNT(variable_t)), $AP3-$AR$3:$AR$5))),
SUMPRODUCT(INDEX(Manchester_PerC, $AR$3:$AR$5, $AN$5)*INDEX(TRit4088[], $AN$4, IF($AP3-$AR$3:$AR$5 &lt;= 0,  ($AP3-$AR$3:$AR$5 + COUNT(variable_t)), $AP3-$AR$3:$AR$5))),
SUMPRODUCT(INDEX(Birmingham_PerC, $AR$3:$AR$5, $AN$5)*INDEX(TRit4088[], $AN$5, IF($AP3-$AR$3:$AR$5 &lt;= 0,  ($AP3-$AR$3:$AR$5 + COUNT(variable_t)), $AP3-$AR$3:$AR$5))),
SUMPRODUCT(INDEX(Plymouth_PerC, $AR$3:$AR$5, $AN$5)*INDEX(TRit4088[], $AN$6, IF($AP3-$AR$3:$AR$5 &lt;= 0,  ($AP3-$AR$3:$AR$5 + COUNT(variable_t)), $AP3-$AR$3:$AR$5))))/100*
Undamaged_CarsPerC/100,
SUM(
INDEX(TU1jt4593[],  $AN$5, IF($AP3-1 = 0,  ($AP3-1 + COUNT(variable_t)), $AP3-1)),
INDEX(TU2jt4694[],  $AN$5, IF($AP3-1 = 0,  ($AP3-1 + COUNT(variable_t)), $AP3-1)),
INDEX(TU3jt4795[],  $AN$5, IF($AP3-1 = 0,  ($AP3-1 + COUNT(variable_t)), $AP3-1)),
INDEX(TU4jt4896[],  $AN$5, IF($AP3-1 = 0,  ($AP3-1 + COUNT(variable_t)), $AP3-1))),
INDEX(RPit4189[], $AN$5, IF($AP3-1 = 0,  ($AP3-1 + COUNT(variable_t)), $AP3-1)),
INDEX(EUit4492[], $AN$5, IF($AP3-1 = 0,  ($AP3-1 + COUNT(variable_t)), $AP3-1)),
)</f>
        <v>0</v>
      </c>
      <c r="AF6" s="76" t="s">
        <v>34</v>
      </c>
      <c r="AG6" s="77" cm="1">
        <f t="array" ref="AG6">INDEX(NUit53101[], $AN$5, $AP3)</f>
        <v>0</v>
      </c>
      <c r="AH6" s="76"/>
      <c r="AI6" s="75" cm="1">
        <f t="array" ref="AI6">SUM(SUM(
SUMPRODUCT(INDEX(Glasgow_PerC, $AR$3:$AR$5, $AN$6)*INDEX(TRit4088[], $AN$3, IF($AP3-$AR$3:$AR$5 &lt;= 0,  ($AP3-$AR$3:$AR$5 + COUNT(variable_t)), $AP3-$AR$3:$AR$5))),
SUMPRODUCT(INDEX(Manchester_PerC, $AR$3:$AR$5, $AN$6)*INDEX(TRit4088[], $AN$4, IF($AP3-$AR$3:$AR$5 &lt;= 0,  ($AP3-$AR$3:$AR$5 + COUNT(variable_t)), $AP3-$AR$3:$AR$5))),
SUMPRODUCT(INDEX(Birmingham_PerC, $AR$3:$AR$5, $AN$6)*INDEX(TRit4088[], $AN$5, IF($AP3-$AR$3:$AR$5 &lt;= 0,  ($AP3-$AR$3:$AR$5 + COUNT(variable_t)), $AP3-$AR$3:$AR$5))),
SUMPRODUCT(INDEX(Plymouth_PerC, $AR$3:$AR$5, $AN$6)*INDEX(TRit4088[], $AN$6, IF($AP3-$AR$3:$AR$5 &lt;= 0,  ($AP3-$AR$3:$AR$5 + COUNT(variable_t)), $AP3-$AR$3:$AR$5))))/100*
Undamaged_CarsPerC/100,
SUM(
INDEX(TU1jt4593[],  $AN$6, IF($AP3-1 = 0,  ($AP3-1 + COUNT(variable_t)), $AP3-1)),
INDEX(TU2jt4694[],  $AN$6, IF($AP3-1 = 0,  ($AP3-1 + COUNT(variable_t)), $AP3-1)),
INDEX(TU3jt4795[],  $AN$6, IF($AP3-1 = 0,  ($AP3-1 + COUNT(variable_t)), $AP3-1)),
INDEX(TU4jt4896[],  $AN$6, IF($AP3-1 = 0,  ($AP3-1 + COUNT(variable_t)), $AP3-1))),
INDEX(RPit4189[], $AN$6, IF($AP3-1 = 0,  ($AP3-1 + COUNT(variable_t)), $AP3-1)),
INDEX(EUit4492[], $AN$6, IF($AP3-1 = 0,  ($AP3-1 + COUNT(variable_t)), $AP3-1)),
)</f>
        <v>0</v>
      </c>
      <c r="AJ6" s="76" t="s">
        <v>34</v>
      </c>
      <c r="AK6" s="77" cm="1">
        <f t="array" ref="AK6">INDEX(NUit53101[], $AN$6, $AP3)</f>
        <v>0</v>
      </c>
      <c r="AL6" s="31"/>
      <c r="AN6" s="78">
        <v>4</v>
      </c>
      <c r="AO6" s="78">
        <v>4</v>
      </c>
      <c r="AP6" s="78">
        <v>4</v>
      </c>
      <c r="AQ6" s="78" t="s">
        <v>3</v>
      </c>
      <c r="AR6" s="79"/>
      <c r="BJ6" s="143" t="s">
        <v>14</v>
      </c>
      <c r="BK6" s="144"/>
      <c r="BL6" s="144"/>
      <c r="BM6" s="144"/>
      <c r="BN6" s="145"/>
    </row>
    <row r="7" spans="2:66" ht="15.95" customHeight="1" thickBot="1" x14ac:dyDescent="0.3">
      <c r="B7" s="32"/>
      <c r="C7" s="73">
        <v>0</v>
      </c>
      <c r="D7" s="74">
        <v>0</v>
      </c>
      <c r="E7" s="31"/>
      <c r="V7" s="32" t="s">
        <v>1</v>
      </c>
      <c r="W7" s="75" cm="1">
        <f t="array" ref="W7">SUM(SUM(
SUMPRODUCT(INDEX(Glasgow_PerC, $AR$3:$AR$5, $AN$3)*INDEX(TRit4088[], $AN$3, IF($AP4-$AR$3:$AR$5 &lt;= 0,  ($AP4-$AR$3:$AR$5 + COUNT(variable_t)), $AP4-$AR$3:$AR$5))),
SUMPRODUCT(INDEX(Manchester_PerC, $AR$3:$AR$5, $AN$3)*INDEX(TRit4088[], $AN$4, IF($AP4-$AR$3:$AR$5 &lt;= 0,  ($AP4-$AR$3:$AR$5 + COUNT(variable_t)), $AP4-$AR$3:$AR$5))),
SUMPRODUCT(INDEX(Birmingham_PerC, $AR$3:$AR$5, $AN$3)*INDEX(TRit4088[], $AN$5, IF($AP4-$AR$3:$AR$5 &lt;= 0,  ($AP4-$AR$3:$AR$5 + COUNT(variable_t)), $AP4-$AR$3:$AR$5))),
SUMPRODUCT(INDEX(Plymouth_PerC, $AR$3:$AR$5, $AN$3)*INDEX(TRit4088[], $AN$6, IF($AP4-$AR$3:$AR$5 &lt;= 0,  ($AP4-$AR$3:$AR$5 + COUNT(variable_t)), $AP4-$AR$3:$AR$5))))/100*
Undamaged_CarsPerC/100,
SUM(
INDEX(TU1jt4593[],  $AN$3, IF($AP4-1 = 0,  ($AP4-1 + COUNT(variable_t)), $AP4-1)),
INDEX(TU2jt4694[],  $AN$3, IF($AP4-1 = 0,  ($AP4-1 + COUNT(variable_t)), $AP4-1)),
INDEX(TU3jt4795[],  $AN$3, IF($AP4-1 = 0,  ($AP4-1 + COUNT(variable_t)), $AP4-1)),
INDEX(TU4jt4896[],  $AN$3, IF($AP4-1 = 0,  ($AP4-1 + COUNT(variable_t)), $AP4-1))),
INDEX(RPit4189[], $AN$3, IF($AP4-1 = 0,  ($AP4-1 + COUNT(variable_t)), $AP4-1)),
INDEX(EUit4492[], $AN$3, IF($AP4-1 = 0,  ($AP4-1 + COUNT(varable_t)), $AP4-1)),
)</f>
        <v>0</v>
      </c>
      <c r="X7" s="76" t="s">
        <v>34</v>
      </c>
      <c r="Y7" s="77" cm="1">
        <f t="array" ref="Y7">INDEX(NUit53101[], $AN$3, $AP4)</f>
        <v>0</v>
      </c>
      <c r="Z7" s="76"/>
      <c r="AA7" s="75" cm="1">
        <f t="array" ref="AA7">SUM(SUM(
SUMPRODUCT(INDEX(Glasgow_PerC, $AR$3:$AR$5, $AN$4)*INDEX(TRit4088[], $AN$3, IF($AP4-$AR$3:$AR$5 &lt;= 0,  ($AP4-$AR$3:$AR$5 + COUNT(variable_t)), $AP4-$AR$3:$AR$5))),
SUMPRODUCT(INDEX(Manchester_PerC, $AR$3:$AR$5, $AN$4)*INDEX(TRit4088[], $AN$4, IF($AP4-$AR$3:$AR$5 &lt;= 0,  ($AP4-$AR$3:$AR$5 + COUNT(variable_t)), $AP4-$AR$3:$AR$5))),
SUMPRODUCT(INDEX(Birmingham_PerC, $AR$3:$AR$5, $AN$4)*INDEX(TRit4088[], $AN$5, IF($AP4-$AR$3:$AR$5 &lt;= 0,  ($AP4-$AR$3:$AR$5 + COUNT(variable_t)), $AP4-$AR$3:$AR$5))),
SUMPRODUCT(INDEX(Plymouth_PerC, $AR$3:$AR$5, $AN$4)*INDEX(TRit4088[], $AN$6, IF($AP4-$AR$3:$AR$5 &lt;= 0,  ($AP4-$AR$3:$AR$5 + COUNT(variable_t)), $AP4-$AR$3:$AR$5))))/100*
Undamaged_CarsPerC/100,
SUM(
INDEX(TU1jt4593[],  $AN$4, IF($AP4-1 = 0,  ($AP4-1 + COUNT(variable_t)), $AP4-1)),
INDEX(TU2jt4694[],  $AN$4, IF($AP4-1 = 0,  ($AP4-1 + COUNT(variable_t)), $AP4-1)),
INDEX(TU3jt4795[],  $AN$4, IF($AP4-1 = 0,  ($AP4-1 + COUNT(variable_t)), $AP4-1)),
INDEX(TU4jt4896[],  $AN$4, IF($AP4-1 = 0,  ($AP4-1 + COUNT(variable_t)), $AP4-1))),
INDEX(RPit4189[], $AN$4, IF($AP4-1 = 0,  ($AP4-1 + COUNT(variable_t)), $AP4-1)),
INDEX(EUit4492[], $AN$4, IF($AP4-1 = 0,  ($AP4-1 + COUNT(variable_t)), $AP4-1)),
)</f>
        <v>0</v>
      </c>
      <c r="AB7" s="76" t="s">
        <v>34</v>
      </c>
      <c r="AC7" s="77" cm="1">
        <f t="array" ref="AC7">INDEX(NUit53101[], $AN$4, $AP4)</f>
        <v>0</v>
      </c>
      <c r="AD7" s="76"/>
      <c r="AE7" s="75" cm="1">
        <f t="array" ref="AE7">SUM(SUM(
SUMPRODUCT(INDEX(Glasgow_PerC, $AR$3:$AR$5, $AN$5)*INDEX(TRit4088[], $AN$3, IF($AP4-$AR$3:$AR$5 &lt;= 0,  ($AP4-$AR$3:$AR$5 + COUNT(variable_t)), $AP4-$AR$3:$AR$5))),
SUMPRODUCT(INDEX(Manchester_PerC, $AR$3:$AR$5, $AN$5)*INDEX(TRit4088[], $AN$4, IF($AP4-$AR$3:$AR$5 &lt;= 0,  ($AP4-$AR$3:$AR$5 + COUNT(variable_t)), $AP4-$AR$3:$AR$5))),
SUMPRODUCT(INDEX(Birmingham_PerC, $AR$3:$AR$5, $AN$5)*INDEX(TRit4088[], $AN$5, IF($AP4-$AR$3:$AR$5 &lt;= 0,  ($AP4-$AR$3:$AR$5 + COUNT(variable_t)), $AP4-$AR$3:$AR$5))),
SUMPRODUCT(INDEX(Plymouth_PerC, $AR$3:$AR$5, $AN$5)*INDEX(TRit4088[], $AN$6, IF($AP4-$AR$3:$AR$5 &lt;= 0,  ($AP4-$AR$3:$AR$5 + COUNT(variable_t)), $AP4-$AR$3:$AR$5))))/100*
Undamaged_CarsPerC/100,
SUM(
INDEX(TU1jt4593[],  $AN$5, IF($AP4-1 = 0,  ($AP4-1 + COUNT(variable_t)), $AP4-1)),
INDEX(TU2jt4694[],  $AN$5, IF($AP4-1 = 0,  ($AP4-1 + COUNT(variable_t)), $AP4-1)),
INDEX(TU3jt4795[],  $AN$5, IF($AP4-1 = 0,  ($AP4-1 + COUNT(variable_t)), $AP4-1)),
INDEX(TU4jt4896[],  $AN$5, IF($AP4-1 = 0,  ($AP4-1 + COUNT(variable_t)), $AP4-1))),
INDEX(RPit4189[], $AN$5, IF($AP4-1 = 0,  ($AP4-1 + COUNT(variable_t)), $AP4-1)),
INDEX(EUit4492[], $AN$5, IF($AP4-1 = 0,  ($AP4-1 + COUNT(variable_t)), $AP4-1)),
)</f>
        <v>0</v>
      </c>
      <c r="AF7" s="76" t="s">
        <v>34</v>
      </c>
      <c r="AG7" s="77" cm="1">
        <f t="array" ref="AG7">INDEX(NUit53101[], $AN$5, $AP4)</f>
        <v>0</v>
      </c>
      <c r="AH7" s="76"/>
      <c r="AI7" s="75" cm="1">
        <f t="array" ref="AI7">SUM(SUM(
SUMPRODUCT(INDEX(Glasgow_PerC, $AR$3:$AR$5, $AN$6)*INDEX(TRit4088[], $AN$3, IF($AP4-$AR$3:$AR$5 &lt;= 0,  ($AP4-$AR$3:$AR$5 + COUNT(variable_t)), $AP4-$AR$3:$AR$5))),
SUMPRODUCT(INDEX(Manchester_PerC, $AR$3:$AR$5, $AN$6)*INDEX(TRit4088[], $AN$4, IF($AP4-$AR$3:$AR$5 &lt;= 0,  ($AP4-$AR$3:$AR$5 + COUNT(variable_t)), $AP4-$AR$3:$AR$5))),
SUMPRODUCT(INDEX(Birmingham_PerC, $AR$3:$AR$5, $AN$6)*INDEX(TRit4088[], $AN$5, IF($AP4-$AR$3:$AR$5 &lt;= 0,  ($AP4-$AR$3:$AR$5 + COUNT(variable_t)), $AP4-$AR$3:$AR$5))),
SUMPRODUCT(INDEX(Plymouth_PerC, $AR$3:$AR$5, $AN$6)*INDEX(TRit4088[], $AN$6, IF($AP4-$AR$3:$AR$5 &lt;= 0,  ($AP4-$AR$3:$AR$5 + COUNT(variable_t)), $AP4-$AR$3:$AR$5))))/100*
Undamaged_CarsPerC/100,
SUM(
INDEX(TU1jt4593[],  $AN$6, IF($AP4-1 = 0,  ($AP4-1 + COUNT(variable_t)), $AP4-1)),
INDEX(TU2jt4694[],  $AN$6, IF($AP4-1 = 0,  ($AP4-1 + COUNT(variable_t)), $AP4-1)),
INDEX(TU3jt4795[],  $AN$6, IF($AP4-1 = 0,  ($AP4-1 + COUNT(variable_t)), $AP4-1)),
INDEX(TU4jt4896[],  $AN$6, IF($AP4-1 = 0,  ($AP4-1 + COUNT(variable_t)), $AP4-1))),
INDEX(RPit4189[], $AN$6, IF($AP4-1 = 0,  ($AP4-1 + COUNT(variable_t)), $AP4-1)),
INDEX(EUit4492[], $AN$6, IF($AP4-1 = 0,  ($AP4-1 + COUNT(variable_t)), $AP4-1)),
)</f>
        <v>0</v>
      </c>
      <c r="AJ7" s="76" t="s">
        <v>34</v>
      </c>
      <c r="AK7" s="77" cm="1">
        <f t="array" ref="AK7">INDEX(NUit53101[], $AN$6, $AP4)</f>
        <v>0</v>
      </c>
      <c r="AL7" s="31"/>
      <c r="AN7" s="79"/>
      <c r="AO7" s="79"/>
      <c r="AP7" s="78">
        <v>5</v>
      </c>
      <c r="AQ7" s="78" t="s">
        <v>4</v>
      </c>
      <c r="AR7" s="79"/>
      <c r="BJ7" s="146"/>
      <c r="BK7" s="147"/>
      <c r="BL7" s="147"/>
      <c r="BM7" s="147"/>
      <c r="BN7" s="148"/>
    </row>
    <row r="8" spans="2:66" ht="15.95" customHeight="1" thickBot="1" x14ac:dyDescent="0.3">
      <c r="B8" s="33"/>
      <c r="C8" s="26"/>
      <c r="D8" s="26"/>
      <c r="E8" s="34"/>
      <c r="V8" s="32" t="s">
        <v>2</v>
      </c>
      <c r="W8" s="75" cm="1">
        <f t="array" ref="W8">SUM(SUM(
SUMPRODUCT(INDEX(Glasgow_PerC, $AR$3:$AR$5, $AN$3)*INDEX(TRit4088[], $AN$3, IF($AP5-$AR$3:$AR$5 &lt;= 0,  ($AP5-$AR$3:$AR$5 + COUNT(variable_t)), $AP5-$AR$3:$AR$5))),
SUMPRODUCT(INDEX(Manchester_PerC, $AR$3:$AR$5, $AN$3)*INDEX(TRit4088[], $AN$4, IF($AP5-$AR$3:$AR$5 &lt;= 0,  ($AP5-$AR$3:$AR$5 + COUNT(variable_t)), $AP5-$AR$3:$AR$5))),
SUMPRODUCT(INDEX(Birmingham_PerC, $AR$3:$AR$5, $AN$3)*INDEX(TRit4088[], $AN$5, IF($AP5-$AR$3:$AR$5 &lt;= 0,  ($AP5-$AR$3:$AR$5 + COUNT(variable_t)), $AP5-$AR$3:$AR$5))),
SUMPRODUCT(INDEX(Plymouth_PerC, $AR$3:$AR$5, $AN$3)*INDEX(TRit4088[], $AN$6, IF($AP5-$AR$3:$AR$5 &lt;= 0,  ($AP5-$AR$3:$AR$5 + COUNT(variable_t)), $AP5-$AR$3:$AR$5))))/100*
Undamaged_CarsPerC/100,
SUM(
INDEX(TU1jt4593[],  $AN$3, IF($AP5-1 = 0,  ($AP5-1 + COUNT(variable_t)), $AP5-1)),
INDEX(TU2jt4694[],  $AN$3, IF($AP5-1 = 0,  ($AP5-1 + COUNT(variable_t)), $AP5-1)),
INDEX(TU3jt4795[],  $AN$3, IF($AP5-1 = 0,  ($AP5-1 + COUNT(variable_t)), $AP5-1)),
INDEX(TU4jt4896[],  $AN$3, IF($AP5-1 = 0,  ($AP5-1 + COUNT(variable_t)), $AP5-1))),
INDEX(RPit4189[], $AN$3, IF($AP5-1 = 0,  ($AP5-1 + COUNT(variable_t)), $AP5-1)),
INDEX(EUit4492[], $AN$3, IF($AP5-1 = 0,  ($AP5-1 + COUNT(varable_t)), $AP5-1)),
)</f>
        <v>0</v>
      </c>
      <c r="X8" s="76" t="s">
        <v>34</v>
      </c>
      <c r="Y8" s="77" cm="1">
        <f t="array" ref="Y8">INDEX(NUit53101[], $AN$3, $AP5)</f>
        <v>0</v>
      </c>
      <c r="Z8" s="76"/>
      <c r="AA8" s="75" cm="1">
        <f t="array" ref="AA8">SUM(SUM(
SUMPRODUCT(INDEX(Glasgow_PerC, $AR$3:$AR$5, $AN$4)*INDEX(TRit4088[], $AN$3, IF($AP5-$AR$3:$AR$5 &lt;= 0,  ($AP5-$AR$3:$AR$5 + COUNT(variable_t)), $AP5-$AR$3:$AR$5))),
SUMPRODUCT(INDEX(Manchester_PerC, $AR$3:$AR$5, $AN$4)*INDEX(TRit4088[], $AN$4, IF($AP5-$AR$3:$AR$5 &lt;= 0,  ($AP5-$AR$3:$AR$5 + COUNT(variable_t)), $AP5-$AR$3:$AR$5))),
SUMPRODUCT(INDEX(Birmingham_PerC, $AR$3:$AR$5, $AN$4)*INDEX(TRit4088[], $AN$5, IF($AP5-$AR$3:$AR$5 &lt;= 0,  ($AP5-$AR$3:$AR$5 + COUNT(variable_t)), $AP5-$AR$3:$AR$5))),
SUMPRODUCT(INDEX(Plymouth_PerC, $AR$3:$AR$5, $AN$4)*INDEX(TRit4088[], $AN$6, IF($AP5-$AR$3:$AR$5 &lt;= 0,  ($AP5-$AR$3:$AR$5 + COUNT(variable_t)), $AP5-$AR$3:$AR$5))))/100*
Undamaged_CarsPerC/100,
SUM(
INDEX(TU1jt4593[],  $AN$4, IF($AP5-1 = 0,  ($AP5-1 + COUNT(variable_t)), $AP5-1)),
INDEX(TU2jt4694[],  $AN$4, IF($AP5-1 = 0,  ($AP5-1 + COUNT(variable_t)), $AP5-1)),
INDEX(TU3jt4795[],  $AN$4, IF($AP5-1 = 0,  ($AP5-1 + COUNT(variable_t)), $AP5-1)),
INDEX(TU4jt4896[],  $AN$4, IF($AP5-1 = 0,  ($AP5-1 + COUNT(variable_t)), $AP5-1))),
INDEX(RPit4189[], $AN$4, IF($AP5-1 = 0,  ($AP5-1 + COUNT(variable_t)), $AP5-1)),
INDEX(EUit4492[], $AN$4, IF($AP5-1 = 0,  ($AP5-1 + COUNT(variable_t)), $AP5-1)),
)</f>
        <v>0</v>
      </c>
      <c r="AB8" s="76" t="s">
        <v>34</v>
      </c>
      <c r="AC8" s="77" cm="1">
        <f t="array" ref="AC8">INDEX(NUit53101[], $AN$4, $AP5)</f>
        <v>0</v>
      </c>
      <c r="AD8" s="76"/>
      <c r="AE8" s="75" cm="1">
        <f t="array" ref="AE8">SUM(SUM(
SUMPRODUCT(INDEX(Glasgow_PerC, $AR$3:$AR$5, $AN$5)*INDEX(TRit4088[], $AN$3, IF($AP5-$AR$3:$AR$5 &lt;= 0,  ($AP5-$AR$3:$AR$5 + COUNT(variable_t)), $AP5-$AR$3:$AR$5))),
SUMPRODUCT(INDEX(Manchester_PerC, $AR$3:$AR$5, $AN$5)*INDEX(TRit4088[], $AN$4, IF($AP5-$AR$3:$AR$5 &lt;= 0,  ($AP5-$AR$3:$AR$5 + COUNT(variable_t)), $AP5-$AR$3:$AR$5))),
SUMPRODUCT(INDEX(Birmingham_PerC, $AR$3:$AR$5, $AN$5)*INDEX(TRit4088[], $AN$5, IF($AP5-$AR$3:$AR$5 &lt;= 0,  ($AP5-$AR$3:$AR$5 + COUNT(variable_t)), $AP5-$AR$3:$AR$5))),
SUMPRODUCT(INDEX(Plymouth_PerC, $AR$3:$AR$5, $AN$5)*INDEX(TRit4088[], $AN$6, IF($AP5-$AR$3:$AR$5 &lt;= 0,  ($AP5-$AR$3:$AR$5 + COUNT(variable_t)), $AP5-$AR$3:$AR$5))))/100*
Undamaged_CarsPerC/100,
SUM(
INDEX(TU1jt4593[],  $AN$5, IF($AP5-1 = 0,  ($AP5-1 + COUNT(variable_t)), $AP5-1)),
INDEX(TU2jt4694[],  $AN$5, IF($AP5-1 = 0,  ($AP5-1 + COUNT(variable_t)), $AP5-1)),
INDEX(TU3jt4795[],  $AN$5, IF($AP5-1 = 0,  ($AP5-1 + COUNT(variable_t)), $AP5-1)),
INDEX(TU4jt4896[],  $AN$5, IF($AP5-1 = 0,  ($AP5-1 + COUNT(variable_t)), $AP5-1))),
INDEX(RPit4189[], $AN$5, IF($AP5-1 = 0,  ($AP5-1 + COUNT(variable_t)), $AP5-1)),
INDEX(EUit4492[], $AN$5, IF($AP5-1 = 0,  ($AP5-1 + COUNT(variable_t)), $AP5-1)),
)</f>
        <v>0</v>
      </c>
      <c r="AF8" s="76" t="s">
        <v>34</v>
      </c>
      <c r="AG8" s="77" cm="1">
        <f t="array" ref="AG8">INDEX(NUit53101[], $AN$5, $AP5)</f>
        <v>0</v>
      </c>
      <c r="AH8" s="76"/>
      <c r="AI8" s="75" cm="1">
        <f t="array" ref="AI8">SUM(SUM(
SUMPRODUCT(INDEX(Glasgow_PerC, $AR$3:$AR$5, $AN$6)*INDEX(TRit4088[], $AN$3, IF($AP5-$AR$3:$AR$5 &lt;= 0,  ($AP5-$AR$3:$AR$5 + COUNT(variable_t)), $AP5-$AR$3:$AR$5))),
SUMPRODUCT(INDEX(Manchester_PerC, $AR$3:$AR$5, $AN$6)*INDEX(TRit4088[], $AN$4, IF($AP5-$AR$3:$AR$5 &lt;= 0,  ($AP5-$AR$3:$AR$5 + COUNT(variable_t)), $AP5-$AR$3:$AR$5))),
SUMPRODUCT(INDEX(Birmingham_PerC, $AR$3:$AR$5, $AN$6)*INDEX(TRit4088[], $AN$5, IF($AP5-$AR$3:$AR$5 &lt;= 0,  ($AP5-$AR$3:$AR$5 + COUNT(variable_t)), $AP5-$AR$3:$AR$5))),
SUMPRODUCT(INDEX(Plymouth_PerC, $AR$3:$AR$5, $AN$6)*INDEX(TRit4088[], $AN$6, IF($AP5-$AR$3:$AR$5 &lt;= 0,  ($AP5-$AR$3:$AR$5 + COUNT(variable_t)), $AP5-$AR$3:$AR$5))))/100*
Undamaged_CarsPerC/100,
SUM(
INDEX(TU1jt4593[],  $AN$6, IF($AP5-1 = 0,  ($AP5-1 + COUNT(variable_t)), $AP5-1)),
INDEX(TU2jt4694[],  $AN$6, IF($AP5-1 = 0,  ($AP5-1 + COUNT(variable_t)), $AP5-1)),
INDEX(TU3jt4795[],  $AN$6, IF($AP5-1 = 0,  ($AP5-1 + COUNT(variable_t)), $AP5-1)),
INDEX(TU4jt4896[],  $AN$6, IF($AP5-1 = 0,  ($AP5-1 + COUNT(variable_t)), $AP5-1))),
INDEX(RPit4189[], $AN$6, IF($AP5-1 = 0,  ($AP5-1 + COUNT(variable_t)), $AP5-1)),
INDEX(EUit4492[], $AN$6, IF($AP5-1 = 0,  ($AP5-1 + COUNT(variable_t)), $AP5-1)),
)</f>
        <v>0</v>
      </c>
      <c r="AJ8" s="76" t="s">
        <v>34</v>
      </c>
      <c r="AK8" s="77" cm="1">
        <f t="array" ref="AK8">INDEX(NUit53101[], $AN$6, $AP5)</f>
        <v>0</v>
      </c>
      <c r="AL8" s="31"/>
      <c r="AN8" s="79"/>
      <c r="AO8" s="79"/>
      <c r="AP8" s="78">
        <v>6</v>
      </c>
      <c r="AQ8" s="78" t="s">
        <v>5</v>
      </c>
      <c r="AR8" s="79"/>
      <c r="BJ8" s="63" t="s">
        <v>11</v>
      </c>
      <c r="BK8" s="80" t="s">
        <v>6</v>
      </c>
      <c r="BL8" s="81" t="s">
        <v>9</v>
      </c>
      <c r="BM8" s="81" t="s">
        <v>7</v>
      </c>
      <c r="BN8" s="82" t="s">
        <v>8</v>
      </c>
    </row>
    <row r="9" spans="2:66" ht="15.95" customHeight="1" thickTop="1" thickBot="1" x14ac:dyDescent="0.3">
      <c r="V9" s="32" t="s">
        <v>3</v>
      </c>
      <c r="W9" s="75" cm="1">
        <f t="array" ref="W9">SUM(SUM(
SUMPRODUCT(INDEX(Glasgow_PerC, $AR$3:$AR$5, $AN$3)*INDEX(TRit4088[], $AN$3, IF($AP6-$AR$3:$AR$5 &lt;= 0,  ($AP6-$AR$3:$AR$5 + COUNT(variable_t)), $AP6-$AR$3:$AR$5))),
SUMPRODUCT(INDEX(Manchester_PerC, $AR$3:$AR$5, $AN$3)*INDEX(TRit4088[], $AN$4, IF($AP6-$AR$3:$AR$5 &lt;= 0,  ($AP6-$AR$3:$AR$5 + COUNT(variable_t)), $AP6-$AR$3:$AR$5))),
SUMPRODUCT(INDEX(Birmingham_PerC, $AR$3:$AR$5, $AN$3)*INDEX(TRit4088[], $AN$5, IF($AP6-$AR$3:$AR$5 &lt;= 0,  ($AP6-$AR$3:$AR$5 + COUNT(variable_t)), $AP6-$AR$3:$AR$5))),
SUMPRODUCT(INDEX(Plymouth_PerC, $AR$3:$AR$5, $AN$3)*INDEX(TRit4088[], $AN$6, IF($AP6-$AR$3:$AR$5 &lt;= 0,  ($AP6-$AR$3:$AR$5 + COUNT(variable_t)), $AP6-$AR$3:$AR$5))))/100*
Undamaged_CarsPerC/100,
SUM(
INDEX(TU1jt4593[],  $AN$3, IF($AP6-1 = 0,  ($AP6-1 + COUNT(variable_t)), $AP6-1)),
INDEX(TU2jt4694[],  $AN$3, IF($AP6-1 = 0,  ($AP6-1 + COUNT(variable_t)), $AP6-1)),
INDEX(TU3jt4795[],  $AN$3, IF($AP6-1 = 0,  ($AP6-1 + COUNT(variable_t)), $AP6-1)),
INDEX(TU4jt4896[],  $AN$3, IF($AP6-1 = 0,  ($AP6-1 + COUNT(variable_t)), $AP6-1))),
INDEX(RPit4189[], $AN$3, IF($AP6-1 = 0,  ($AP6-1 + COUNT(variable_t)), $AP6-1)),
INDEX(EUit4492[], $AN$3, IF($AP6-1 = 0,  ($AP6-1 + COUNT(varable_t)), $AP6-1)),
)</f>
        <v>0</v>
      </c>
      <c r="X9" s="76" t="s">
        <v>34</v>
      </c>
      <c r="Y9" s="77" cm="1">
        <f t="array" ref="Y9">INDEX(NUit53101[], $AN$3, $AP6)</f>
        <v>0</v>
      </c>
      <c r="Z9" s="76"/>
      <c r="AA9" s="75" cm="1">
        <f t="array" ref="AA9">SUM(SUM(
SUMPRODUCT(INDEX(Glasgow_PerC, $AR$3:$AR$5, $AN$4)*INDEX(TRit4088[], $AN$3, IF($AP6-$AR$3:$AR$5 &lt;= 0,  ($AP6-$AR$3:$AR$5 + COUNT(variable_t)), $AP6-$AR$3:$AR$5))),
SUMPRODUCT(INDEX(Manchester_PerC, $AR$3:$AR$5, $AN$4)*INDEX(TRit4088[], $AN$4, IF($AP6-$AR$3:$AR$5 &lt;= 0,  ($AP6-$AR$3:$AR$5 + COUNT(variable_t)), $AP6-$AR$3:$AR$5))),
SUMPRODUCT(INDEX(Birmingham_PerC, $AR$3:$AR$5, $AN$4)*INDEX(TRit4088[], $AN$5, IF($AP6-$AR$3:$AR$5 &lt;= 0,  ($AP6-$AR$3:$AR$5 + COUNT(variable_t)), $AP6-$AR$3:$AR$5))),
SUMPRODUCT(INDEX(Plymouth_PerC, $AR$3:$AR$5, $AN$4)*INDEX(TRit4088[], $AN$6, IF($AP6-$AR$3:$AR$5 &lt;= 0,  ($AP6-$AR$3:$AR$5 + COUNT(variable_t)), $AP6-$AR$3:$AR$5))))/100*
Undamaged_CarsPerC/100,
SUM(
INDEX(TU1jt4593[],  $AN$4, IF($AP6-1 = 0,  ($AP6-1 + COUNT(variable_t)), $AP6-1)),
INDEX(TU2jt4694[],  $AN$4, IF($AP6-1 = 0,  ($AP6-1 + COUNT(variable_t)), $AP6-1)),
INDEX(TU3jt4795[],  $AN$4, IF($AP6-1 = 0,  ($AP6-1 + COUNT(variable_t)), $AP6-1)),
INDEX(TU4jt4896[],  $AN$4, IF($AP6-1 = 0,  ($AP6-1 + COUNT(variable_t)), $AP6-1))),
INDEX(RPit4189[], $AN$4, IF($AP6-1 = 0,  ($AP6-1 + COUNT(variable_t)), $AP6-1)),
INDEX(EUit4492[], $AN$4, IF($AP6-1 = 0,  ($AP6-1 + COUNT(variable_t)), $AP6-1)),
)</f>
        <v>0</v>
      </c>
      <c r="AB9" s="76" t="s">
        <v>34</v>
      </c>
      <c r="AC9" s="77" cm="1">
        <f t="array" ref="AC9">INDEX(NUit53101[], $AN$4, $AP6)</f>
        <v>0</v>
      </c>
      <c r="AD9" s="76"/>
      <c r="AE9" s="75" cm="1">
        <f t="array" ref="AE9">SUM(SUM(
SUMPRODUCT(INDEX(Glasgow_PerC, $AR$3:$AR$5, $AN$5)*INDEX(TRit4088[], $AN$3, IF($AP6-$AR$3:$AR$5 &lt;= 0,  ($AP6-$AR$3:$AR$5 + COUNT(variable_t)), $AP6-$AR$3:$AR$5))),
SUMPRODUCT(INDEX(Manchester_PerC, $AR$3:$AR$5, $AN$5)*INDEX(TRit4088[], $AN$4, IF($AP6-$AR$3:$AR$5 &lt;= 0,  ($AP6-$AR$3:$AR$5 + COUNT(variable_t)), $AP6-$AR$3:$AR$5))),
SUMPRODUCT(INDEX(Birmingham_PerC, $AR$3:$AR$5, $AN$5)*INDEX(TRit4088[], $AN$5, IF($AP6-$AR$3:$AR$5 &lt;= 0,  ($AP6-$AR$3:$AR$5 + COUNT(variable_t)), $AP6-$AR$3:$AR$5))),
SUMPRODUCT(INDEX(Plymouth_PerC, $AR$3:$AR$5, $AN$5)*INDEX(TRit4088[], $AN$6, IF($AP6-$AR$3:$AR$5 &lt;= 0,  ($AP6-$AR$3:$AR$5 + COUNT(variable_t)), $AP6-$AR$3:$AR$5))))/100*
Undamaged_CarsPerC/100,
SUM(
INDEX(TU1jt4593[],  $AN$5, IF($AP6-1 = 0,  ($AP6-1 + COUNT(variable_t)), $AP6-1)),
INDEX(TU2jt4694[],  $AN$5, IF($AP6-1 = 0,  ($AP6-1 + COUNT(variable_t)), $AP6-1)),
INDEX(TU3jt4795[],  $AN$5, IF($AP6-1 = 0,  ($AP6-1 + COUNT(variable_t)), $AP6-1)),
INDEX(TU4jt4896[],  $AN$5, IF($AP6-1 = 0,  ($AP6-1 + COUNT(variable_t)), $AP6-1))),
INDEX(RPit4189[], $AN$5, IF($AP6-1 = 0,  ($AP6-1 + COUNT(variable_t)), $AP6-1)),
INDEX(EUit4492[], $AN$5, IF($AP6-1 = 0,  ($AP6-1 + COUNT(variable_t)), $AP6-1)),
)</f>
        <v>0</v>
      </c>
      <c r="AF9" s="76" t="s">
        <v>34</v>
      </c>
      <c r="AG9" s="77" cm="1">
        <f t="array" ref="AG9">INDEX(NUit53101[], $AN$5, $AP6)</f>
        <v>0</v>
      </c>
      <c r="AH9" s="76"/>
      <c r="AI9" s="75" cm="1">
        <f t="array" ref="AI9">SUM(SUM(
SUMPRODUCT(INDEX(Glasgow_PerC, $AR$3:$AR$5, $AN$6)*INDEX(TRit4088[], $AN$3, IF($AP6-$AR$3:$AR$5 &lt;= 0,  ($AP6-$AR$3:$AR$5 + COUNT(variable_t)), $AP6-$AR$3:$AR$5))),
SUMPRODUCT(INDEX(Manchester_PerC, $AR$3:$AR$5, $AN$6)*INDEX(TRit4088[], $AN$4, IF($AP6-$AR$3:$AR$5 &lt;= 0,  ($AP6-$AR$3:$AR$5 + COUNT(variable_t)), $AP6-$AR$3:$AR$5))),
SUMPRODUCT(INDEX(Birmingham_PerC, $AR$3:$AR$5, $AN$6)*INDEX(TRit4088[], $AN$5, IF($AP6-$AR$3:$AR$5 &lt;= 0,  ($AP6-$AR$3:$AR$5 + COUNT(variable_t)), $AP6-$AR$3:$AR$5))),
SUMPRODUCT(INDEX(Plymouth_PerC, $AR$3:$AR$5, $AN$6)*INDEX(TRit4088[], $AN$6, IF($AP6-$AR$3:$AR$5 &lt;= 0,  ($AP6-$AR$3:$AR$5 + COUNT(variable_t)), $AP6-$AR$3:$AR$5))))/100*
Undamaged_CarsPerC/100,
SUM(
INDEX(TU1jt4593[],  $AN$6, IF($AP6-1 = 0,  ($AP6-1 + COUNT(variable_t)), $AP6-1)),
INDEX(TU2jt4694[],  $AN$6, IF($AP6-1 = 0,  ($AP6-1 + COUNT(variable_t)), $AP6-1)),
INDEX(TU3jt4795[],  $AN$6, IF($AP6-1 = 0,  ($AP6-1 + COUNT(variable_t)), $AP6-1)),
INDEX(TU4jt4896[],  $AN$6, IF($AP6-1 = 0,  ($AP6-1 + COUNT(variable_t)), $AP6-1))),
INDEX(RPit4189[], $AN$6, IF($AP6-1 = 0,  ($AP6-1 + COUNT(variable_t)), $AP6-1)),
INDEX(EUit4492[], $AN$6, IF($AP6-1 = 0,  ($AP6-1 + COUNT(variable_t)), $AP6-1)),
)</f>
        <v>0</v>
      </c>
      <c r="AJ9" s="76" t="s">
        <v>34</v>
      </c>
      <c r="AK9" s="77" cm="1">
        <f t="array" ref="AK9">INDEX(NUit53101[], $AN$6, $AP6)</f>
        <v>0</v>
      </c>
      <c r="AL9" s="31"/>
      <c r="BJ9" s="14" t="s">
        <v>0</v>
      </c>
      <c r="BK9" s="47">
        <v>100</v>
      </c>
      <c r="BL9" s="3">
        <v>250</v>
      </c>
      <c r="BM9" s="3">
        <v>95</v>
      </c>
      <c r="BN9" s="49">
        <v>160</v>
      </c>
    </row>
    <row r="10" spans="2:66" ht="15.95" customHeight="1" thickTop="1" thickBot="1" x14ac:dyDescent="0.3">
      <c r="B10" s="27"/>
      <c r="C10" s="28"/>
      <c r="D10" s="28"/>
      <c r="E10" s="28"/>
      <c r="F10" s="28"/>
      <c r="G10" s="28"/>
      <c r="H10" s="28"/>
      <c r="I10" s="28"/>
      <c r="J10" s="29"/>
      <c r="U10" s="5" t="s">
        <v>77</v>
      </c>
      <c r="V10" s="32" t="s">
        <v>4</v>
      </c>
      <c r="W10" s="75" cm="1">
        <f t="array" ref="W10">SUM(SUM(
SUMPRODUCT(INDEX(Glasgow_PerC, $AR$3:$AR$5, $AN$3)*INDEX(TRit4088[], $AN$3, IF($AP7-$AR$3:$AR$5 &lt;= 0,  ($AP7-$AR$3:$AR$5 + COUNT(variable_t)), $AP7-$AR$3:$AR$5))),
SUMPRODUCT(INDEX(Manchester_PerC, $AR$3:$AR$5, $AN$3)*INDEX(TRit4088[], $AN$4, IF($AP7-$AR$3:$AR$5 &lt;= 0,  ($AP7-$AR$3:$AR$5 + COUNT(variable_t)), $AP7-$AR$3:$AR$5))),
SUMPRODUCT(INDEX(Birmingham_PerC, $AR$3:$AR$5, $AN$3)*INDEX(TRit4088[], $AN$5, IF($AP7-$AR$3:$AR$5 &lt;= 0,  ($AP7-$AR$3:$AR$5 + COUNT(variable_t)), $AP7-$AR$3:$AR$5))),
SUMPRODUCT(INDEX(Plymouth_PerC, $AR$3:$AR$5, $AN$3)*INDEX(TRit4088[], $AN$6, IF($AP7-$AR$3:$AR$5 &lt;= 0,  ($AP7-$AR$3:$AR$5 + COUNT(variable_t)), $AP7-$AR$3:$AR$5))))/100*
Undamaged_CarsPerC/100,
SUM(
INDEX(TU1jt4593[],  $AN$3, IF($AP7-1 = 0,  ($AP7-1 + COUNT(variable_t)), $AP7-1)),
INDEX(TU2jt4694[],  $AN$3, IF($AP7-1 = 0,  ($AP7-1 + COUNT(variable_t)), $AP7-1)),
INDEX(TU3jt4795[],  $AN$3, IF($AP7-1 = 0,  ($AP7-1 + COUNT(variable_t)), $AP7-1)),
INDEX(TU4jt4896[],  $AN$3, IF($AP7-1 = 0,  ($AP7-1 + COUNT(variable_t)), $AP7-1))),
INDEX(RPit4189[], $AN$3, IF($AP7-1 = 0,  ($AP7-1 + COUNT(variable_t)), $AP7-1)),
INDEX(EUit4492[], $AN$3, IF($AP7-1 = 0,  ($AP7-1 + COUNT(varable_t)), $AP7-1)),
)</f>
        <v>0</v>
      </c>
      <c r="X10" s="76" t="s">
        <v>34</v>
      </c>
      <c r="Y10" s="77" cm="1">
        <f t="array" ref="Y10">INDEX(NUit53101[], $AN$3, $AP7)</f>
        <v>0</v>
      </c>
      <c r="Z10" s="76"/>
      <c r="AA10" s="75" cm="1">
        <f t="array" ref="AA10">SUM(SUM(
SUMPRODUCT(INDEX(Glasgow_PerC, $AR$3:$AR$5, $AN$4)*INDEX(TRit4088[], $AN$3, IF($AP7-$AR$3:$AR$5 &lt;= 0,  ($AP7-$AR$3:$AR$5 + COUNT(variable_t)), $AP7-$AR$3:$AR$5))),
SUMPRODUCT(INDEX(Manchester_PerC, $AR$3:$AR$5, $AN$4)*INDEX(TRit4088[], $AN$4, IF($AP7-$AR$3:$AR$5 &lt;= 0,  ($AP7-$AR$3:$AR$5 + COUNT(variable_t)), $AP7-$AR$3:$AR$5))),
SUMPRODUCT(INDEX(Birmingham_PerC, $AR$3:$AR$5, $AN$4)*INDEX(TRit4088[], $AN$5, IF($AP7-$AR$3:$AR$5 &lt;= 0,  ($AP7-$AR$3:$AR$5 + COUNT(variable_t)), $AP7-$AR$3:$AR$5))),
SUMPRODUCT(INDEX(Plymouth_PerC, $AR$3:$AR$5, $AN$4)*INDEX(TRit4088[], $AN$6, IF($AP7-$AR$3:$AR$5 &lt;= 0,  ($AP7-$AR$3:$AR$5 + COUNT(variable_t)), $AP7-$AR$3:$AR$5))))/100*
Undamaged_CarsPerC/100,
SUM(
INDEX(TU1jt4593[],  $AN$4, IF($AP7-1 = 0,  ($AP7-1 + COUNT(variable_t)), $AP7-1)),
INDEX(TU2jt4694[],  $AN$4, IF($AP7-1 = 0,  ($AP7-1 + COUNT(variable_t)), $AP7-1)),
INDEX(TU3jt4795[],  $AN$4, IF($AP7-1 = 0,  ($AP7-1 + COUNT(variable_t)), $AP7-1)),
INDEX(TU4jt4896[],  $AN$4, IF($AP7-1 = 0,  ($AP7-1 + COUNT(variable_t)), $AP7-1))),
INDEX(RPit4189[], $AN$4, IF($AP7-1 = 0,  ($AP7-1 + COUNT(variable_t)), $AP7-1)),
INDEX(EUit4492[], $AN$4, IF($AP7-1 = 0,  ($AP7-1 + COUNT(variable_t)), $AP7-1)),
)</f>
        <v>0</v>
      </c>
      <c r="AB10" s="76" t="s">
        <v>34</v>
      </c>
      <c r="AC10" s="77" cm="1">
        <f t="array" ref="AC10">INDEX(NUit53101[], $AN$4, $AP7)</f>
        <v>0</v>
      </c>
      <c r="AD10" s="76"/>
      <c r="AE10" s="75" cm="1">
        <f t="array" ref="AE10">SUM(SUM(
SUMPRODUCT(INDEX(Glasgow_PerC, $AR$3:$AR$5, $AN$5)*INDEX(TRit4088[], $AN$3, IF($AP7-$AR$3:$AR$5 &lt;= 0,  ($AP7-$AR$3:$AR$5 + COUNT(variable_t)), $AP7-$AR$3:$AR$5))),
SUMPRODUCT(INDEX(Manchester_PerC, $AR$3:$AR$5, $AN$5)*INDEX(TRit4088[], $AN$4, IF($AP7-$AR$3:$AR$5 &lt;= 0,  ($AP7-$AR$3:$AR$5 + COUNT(variable_t)), $AP7-$AR$3:$AR$5))),
SUMPRODUCT(INDEX(Birmingham_PerC, $AR$3:$AR$5, $AN$5)*INDEX(TRit4088[], $AN$5, IF($AP7-$AR$3:$AR$5 &lt;= 0,  ($AP7-$AR$3:$AR$5 + COUNT(variable_t)), $AP7-$AR$3:$AR$5))),
SUMPRODUCT(INDEX(Plymouth_PerC, $AR$3:$AR$5, $AN$5)*INDEX(TRit4088[], $AN$6, IF($AP7-$AR$3:$AR$5 &lt;= 0,  ($AP7-$AR$3:$AR$5 + COUNT(variable_t)), $AP7-$AR$3:$AR$5))))/100*
Undamaged_CarsPerC/100,
SUM(
INDEX(TU1jt4593[],  $AN$5, IF($AP7-1 = 0,  ($AP7-1 + COUNT(variable_t)), $AP7-1)),
INDEX(TU2jt4694[],  $AN$5, IF($AP7-1 = 0,  ($AP7-1 + COUNT(variable_t)), $AP7-1)),
INDEX(TU3jt4795[],  $AN$5, IF($AP7-1 = 0,  ($AP7-1 + COUNT(variable_t)), $AP7-1)),
INDEX(TU4jt4896[],  $AN$5, IF($AP7-1 = 0,  ($AP7-1 + COUNT(variable_t)), $AP7-1))),
INDEX(RPit4189[], $AN$5, IF($AP7-1 = 0,  ($AP7-1 + COUNT(variable_t)), $AP7-1)),
INDEX(EUit4492[], $AN$5, IF($AP7-1 = 0,  ($AP7-1 + COUNT(variable_t)), $AP7-1)),
)</f>
        <v>0</v>
      </c>
      <c r="AF10" s="76" t="s">
        <v>34</v>
      </c>
      <c r="AG10" s="77" cm="1">
        <f t="array" ref="AG10">INDEX(NUit53101[], $AN$5, $AP7)</f>
        <v>0</v>
      </c>
      <c r="AH10" s="76"/>
      <c r="AI10" s="75" cm="1">
        <f t="array" ref="AI10">SUM(SUM(
SUMPRODUCT(INDEX(Glasgow_PerC, $AR$3:$AR$5, $AN$6)*INDEX(TRit4088[], $AN$3, IF($AP7-$AR$3:$AR$5 &lt;= 0,  ($AP7-$AR$3:$AR$5 + COUNT(variable_t)), $AP7-$AR$3:$AR$5))),
SUMPRODUCT(INDEX(Manchester_PerC, $AR$3:$AR$5, $AN$6)*INDEX(TRit4088[], $AN$4, IF($AP7-$AR$3:$AR$5 &lt;= 0,  ($AP7-$AR$3:$AR$5 + COUNT(variable_t)), $AP7-$AR$3:$AR$5))),
SUMPRODUCT(INDEX(Birmingham_PerC, $AR$3:$AR$5, $AN$6)*INDEX(TRit4088[], $AN$5, IF($AP7-$AR$3:$AR$5 &lt;= 0,  ($AP7-$AR$3:$AR$5 + COUNT(variable_t)), $AP7-$AR$3:$AR$5))),
SUMPRODUCT(INDEX(Plymouth_PerC, $AR$3:$AR$5, $AN$6)*INDEX(TRit4088[], $AN$6, IF($AP7-$AR$3:$AR$5 &lt;= 0,  ($AP7-$AR$3:$AR$5 + COUNT(variable_t)), $AP7-$AR$3:$AR$5))))/100*
Undamaged_CarsPerC/100,
SUM(
INDEX(TU1jt4593[],  $AN$6, IF($AP7-1 = 0,  ($AP7-1 + COUNT(variable_t)), $AP7-1)),
INDEX(TU2jt4694[],  $AN$6, IF($AP7-1 = 0,  ($AP7-1 + COUNT(variable_t)), $AP7-1)),
INDEX(TU3jt4795[],  $AN$6, IF($AP7-1 = 0,  ($AP7-1 + COUNT(variable_t)), $AP7-1)),
INDEX(TU4jt4896[],  $AN$6, IF($AP7-1 = 0,  ($AP7-1 + COUNT(variable_t)), $AP7-1))),
INDEX(RPit4189[], $AN$6, IF($AP7-1 = 0,  ($AP7-1 + COUNT(variable_t)), $AP7-1)),
INDEX(EUit4492[], $AN$6, IF($AP7-1 = 0,  ($AP7-1 + COUNT(variable_t)), $AP7-1)),
)</f>
        <v>0</v>
      </c>
      <c r="AJ10" s="76" t="s">
        <v>34</v>
      </c>
      <c r="AK10" s="77" cm="1">
        <f t="array" ref="AK10">INDEX(NUit53101[], $AN$6, $AP7)</f>
        <v>0</v>
      </c>
      <c r="AL10" s="31"/>
      <c r="BJ10" s="14" t="s">
        <v>1</v>
      </c>
      <c r="BK10" s="48">
        <v>150</v>
      </c>
      <c r="BL10" s="4">
        <v>143</v>
      </c>
      <c r="BM10" s="4">
        <v>195</v>
      </c>
      <c r="BN10" s="50">
        <v>99</v>
      </c>
    </row>
    <row r="11" spans="2:66" ht="26.25" thickBot="1" x14ac:dyDescent="0.3">
      <c r="B11" s="30"/>
      <c r="C11" s="36" t="s">
        <v>44</v>
      </c>
      <c r="D11" s="45" t="s">
        <v>46</v>
      </c>
      <c r="E11" s="45" t="s">
        <v>47</v>
      </c>
      <c r="F11" s="45" t="s">
        <v>48</v>
      </c>
      <c r="G11" s="46" t="s">
        <v>49</v>
      </c>
      <c r="H11" s="45" t="s">
        <v>50</v>
      </c>
      <c r="I11" s="56" t="s">
        <v>51</v>
      </c>
      <c r="J11" s="31"/>
      <c r="V11" s="32" t="s">
        <v>5</v>
      </c>
      <c r="W11" s="75" cm="1">
        <f t="array" ref="W11">SUM(SUM(
SUMPRODUCT(INDEX(Glasgow_PerC, $AR$3:$AR$5, $AN$3)*INDEX(TRit4088[], $AN$3, IF($AP8-$AR$3:$AR$5 &lt;= 0,  ($AP8-$AR$3:$AR$5 + COUNT(variable_t)), $AP8-$AR$3:$AR$5))),
SUMPRODUCT(INDEX(Manchester_PerC, $AR$3:$AR$5, $AN$3)*INDEX(TRit4088[], $AN$4, IF($AP8-$AR$3:$AR$5 &lt;= 0,  ($AP8-$AR$3:$AR$5 + COUNT(variable_t)), $AP8-$AR$3:$AR$5))),
SUMPRODUCT(INDEX(Birmingham_PerC, $AR$3:$AR$5, $AN$3)*INDEX(TRit4088[], $AN$5, IF($AP8-$AR$3:$AR$5 &lt;= 0,  ($AP8-$AR$3:$AR$5 + COUNT(variable_t)), $AP8-$AR$3:$AR$5))),
SUMPRODUCT(INDEX(Plymouth_PerC, $AR$3:$AR$5, $AN$3)*INDEX(TRit4088[], $AN$6, IF($AP8-$AR$3:$AR$5 &lt;= 0,  ($AP8-$AR$3:$AR$5 + COUNT(variable_t)), $AP8-$AR$3:$AR$5))))/100*
Undamaged_CarsPerC/100,
SUM(
INDEX(TU1jt4593[],  $AN$3, IF($AP8-1 = 0,  ($AP8-1 + COUNT(variable_t)), $AP8-1)),
INDEX(TU2jt4694[],  $AN$3, IF($AP8-1 = 0,  ($AP8-1 + COUNT(variable_t)), $AP8-1)),
INDEX(TU3jt4795[],  $AN$3, IF($AP8-1 = 0,  ($AP8-1 + COUNT(variable_t)), $AP8-1)),
INDEX(TU4jt4896[],  $AN$3, IF($AP8-1 = 0,  ($AP8-1 + COUNT(variable_t)), $AP8-1))),
INDEX(RPit4189[], $AN$3, IF($AP8-1 = 0,  ($AP8-1 + COUNT(variable_t)), $AP8-1)),
INDEX(EUit4492[], $AN$3, IF($AP8-1 = 0,  ($AP8-1 + COUNT(varable_t)), $AP8-1)),
)</f>
        <v>0</v>
      </c>
      <c r="X11" s="76" t="s">
        <v>34</v>
      </c>
      <c r="Y11" s="77" cm="1">
        <f t="array" ref="Y11">INDEX(NUit53101[], $AN$3, $AP8)</f>
        <v>0</v>
      </c>
      <c r="Z11" s="76"/>
      <c r="AA11" s="75" cm="1">
        <f t="array" ref="AA11">SUM(SUM(
SUMPRODUCT(INDEX(Glasgow_PerC, $AR$3:$AR$5, $AN$4)*INDEX(TRit4088[], $AN$3, IF($AP8-$AR$3:$AR$5 &lt;= 0,  ($AP8-$AR$3:$AR$5 + COUNT(variable_t)), $AP8-$AR$3:$AR$5))),
SUMPRODUCT(INDEX(Manchester_PerC, $AR$3:$AR$5, $AN$4)*INDEX(TRit4088[], $AN$4, IF($AP8-$AR$3:$AR$5 &lt;= 0,  ($AP8-$AR$3:$AR$5 + COUNT(variable_t)), $AP8-$AR$3:$AR$5))),
SUMPRODUCT(INDEX(Birmingham_PerC, $AR$3:$AR$5, $AN$4)*INDEX(TRit4088[], $AN$5, IF($AP8-$AR$3:$AR$5 &lt;= 0,  ($AP8-$AR$3:$AR$5 + COUNT(variable_t)), $AP8-$AR$3:$AR$5))),
SUMPRODUCT(INDEX(Plymouth_PerC, $AR$3:$AR$5, $AN$4)*INDEX(TRit4088[], $AN$6, IF($AP8-$AR$3:$AR$5 &lt;= 0,  ($AP8-$AR$3:$AR$5 + COUNT(variable_t)), $AP8-$AR$3:$AR$5))))/100*
Undamaged_CarsPerC/100,
SUM(
INDEX(TU1jt4593[],  $AN$4, IF($AP8-1 = 0,  ($AP8-1 + COUNT(variable_t)), $AP8-1)),
INDEX(TU2jt4694[],  $AN$4, IF($AP8-1 = 0,  ($AP8-1 + COUNT(variable_t)), $AP8-1)),
INDEX(TU3jt4795[],  $AN$4, IF($AP8-1 = 0,  ($AP8-1 + COUNT(variable_t)), $AP8-1)),
INDEX(TU4jt4896[],  $AN$4, IF($AP8-1 = 0,  ($AP8-1 + COUNT(variable_t)), $AP8-1))),
INDEX(RPit4189[], $AN$4, IF($AP8-1 = 0,  ($AP8-1 + COUNT(variable_t)), $AP8-1)),
INDEX(EUit4492[], $AN$4, IF($AP8-1 = 0,  ($AP8-1 + COUNT(variable_t)), $AP8-1)),
)</f>
        <v>0</v>
      </c>
      <c r="AB11" s="76" t="s">
        <v>34</v>
      </c>
      <c r="AC11" s="77" cm="1">
        <f t="array" ref="AC11">INDEX(NUit53101[], $AN$4, $AP8)</f>
        <v>0</v>
      </c>
      <c r="AD11" s="76"/>
      <c r="AE11" s="75" cm="1">
        <f t="array" ref="AE11">SUM(SUM(
SUMPRODUCT(INDEX(Glasgow_PerC, $AR$3:$AR$5, $AN$5)*INDEX(TRit4088[], $AN$3, IF($AP8-$AR$3:$AR$5 &lt;= 0,  ($AP8-$AR$3:$AR$5 + COUNT(variable_t)), $AP8-$AR$3:$AR$5))),
SUMPRODUCT(INDEX(Manchester_PerC, $AR$3:$AR$5, $AN$5)*INDEX(TRit4088[], $AN$4, IF($AP8-$AR$3:$AR$5 &lt;= 0,  ($AP8-$AR$3:$AR$5 + COUNT(variable_t)), $AP8-$AR$3:$AR$5))),
SUMPRODUCT(INDEX(Birmingham_PerC, $AR$3:$AR$5, $AN$5)*INDEX(TRit4088[], $AN$5, IF($AP8-$AR$3:$AR$5 &lt;= 0,  ($AP8-$AR$3:$AR$5 + COUNT(variable_t)), $AP8-$AR$3:$AR$5))),
SUMPRODUCT(INDEX(Plymouth_PerC, $AR$3:$AR$5, $AN$5)*INDEX(TRit4088[], $AN$6, IF($AP8-$AR$3:$AR$5 &lt;= 0,  ($AP8-$AR$3:$AR$5 + COUNT(variable_t)), $AP8-$AR$3:$AR$5))))/100*
Undamaged_CarsPerC/100,
SUM(
INDEX(TU1jt4593[],  $AN$5, IF($AP8-1 = 0,  ($AP8-1 + COUNT(variable_t)), $AP8-1)),
INDEX(TU2jt4694[],  $AN$5, IF($AP8-1 = 0,  ($AP8-1 + COUNT(variable_t)), $AP8-1)),
INDEX(TU3jt4795[],  $AN$5, IF($AP8-1 = 0,  ($AP8-1 + COUNT(variable_t)), $AP8-1)),
INDEX(TU4jt4896[],  $AN$5, IF($AP8-1 = 0,  ($AP8-1 + COUNT(variable_t)), $AP8-1))),
INDEX(RPit4189[], $AN$5, IF($AP8-1 = 0,  ($AP8-1 + COUNT(variable_t)), $AP8-1)),
INDEX(EUit4492[], $AN$5, IF($AP8-1 = 0,  ($AP8-1 + COUNT(variable_t)), $AP8-1)),
)</f>
        <v>0</v>
      </c>
      <c r="AF11" s="76" t="s">
        <v>34</v>
      </c>
      <c r="AG11" s="77" cm="1">
        <f t="array" ref="AG11">INDEX(NUit53101[], $AN$5, $AP8)</f>
        <v>0</v>
      </c>
      <c r="AH11" s="76"/>
      <c r="AI11" s="75" cm="1">
        <f t="array" ref="AI11">SUM(SUM(
SUMPRODUCT(INDEX(Glasgow_PerC, $AR$3:$AR$5, $AN$6)*INDEX(TRit4088[], $AN$3, IF($AP8-$AR$3:$AR$5 &lt;= 0,  ($AP8-$AR$3:$AR$5 + COUNT(variable_t)), $AP8-$AR$3:$AR$5))),
SUMPRODUCT(INDEX(Manchester_PerC, $AR$3:$AR$5, $AN$6)*INDEX(TRit4088[], $AN$4, IF($AP8-$AR$3:$AR$5 &lt;= 0,  ($AP8-$AR$3:$AR$5 + COUNT(variable_t)), $AP8-$AR$3:$AR$5))),
SUMPRODUCT(INDEX(Birmingham_PerC, $AR$3:$AR$5, $AN$6)*INDEX(TRit4088[], $AN$5, IF($AP8-$AR$3:$AR$5 &lt;= 0,  ($AP8-$AR$3:$AR$5 + COUNT(variable_t)), $AP8-$AR$3:$AR$5))),
SUMPRODUCT(INDEX(Plymouth_PerC, $AR$3:$AR$5, $AN$6)*INDEX(TRit4088[], $AN$6, IF($AP8-$AR$3:$AR$5 &lt;= 0,  ($AP8-$AR$3:$AR$5 + COUNT(variable_t)), $AP8-$AR$3:$AR$5))))/100*
Undamaged_CarsPerC/100,
SUM(
INDEX(TU1jt4593[],  $AN$6, IF($AP8-1 = 0,  ($AP8-1 + COUNT(variable_t)), $AP8-1)),
INDEX(TU2jt4694[],  $AN$6, IF($AP8-1 = 0,  ($AP8-1 + COUNT(variable_t)), $AP8-1)),
INDEX(TU3jt4795[],  $AN$6, IF($AP8-1 = 0,  ($AP8-1 + COUNT(variable_t)), $AP8-1)),
INDEX(TU4jt4896[],  $AN$6, IF($AP8-1 = 0,  ($AP8-1 + COUNT(variable_t)), $AP8-1))),
INDEX(RPit4189[], $AN$6, IF($AP8-1 = 0,  ($AP8-1 + COUNT(variable_t)), $AP8-1)),
INDEX(EUit4492[], $AN$6, IF($AP8-1 = 0,  ($AP8-1 + COUNT(variable_t)), $AP8-1)),
)</f>
        <v>0</v>
      </c>
      <c r="AJ11" s="76" t="s">
        <v>34</v>
      </c>
      <c r="AK11" s="77" cm="1">
        <f t="array" ref="AK11">INDEX(NUit53101[], $AN$6, $AP8)</f>
        <v>0</v>
      </c>
      <c r="AL11" s="31"/>
      <c r="BJ11" s="14" t="s">
        <v>2</v>
      </c>
      <c r="BK11" s="48">
        <v>135</v>
      </c>
      <c r="BL11" s="4">
        <v>80</v>
      </c>
      <c r="BM11" s="4">
        <v>242</v>
      </c>
      <c r="BN11" s="50">
        <v>55</v>
      </c>
    </row>
    <row r="12" spans="2:66" ht="15.95" customHeight="1" thickBot="1" x14ac:dyDescent="0.3">
      <c r="B12" s="32"/>
      <c r="C12" s="23">
        <v>1</v>
      </c>
      <c r="D12" s="21">
        <v>0</v>
      </c>
      <c r="E12" s="21">
        <v>0</v>
      </c>
      <c r="F12" s="21">
        <v>0</v>
      </c>
      <c r="G12" s="20">
        <v>0</v>
      </c>
      <c r="H12" s="20">
        <v>0</v>
      </c>
      <c r="I12" s="54">
        <v>0</v>
      </c>
      <c r="J12" s="31"/>
      <c r="V12" s="33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34"/>
      <c r="BJ12" s="14" t="s">
        <v>3</v>
      </c>
      <c r="BK12" s="48">
        <v>83</v>
      </c>
      <c r="BL12" s="4">
        <v>225</v>
      </c>
      <c r="BM12" s="4">
        <v>111</v>
      </c>
      <c r="BN12" s="50">
        <v>96</v>
      </c>
    </row>
    <row r="13" spans="2:66" ht="15.95" customHeight="1" thickBot="1" x14ac:dyDescent="0.3">
      <c r="B13" s="32"/>
      <c r="C13" s="24">
        <v>2</v>
      </c>
      <c r="D13" s="22">
        <v>0</v>
      </c>
      <c r="E13" s="22">
        <v>0</v>
      </c>
      <c r="F13" s="22">
        <v>0</v>
      </c>
      <c r="G13" s="19">
        <v>0</v>
      </c>
      <c r="H13" s="19">
        <v>0</v>
      </c>
      <c r="I13" s="55">
        <v>0</v>
      </c>
      <c r="J13" s="31"/>
      <c r="BJ13" s="14" t="s">
        <v>4</v>
      </c>
      <c r="BK13" s="48">
        <v>120</v>
      </c>
      <c r="BL13" s="4">
        <v>210</v>
      </c>
      <c r="BM13" s="4">
        <v>70</v>
      </c>
      <c r="BN13" s="50">
        <v>115</v>
      </c>
    </row>
    <row r="14" spans="2:66" ht="15.95" customHeight="1" thickTop="1" thickBot="1" x14ac:dyDescent="0.3">
      <c r="B14" s="32"/>
      <c r="C14" s="24">
        <v>3</v>
      </c>
      <c r="D14" s="22">
        <v>0</v>
      </c>
      <c r="E14" s="22">
        <v>0</v>
      </c>
      <c r="F14" s="22">
        <v>0</v>
      </c>
      <c r="G14" s="19">
        <v>0</v>
      </c>
      <c r="H14" s="19">
        <v>0</v>
      </c>
      <c r="I14" s="55">
        <v>0</v>
      </c>
      <c r="J14" s="31"/>
      <c r="V14" s="27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9"/>
      <c r="BJ14" s="14" t="s">
        <v>5</v>
      </c>
      <c r="BK14" s="51">
        <v>230</v>
      </c>
      <c r="BL14" s="52">
        <v>98</v>
      </c>
      <c r="BM14" s="52">
        <v>124</v>
      </c>
      <c r="BN14" s="53">
        <v>80</v>
      </c>
    </row>
    <row r="15" spans="2:66" ht="15.95" customHeight="1" thickBot="1" x14ac:dyDescent="0.3">
      <c r="B15" s="32"/>
      <c r="C15" s="25">
        <v>4</v>
      </c>
      <c r="D15" s="57">
        <v>0</v>
      </c>
      <c r="E15" s="57">
        <v>0</v>
      </c>
      <c r="F15" s="57">
        <v>0</v>
      </c>
      <c r="G15" s="58">
        <v>0</v>
      </c>
      <c r="H15" s="58">
        <v>0</v>
      </c>
      <c r="I15" s="59">
        <v>0</v>
      </c>
      <c r="J15" s="31"/>
      <c r="V15" s="32"/>
      <c r="W15" s="149" t="s">
        <v>42</v>
      </c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49"/>
      <c r="AL15" s="31"/>
    </row>
    <row r="16" spans="2:66" ht="15.95" customHeight="1" thickBot="1" x14ac:dyDescent="0.3">
      <c r="B16" s="33"/>
      <c r="C16" s="26"/>
      <c r="D16" s="26"/>
      <c r="E16" s="26"/>
      <c r="F16" s="26"/>
      <c r="G16" s="26"/>
      <c r="H16" s="26"/>
      <c r="I16" s="26"/>
      <c r="J16" s="34"/>
      <c r="V16" s="32"/>
      <c r="W16" s="135"/>
      <c r="AL16" s="31"/>
    </row>
    <row r="17" spans="2:38" ht="15.95" customHeight="1" thickTop="1" thickBot="1" x14ac:dyDescent="0.3">
      <c r="V17" s="32"/>
      <c r="W17" s="150" t="s">
        <v>6</v>
      </c>
      <c r="X17" s="150"/>
      <c r="Y17" s="150"/>
      <c r="AA17" s="151" t="s">
        <v>9</v>
      </c>
      <c r="AB17" s="151"/>
      <c r="AC17" s="151"/>
      <c r="AE17" s="151" t="s">
        <v>7</v>
      </c>
      <c r="AF17" s="151"/>
      <c r="AG17" s="151"/>
      <c r="AI17" s="151" t="s">
        <v>8</v>
      </c>
      <c r="AJ17" s="151"/>
      <c r="AK17" s="151"/>
      <c r="AL17" s="31"/>
    </row>
    <row r="18" spans="2:38" ht="15.95" customHeight="1" thickTop="1" thickBot="1" x14ac:dyDescent="0.3">
      <c r="B18" s="27"/>
      <c r="C18" s="28"/>
      <c r="D18" s="28"/>
      <c r="E18" s="28"/>
      <c r="F18" s="28"/>
      <c r="G18" s="28"/>
      <c r="H18" s="28"/>
      <c r="I18" s="28"/>
      <c r="J18" s="29"/>
      <c r="V18" s="32" t="s">
        <v>0</v>
      </c>
      <c r="W18" s="75" cm="1">
        <f t="array" ref="W18">SUM(SUM(
SUMPRODUCT(INDEX(Glasgow_PerC, $AR$3:$AR$5, $AN$3)*INDEX(TRit4088[], $AN$3, IF($AP3-$AR$3:$AR$5 &lt;= 0,  ($AP3-$AR$3:$AR$5 + COUNT(variable_t)), $AP3-$AR$3:$AR$5))),
SUMPRODUCT(INDEX(Manchester_PerC, $AR$3:$AR$5, $AN$3)*INDEX(TRit4088[], $AN$4, IF($AP3-$AR$3:$AR$5 &lt;= 0,  ($AP3-$AR$3:$AR$5 + COUNT(variable_t)), $AP3-$AR$3:$AR$5))),
SUMPRODUCT(INDEX(Birmingham_PerC, $AR$3:$AR$5, $AN$3)*INDEX(TRit4088[], $AN$5, IF($AP3-$AR$3:$AR$5 &lt;= 0,  ($AP3-$AR$3:$AR$5 + COUNT(variable_t)), $AP3-$AR$3:$AR$5))),
SUMPRODUCT(INDEX(Plymouth_PerC, $AR$3:$AR$5, $AN$3)*INDEX(TRit4088[], $AN$6, IF($AP3-$AR$3:$AR$5 &lt;= 0,  ($AP3-$AR$3:$AR$5 + COUNT(variable_t)), $AP3-$AR$3:$AR$5))))/100*
Damaged_CarsPerC/100,
SUM(
INDEX(TU1jt4593[],  $AN$3, IF($AP3-1 = 0,  ($AP3-1 + COUNT(variable_t)), $AP3-1)),
INDEX(TU2jt4694[],  $AN$3, IF($AP3-1 = 0,  ($AP3-1 + COUNT(variable_t)), $AP3-1)),
INDEX(TU3jt4795[],  $AN$3, IF($AP3-1 = 0,  ($AP3-1 + COUNT(variable_t)), $AP3-1)),
INDEX(TU4jt4896[],  $AN$3, IF($AP3-1 = 0,  ($AP3-1 + COUNT(variable_t)), $AP3-1))),
INDEX(EUit4492[], $AN$3, IF($AP3-1 = 0,  ($AP3-1 + COUNT(variable_t)), $AP3-1)),
)</f>
        <v>0</v>
      </c>
      <c r="X18" s="76" t="s">
        <v>34</v>
      </c>
      <c r="Y18" s="77" cm="1">
        <f t="array" ref="Y18">INDEX(NDit4290[], $AN$3, $AP3)</f>
        <v>0</v>
      </c>
      <c r="Z18" s="76"/>
      <c r="AA18" s="75" cm="1">
        <f t="array" ref="AA18">SUM(SUM(
SUMPRODUCT(INDEX(Glasgow_PerC, $AR$3:$AR$5, $AN$4)*INDEX(TRit4088[], $AN$3, IF($AP3-$AR$3:$AR$5 &lt;= 0,  ($AP3-$AR$3:$AR$5 + COUNT(variable_t)), $AP3-$AR$3:$AR$5))),
SUMPRODUCT(INDEX(Manchester_PerC, $AR$3:$AR$5, $AN$4)*INDEX(TRit4088[], $AN$4, IF($AP3-$AR$3:$AR$5 &lt;= 0,  ($AP3-$AR$3:$AR$5 + COUNT(variable_t)), $AP3-$AR$3:$AR$5))),
SUMPRODUCT(INDEX(Birmingham_PerC, $AR$3:$AR$5, $AN$4)*INDEX(TRit4088[], $AN$5, IF($AP3-$AR$3:$AR$5 &lt;= 0,  ($AP3-$AR$3:$AR$5 + COUNT(variable_t)), $AP3-$AR$3:$AR$5))),
SUMPRODUCT(INDEX(Plymouth_PerC, $AR$3:$AR$5, $AN$4)*INDEX(TRit4088[], $AN$6, IF($AP3-$AR$3:$AR$5 &lt;= 0,  ($AP3-$AR$3:$AR$5 + COUNT(variable_t)), $AP3-$AR$3:$AR$5))))/100*
Damaged_CarsPerC/100,
SUM(
INDEX(TU1jt4593[],  $AN$4, IF($AP3-1 = 0,  ($AP3-1 + COUNT(variable_t)), $AP3-1)),
INDEX(TU2jt4694[],  $AN$4, IF($AP3-1 = 0,  ($AP3-1 + COUNT(variable_t)), $AP3-1)),
INDEX(TU3jt4795[],  $AN$4, IF($AP3-1 = 0,  ($AP3-1 + COUNT(variable_t)), $AP3-1)),
INDEX(TU4jt4896[],  $AN$4, IF($AP3-1 = 0,  ($AP3-1 + COUNT(variable_t)), $AP3-1))),
INDEX(EUit4492[], $AN$4, IF($AP3-1 = 0,  ($AP3-1 + COUNT(variable_t)), $AP3-1)),
)</f>
        <v>0</v>
      </c>
      <c r="AB18" s="76" t="s">
        <v>34</v>
      </c>
      <c r="AC18" s="77" cm="1">
        <f t="array" ref="AC18">INDEX(NDit4290[], $AN$4, $AP3)</f>
        <v>0</v>
      </c>
      <c r="AD18" s="76"/>
      <c r="AE18" s="75" cm="1">
        <f t="array" ref="AE18">SUM(SUM(
SUMPRODUCT(INDEX(Glasgow_PerC, $AR$3:$AR$5, $AN$5)*INDEX(TRit4088[], $AN$3, IF($AP3-$AR$3:$AR$5 &lt;= 0,  ($AP3-$AR$3:$AR$5 + COUNT(variable_t)), $AP3-$AR$3:$AR$5))),
SUMPRODUCT(INDEX(Manchester_PerC, $AR$3:$AR$5, $AN$5)*INDEX(TRit4088[], $AN$4, IF($AP3-$AR$3:$AR$5 &lt;= 0,  ($AP3-$AR$3:$AR$5 + COUNT(variable_t)), $AP3-$AR$3:$AR$5))),
SUMPRODUCT(INDEX(Birmingham_PerC, $AR$3:$AR$5, $AN$5)*INDEX(TRit4088[], $AN$5, IF($AP3-$AR$3:$AR$5 &lt;= 0,  ($AP3-$AR$3:$AR$5 + COUNT(variable_t)), $AP3-$AR$3:$AR$5))),
SUMPRODUCT(INDEX(Plymouth_PerC, $AR$3:$AR$5, $AN$5)*INDEX(TRit4088[], $AN$6, IF($AP3-$AR$3:$AR$5 &lt;= 0,  ($AP3-$AR$3:$AR$5 + COUNT(variable_t)), $AP3-$AR$3:$AR$5))))/100*
Damaged_CarsPerC/100,
SUM(
INDEX(TU1jt4593[],  $AN$5, IF($AP3-1 = 0,  ($AP3-1 + COUNT(variable_t)), $AP3-1)),
INDEX(TU2jt4694[],  $AN$5, IF($AP3-1 = 0,  ($AP3-1 + COUNT(variable_t)), $AP3-1)),
INDEX(TU3jt4795[],  $AN$5, IF($AP3-1 = 0,  ($AP3-1 + COUNT(variable_t)), $AP3-1)),
INDEX(TU4jt4896[],  $AN$5, IF($AP3-1 = 0,  ($AP3-1 + COUNT(variable_t)), $AP3-1))),
INDEX(EUit4492[], $AN$5, IF($AP3-1 = 0,  ($AP3-1 + COUNT(variable_t)), $AP3-1)),
)</f>
        <v>0</v>
      </c>
      <c r="AF18" s="76" t="s">
        <v>34</v>
      </c>
      <c r="AG18" s="77" cm="1">
        <f t="array" ref="AG18">INDEX(NDit4290[], $AN$5, $AP3)</f>
        <v>0</v>
      </c>
      <c r="AH18" s="76"/>
      <c r="AI18" s="75" cm="1">
        <f t="array" ref="AI18">SUM(SUM(
SUMPRODUCT(INDEX(Glasgow_PerC, $AR$3:$AR$5, $AN$6)*INDEX(TRit4088[], $AN$3, IF($AP3-$AR$3:$AR$5 &lt;= 0,  ($AP3-$AR$3:$AR$5 + COUNT(variable_t)), $AP3-$AR$3:$AR$5))),
SUMPRODUCT(INDEX(Manchester_PerC, $AR$3:$AR$5, $AN$6)*INDEX(TRit4088[], $AN$4, IF($AP3-$AR$3:$AR$5 &lt;= 0,  ($AP3-$AR$3:$AR$5 + COUNT(variable_t)), $AP3-$AR$3:$AR$5))),
SUMPRODUCT(INDEX(Birmingham_PerC, $AR$3:$AR$5, $AN$6)*INDEX(TRit4088[], $AN$5, IF($AP3-$AR$3:$AR$5 &lt;= 0,  ($AP3-$AR$3:$AR$5 + COUNT(variable_t)), $AP3-$AR$3:$AR$5))),
SUMPRODUCT(INDEX(Plymouth_PerC, $AR$3:$AR$5, $AN$6)*INDEX(TRit4088[], $AN$6, IF($AP3-$AR$3:$AR$5 &lt;= 0,  ($AP3-$AR$3:$AR$5 + COUNT(variable_t)), $AP3-$AR$3:$AR$5))))/100*
Damaged_CarsPerC/100,
SUM(
INDEX(TU1jt4593[],  $AN$6, IF($AP3-1 = 0,  ($AP3-1 + COUNT(variable_t)), $AP3-1)),
INDEX(TU2jt4694[],  $AN$6, IF($AP3-1 = 0,  ($AP3-1 + COUNT(variable_t)), $AP3-1)),
INDEX(TU3jt4795[],  $AN$6, IF($AP3-1 = 0,  ($AP3-1 + COUNT(variable_t)), $AP3-1)),
INDEX(TU4jt4896[],  $AN$6, IF($AP3-1 = 0,  ($AP3-1 + COUNT(variable_t)), $AP3-1))),
INDEX(EUit4492[], $AN$6, IF($AP3-1 = 0,  ($AP3-1 + COUNT(variable_t)), $AP3-1)),
)</f>
        <v>0</v>
      </c>
      <c r="AJ18" s="76" t="s">
        <v>34</v>
      </c>
      <c r="AK18" s="77" cm="1">
        <f t="array" ref="AK18">INDEX(NDit4290[], $AN$6, $AP3)</f>
        <v>0</v>
      </c>
      <c r="AL18" s="31"/>
    </row>
    <row r="19" spans="2:38" ht="26.25" thickBot="1" x14ac:dyDescent="0.3">
      <c r="B19" s="30"/>
      <c r="C19" s="36" t="s">
        <v>44</v>
      </c>
      <c r="D19" s="45" t="s">
        <v>46</v>
      </c>
      <c r="E19" s="45" t="s">
        <v>47</v>
      </c>
      <c r="F19" s="45" t="s">
        <v>48</v>
      </c>
      <c r="G19" s="46" t="s">
        <v>49</v>
      </c>
      <c r="H19" s="45" t="s">
        <v>50</v>
      </c>
      <c r="I19" s="56" t="s">
        <v>51</v>
      </c>
      <c r="J19" s="31"/>
      <c r="V19" s="32" t="s">
        <v>1</v>
      </c>
      <c r="W19" s="75" cm="1">
        <f t="array" ref="W19">SUM(SUM(
SUMPRODUCT(INDEX(Glasgow_PerC, $AR$3:$AR$5, $AN$3)*INDEX(TRit4088[], $AN$3, IF($AP4-$AR$3:$AR$5 &lt;= 0,  ($AP4-$AR$3:$AR$5 + COUNT(variable_t)), $AP4-$AR$3:$AR$5))),
SUMPRODUCT(INDEX(Manchester_PerC, $AR$3:$AR$5, $AN$3)*INDEX(TRit4088[], $AN$4, IF($AP4-$AR$3:$AR$5 &lt;= 0,  ($AP4-$AR$3:$AR$5 + COUNT(variable_t)), $AP4-$AR$3:$AR$5))),
SUMPRODUCT(INDEX(Birmingham_PerC, $AR$3:$AR$5, $AN$3)*INDEX(TRit4088[], $AN$5, IF($AP4-$AR$3:$AR$5 &lt;= 0,  ($AP4-$AR$3:$AR$5 + COUNT(variable_t)), $AP4-$AR$3:$AR$5))),
SUMPRODUCT(INDEX(Plymouth_PerC, $AR$3:$AR$5, $AN$3)*INDEX(TRit4088[], $AN$6, IF($AP4-$AR$3:$AR$5 &lt;= 0,  ($AP4-$AR$3:$AR$5 + COUNT(variable_t)), $AP4-$AR$3:$AR$5))))/100*
Damaged_CarsPerC/100,
SUM(
INDEX(TU1jt4593[],  $AN$3, IF($AP4-1 = 0,  ($AP4-1 + COUNT(variable_t)), $AP4-1)),
INDEX(TU2jt4694[],  $AN$3, IF($AP4-1 = 0,  ($AP4-1 + COUNT(variable_t)), $AP4-1)),
INDEX(TU3jt4795[],  $AN$3, IF($AP4-1 = 0,  ($AP4-1 + COUNT(variable_t)), $AP4-1)),
INDEX(TU4jt4896[],  $AN$3, IF($AP4-1 = 0,  ($AP4-1 + COUNT(variable_t)), $AP4-1))),
INDEX(EUit4492[], $AN$3, IF($AP4-1 = 0,  ($AP4-1 + COUNT(variable_t)), $AP4-1)),
)</f>
        <v>0</v>
      </c>
      <c r="X19" s="76" t="s">
        <v>34</v>
      </c>
      <c r="Y19" s="77" cm="1">
        <f t="array" ref="Y19">INDEX(NDit4290[], $AN$3, $AP4)</f>
        <v>0</v>
      </c>
      <c r="Z19" s="76"/>
      <c r="AA19" s="75" cm="1">
        <f t="array" ref="AA19">SUM(SUM(
SUMPRODUCT(INDEX(Glasgow_PerC, $AR$3:$AR$5, $AN$4)*INDEX(TRit4088[], $AN$3, IF($AP4-$AR$3:$AR$5 &lt;= 0,  ($AP4-$AR$3:$AR$5 + COUNT(variable_t)), $AP4-$AR$3:$AR$5))),
SUMPRODUCT(INDEX(Manchester_PerC, $AR$3:$AR$5, $AN$4)*INDEX(TRit4088[], $AN$4, IF($AP4-$AR$3:$AR$5 &lt;= 0,  ($AP4-$AR$3:$AR$5 + COUNT(variable_t)), $AP4-$AR$3:$AR$5))),
SUMPRODUCT(INDEX(Birmingham_PerC, $AR$3:$AR$5, $AN$4)*INDEX(TRit4088[], $AN$5, IF($AP4-$AR$3:$AR$5 &lt;= 0,  ($AP4-$AR$3:$AR$5 + COUNT(variable_t)), $AP4-$AR$3:$AR$5))),
SUMPRODUCT(INDEX(Plymouth_PerC, $AR$3:$AR$5, $AN$4)*INDEX(TRit4088[], $AN$6, IF($AP4-$AR$3:$AR$5 &lt;= 0,  ($AP4-$AR$3:$AR$5 + COUNT(variable_t)), $AP4-$AR$3:$AR$5))))/100*
Damaged_CarsPerC/100,
SUM(
INDEX(TU1jt4593[],  $AN$4, IF($AP4-1 = 0,  ($AP4-1 + COUNT(variable_t)), $AP4-1)),
INDEX(TU2jt4694[],  $AN$4, IF($AP4-1 = 0,  ($AP4-1 + COUNT(variable_t)), $AP4-1)),
INDEX(TU3jt4795[],  $AN$4, IF($AP4-1 = 0,  ($AP4-1 + COUNT(variable_t)), $AP4-1)),
INDEX(TU4jt4896[],  $AN$4, IF($AP4-1 = 0,  ($AP4-1 + COUNT(variable_t)), $AP4-1))),
INDEX(EUit4492[], $AN$4, IF($AP4-1 = 0,  ($AP4-1 + COUNT(variable_t)), $AP4-1)),
)</f>
        <v>0</v>
      </c>
      <c r="AB19" s="76" t="s">
        <v>34</v>
      </c>
      <c r="AC19" s="77" cm="1">
        <f t="array" ref="AC19">INDEX(NDit4290[], $AN$4, $AP4)</f>
        <v>0</v>
      </c>
      <c r="AD19" s="76"/>
      <c r="AE19" s="75" cm="1">
        <f t="array" ref="AE19">SUM(SUM(
SUMPRODUCT(INDEX(Glasgow_PerC, $AR$3:$AR$5, $AN$5)*INDEX(TRit4088[], $AN$3, IF($AP4-$AR$3:$AR$5 &lt;= 0,  ($AP4-$AR$3:$AR$5 + COUNT(variable_t)), $AP4-$AR$3:$AR$5))),
SUMPRODUCT(INDEX(Manchester_PerC, $AR$3:$AR$5, $AN$5)*INDEX(TRit4088[], $AN$4, IF($AP4-$AR$3:$AR$5 &lt;= 0,  ($AP4-$AR$3:$AR$5 + COUNT(variable_t)), $AP4-$AR$3:$AR$5))),
SUMPRODUCT(INDEX(Birmingham_PerC, $AR$3:$AR$5, $AN$5)*INDEX(TRit4088[], $AN$5, IF($AP4-$AR$3:$AR$5 &lt;= 0,  ($AP4-$AR$3:$AR$5 + COUNT(variable_t)), $AP4-$AR$3:$AR$5))),
SUMPRODUCT(INDEX(Plymouth_PerC, $AR$3:$AR$5, $AN$5)*INDEX(TRit4088[], $AN$6, IF($AP4-$AR$3:$AR$5 &lt;= 0,  ($AP4-$AR$3:$AR$5 + COUNT(variable_t)), $AP4-$AR$3:$AR$5))))/100*
Damaged_CarsPerC/100,
SUM(
INDEX(TU1jt4593[],  $AN$5, IF($AP4-1 = 0,  ($AP4-1 + COUNT(variable_t)), $AP4-1)),
INDEX(TU2jt4694[],  $AN$5, IF($AP4-1 = 0,  ($AP4-1 + COUNT(variable_t)), $AP4-1)),
INDEX(TU3jt4795[],  $AN$5, IF($AP4-1 = 0,  ($AP4-1 + COUNT(variable_t)), $AP4-1)),
INDEX(TU4jt4896[],  $AN$5, IF($AP4-1 = 0,  ($AP4-1 + COUNT(variable_t)), $AP4-1))),
INDEX(EUit4492[], $AN$5, IF($AP4-1 = 0,  ($AP4-1 + COUNT(variable_t)), $AP4-1)),
)</f>
        <v>0</v>
      </c>
      <c r="AF19" s="76" t="s">
        <v>34</v>
      </c>
      <c r="AG19" s="77" cm="1">
        <f t="array" ref="AG19">INDEX(NDit4290[], $AN$5, $AP4)</f>
        <v>0</v>
      </c>
      <c r="AH19" s="76"/>
      <c r="AI19" s="75" cm="1">
        <f t="array" ref="AI19">SUM(SUM(
SUMPRODUCT(INDEX(Glasgow_PerC, $AR$3:$AR$5, $AN$6)*INDEX(TRit4088[], $AN$3, IF($AP4-$AR$3:$AR$5 &lt;= 0,  ($AP4-$AR$3:$AR$5 + COUNT(variable_t)), $AP4-$AR$3:$AR$5))),
SUMPRODUCT(INDEX(Manchester_PerC, $AR$3:$AR$5, $AN$6)*INDEX(TRit4088[], $AN$4, IF($AP4-$AR$3:$AR$5 &lt;= 0,  ($AP4-$AR$3:$AR$5 + COUNT(variable_t)), $AP4-$AR$3:$AR$5))),
SUMPRODUCT(INDEX(Birmingham_PerC, $AR$3:$AR$5, $AN$6)*INDEX(TRit4088[], $AN$5, IF($AP4-$AR$3:$AR$5 &lt;= 0,  ($AP4-$AR$3:$AR$5 + COUNT(variable_t)), $AP4-$AR$3:$AR$5))),
SUMPRODUCT(INDEX(Plymouth_PerC, $AR$3:$AR$5, $AN$6)*INDEX(TRit4088[], $AN$6, IF($AP4-$AR$3:$AR$5 &lt;= 0,  ($AP4-$AR$3:$AR$5 + COUNT(variable_t)), $AP4-$AR$3:$AR$5))))/100*
Damaged_CarsPerC/100,
SUM(
INDEX(TU1jt4593[],  $AN$6, IF($AP4-1 = 0,  ($AP4-1 + COUNT(variable_t)), $AP4-1)),
INDEX(TU2jt4694[],  $AN$6, IF($AP4-1 = 0,  ($AP4-1 + COUNT(variable_t)), $AP4-1)),
INDEX(TU3jt4795[],  $AN$6, IF($AP4-1 = 0,  ($AP4-1 + COUNT(variable_t)), $AP4-1)),
INDEX(TU4jt4896[],  $AN$6, IF($AP4-1 = 0,  ($AP4-1 + COUNT(variable_t)), $AP4-1))),
INDEX(EUit4492[], $AN$6, IF($AP4-1 = 0,  ($AP4-1 + COUNT(variable_t)), $AP4-1)),
)</f>
        <v>0</v>
      </c>
      <c r="AJ19" s="76" t="s">
        <v>34</v>
      </c>
      <c r="AK19" s="77" cm="1">
        <f t="array" ref="AK19">INDEX(NDit4290[], $AN$6, $AP4)</f>
        <v>0</v>
      </c>
      <c r="AL19" s="31"/>
    </row>
    <row r="20" spans="2:38" ht="15.95" customHeight="1" thickBot="1" x14ac:dyDescent="0.3">
      <c r="B20" s="32"/>
      <c r="C20" s="23">
        <v>1</v>
      </c>
      <c r="D20" s="21">
        <v>0</v>
      </c>
      <c r="E20" s="21">
        <v>0</v>
      </c>
      <c r="F20" s="21">
        <v>0</v>
      </c>
      <c r="G20" s="20">
        <v>0</v>
      </c>
      <c r="H20" s="20">
        <v>0</v>
      </c>
      <c r="I20" s="54">
        <v>0</v>
      </c>
      <c r="J20" s="31"/>
      <c r="V20" s="32" t="s">
        <v>2</v>
      </c>
      <c r="W20" s="75" cm="1">
        <f t="array" ref="W20">SUM(SUM(
SUMPRODUCT(INDEX(Glasgow_PerC, $AR$3:$AR$5, $AN$3)*INDEX(TRit4088[], $AN$3, IF($AP5-$AR$3:$AR$5 &lt;= 0,  ($AP5-$AR$3:$AR$5 + COUNT(variable_t)), $AP5-$AR$3:$AR$5))),
SUMPRODUCT(INDEX(Manchester_PerC, $AR$3:$AR$5, $AN$3)*INDEX(TRit4088[], $AN$4, IF($AP5-$AR$3:$AR$5 &lt;= 0,  ($AP5-$AR$3:$AR$5 + COUNT(variable_t)), $AP5-$AR$3:$AR$5))),
SUMPRODUCT(INDEX(Birmingham_PerC, $AR$3:$AR$5, $AN$3)*INDEX(TRit4088[], $AN$5, IF($AP5-$AR$3:$AR$5 &lt;= 0,  ($AP5-$AR$3:$AR$5 + COUNT(variable_t)), $AP5-$AR$3:$AR$5))),
SUMPRODUCT(INDEX(Plymouth_PerC, $AR$3:$AR$5, $AN$3)*INDEX(TRit4088[], $AN$6, IF($AP5-$AR$3:$AR$5 &lt;= 0,  ($AP5-$AR$3:$AR$5 + COUNT(variable_t)), $AP5-$AR$3:$AR$5))))/100*
Damaged_CarsPerC/100,
SUM(
INDEX(TU1jt4593[],  $AN$3, IF($AP5-1 = 0,  ($AP5-1 + COUNT(variable_t)), $AP5-1)),
INDEX(TU2jt4694[],  $AN$3, IF($AP5-1 = 0,  ($AP5-1 + COUNT(variable_t)), $AP5-1)),
INDEX(TU3jt4795[],  $AN$3, IF($AP5-1 = 0,  ($AP5-1 + COUNT(variable_t)), $AP5-1)),
INDEX(TU4jt4896[],  $AN$3, IF($AP5-1 = 0,  ($AP5-1 + COUNT(variable_t)), $AP5-1))),
INDEX(EUit4492[], $AN$3, IF($AP5-1 = 0,  ($AP5-1 + COUNT(variable_t)), $AP5-1)),
)</f>
        <v>0</v>
      </c>
      <c r="X20" s="76" t="s">
        <v>34</v>
      </c>
      <c r="Y20" s="77" cm="1">
        <f t="array" ref="Y20">INDEX(NDit4290[], $AN$3, $AP5)</f>
        <v>0</v>
      </c>
      <c r="Z20" s="76"/>
      <c r="AA20" s="75" cm="1">
        <f t="array" ref="AA20">SUM(SUM(
SUMPRODUCT(INDEX(Glasgow_PerC, $AR$3:$AR$5, $AN$4)*INDEX(TRit4088[], $AN$3, IF($AP5-$AR$3:$AR$5 &lt;= 0,  ($AP5-$AR$3:$AR$5 + COUNT(variable_t)), $AP5-$AR$3:$AR$5))),
SUMPRODUCT(INDEX(Manchester_PerC, $AR$3:$AR$5, $AN$4)*INDEX(TRit4088[], $AN$4, IF($AP5-$AR$3:$AR$5 &lt;= 0,  ($AP5-$AR$3:$AR$5 + COUNT(variable_t)), $AP5-$AR$3:$AR$5))),
SUMPRODUCT(INDEX(Birmingham_PerC, $AR$3:$AR$5, $AN$4)*INDEX(TRit4088[], $AN$5, IF($AP5-$AR$3:$AR$5 &lt;= 0,  ($AP5-$AR$3:$AR$5 + COUNT(variable_t)), $AP5-$AR$3:$AR$5))),
SUMPRODUCT(INDEX(Plymouth_PerC, $AR$3:$AR$5, $AN$4)*INDEX(TRit4088[], $AN$6, IF($AP5-$AR$3:$AR$5 &lt;= 0,  ($AP5-$AR$3:$AR$5 + COUNT(variable_t)), $AP5-$AR$3:$AR$5))))/100*
Damaged_CarsPerC/100,
SUM(
INDEX(TU1jt4593[],  $AN$4, IF($AP5-1 = 0,  ($AP5-1 + COUNT(variable_t)), $AP5-1)),
INDEX(TU2jt4694[],  $AN$4, IF($AP5-1 = 0,  ($AP5-1 + COUNT(variable_t)), $AP5-1)),
INDEX(TU3jt4795[],  $AN$4, IF($AP5-1 = 0,  ($AP5-1 + COUNT(variable_t)), $AP5-1)),
INDEX(TU4jt4896[],  $AN$4, IF($AP5-1 = 0,  ($AP5-1 + COUNT(variable_t)), $AP5-1))),
INDEX(EUit4492[], $AN$4, IF($AP5-1 = 0,  ($AP5-1 + COUNT(variable_t)), $AP5-1)),
)</f>
        <v>0</v>
      </c>
      <c r="AB20" s="76" t="s">
        <v>34</v>
      </c>
      <c r="AC20" s="77" cm="1">
        <f t="array" ref="AC20">INDEX(NDit4290[], $AN$4, $AP5)</f>
        <v>0</v>
      </c>
      <c r="AD20" s="76"/>
      <c r="AE20" s="75" cm="1">
        <f t="array" ref="AE20">SUM(SUM(
SUMPRODUCT(INDEX(Glasgow_PerC, $AR$3:$AR$5, $AN$5)*INDEX(TRit4088[], $AN$3, IF($AP5-$AR$3:$AR$5 &lt;= 0,  ($AP5-$AR$3:$AR$5 + COUNT(variable_t)), $AP5-$AR$3:$AR$5))),
SUMPRODUCT(INDEX(Manchester_PerC, $AR$3:$AR$5, $AN$5)*INDEX(TRit4088[], $AN$4, IF($AP5-$AR$3:$AR$5 &lt;= 0,  ($AP5-$AR$3:$AR$5 + COUNT(variable_t)), $AP5-$AR$3:$AR$5))),
SUMPRODUCT(INDEX(Birmingham_PerC, $AR$3:$AR$5, $AN$5)*INDEX(TRit4088[], $AN$5, IF($AP5-$AR$3:$AR$5 &lt;= 0,  ($AP5-$AR$3:$AR$5 + COUNT(variable_t)), $AP5-$AR$3:$AR$5))),
SUMPRODUCT(INDEX(Plymouth_PerC, $AR$3:$AR$5, $AN$5)*INDEX(TRit4088[], $AN$6, IF($AP5-$AR$3:$AR$5 &lt;= 0,  ($AP5-$AR$3:$AR$5 + COUNT(variable_t)), $AP5-$AR$3:$AR$5))))/100*
Damaged_CarsPerC/100,
SUM(
INDEX(TU1jt4593[],  $AN$5, IF($AP5-1 = 0,  ($AP5-1 + COUNT(variable_t)), $AP5-1)),
INDEX(TU2jt4694[],  $AN$5, IF($AP5-1 = 0,  ($AP5-1 + COUNT(variable_t)), $AP5-1)),
INDEX(TU3jt4795[],  $AN$5, IF($AP5-1 = 0,  ($AP5-1 + COUNT(variable_t)), $AP5-1)),
INDEX(TU4jt4896[],  $AN$5, IF($AP5-1 = 0,  ($AP5-1 + COUNT(variable_t)), $AP5-1))),
INDEX(EUit4492[], $AN$5, IF($AP5-1 = 0,  ($AP5-1 + COUNT(variable_t)), $AP5-1)),
)</f>
        <v>0</v>
      </c>
      <c r="AF20" s="76" t="s">
        <v>34</v>
      </c>
      <c r="AG20" s="77" cm="1">
        <f t="array" ref="AG20">INDEX(NDit4290[], $AN$5, $AP5)</f>
        <v>0</v>
      </c>
      <c r="AH20" s="76"/>
      <c r="AI20" s="75" cm="1">
        <f t="array" ref="AI20">SUM(SUM(
SUMPRODUCT(INDEX(Glasgow_PerC, $AR$3:$AR$5, $AN$6)*INDEX(TRit4088[], $AN$3, IF($AP5-$AR$3:$AR$5 &lt;= 0,  ($AP5-$AR$3:$AR$5 + COUNT(variable_t)), $AP5-$AR$3:$AR$5))),
SUMPRODUCT(INDEX(Manchester_PerC, $AR$3:$AR$5, $AN$6)*INDEX(TRit4088[], $AN$4, IF($AP5-$AR$3:$AR$5 &lt;= 0,  ($AP5-$AR$3:$AR$5 + COUNT(variable_t)), $AP5-$AR$3:$AR$5))),
SUMPRODUCT(INDEX(Birmingham_PerC, $AR$3:$AR$5, $AN$6)*INDEX(TRit4088[], $AN$5, IF($AP5-$AR$3:$AR$5 &lt;= 0,  ($AP5-$AR$3:$AR$5 + COUNT(variable_t)), $AP5-$AR$3:$AR$5))),
SUMPRODUCT(INDEX(Plymouth_PerC, $AR$3:$AR$5, $AN$6)*INDEX(TRit4088[], $AN$6, IF($AP5-$AR$3:$AR$5 &lt;= 0,  ($AP5-$AR$3:$AR$5 + COUNT(variable_t)), $AP5-$AR$3:$AR$5))))/100*
Damaged_CarsPerC/100,
SUM(
INDEX(TU1jt4593[],  $AN$6, IF($AP5-1 = 0,  ($AP5-1 + COUNT(variable_t)), $AP5-1)),
INDEX(TU2jt4694[],  $AN$6, IF($AP5-1 = 0,  ($AP5-1 + COUNT(variable_t)), $AP5-1)),
INDEX(TU3jt4795[],  $AN$6, IF($AP5-1 = 0,  ($AP5-1 + COUNT(variable_t)), $AP5-1)),
INDEX(TU4jt4896[],  $AN$6, IF($AP5-1 = 0,  ($AP5-1 + COUNT(variable_t)), $AP5-1))),
INDEX(EUit4492[], $AN$6, IF($AP5-1 = 0,  ($AP5-1 + COUNT(variable_t)), $AP5-1)),
)</f>
        <v>0</v>
      </c>
      <c r="AJ20" s="76" t="s">
        <v>34</v>
      </c>
      <c r="AK20" s="77" cm="1">
        <f t="array" ref="AK20">INDEX(NDit4290[], $AN$6, $AP5)</f>
        <v>0</v>
      </c>
      <c r="AL20" s="31"/>
    </row>
    <row r="21" spans="2:38" ht="15.95" customHeight="1" thickBot="1" x14ac:dyDescent="0.3">
      <c r="B21" s="32"/>
      <c r="C21" s="24">
        <v>2</v>
      </c>
      <c r="D21" s="22">
        <v>0</v>
      </c>
      <c r="E21" s="22">
        <v>0</v>
      </c>
      <c r="F21" s="22">
        <v>0</v>
      </c>
      <c r="G21" s="19">
        <v>0</v>
      </c>
      <c r="H21" s="19">
        <v>0</v>
      </c>
      <c r="I21" s="55">
        <v>0</v>
      </c>
      <c r="J21" s="31"/>
      <c r="V21" s="32" t="s">
        <v>3</v>
      </c>
      <c r="W21" s="75" cm="1">
        <f t="array" ref="W21">SUM(SUM(
SUMPRODUCT(INDEX(Glasgow_PerC, $AR$3:$AR$5, $AN$3)*INDEX(TRit4088[], $AN$3, IF($AP6-$AR$3:$AR$5 &lt;= 0,  ($AP6-$AR$3:$AR$5 + COUNT(variable_t)), $AP6-$AR$3:$AR$5))),
SUMPRODUCT(INDEX(Manchester_PerC, $AR$3:$AR$5, $AN$3)*INDEX(TRit4088[], $AN$4, IF($AP6-$AR$3:$AR$5 &lt;= 0,  ($AP6-$AR$3:$AR$5 + COUNT(variable_t)), $AP6-$AR$3:$AR$5))),
SUMPRODUCT(INDEX(Birmingham_PerC, $AR$3:$AR$5, $AN$3)*INDEX(TRit4088[], $AN$5, IF($AP6-$AR$3:$AR$5 &lt;= 0,  ($AP6-$AR$3:$AR$5 + COUNT(variable_t)), $AP6-$AR$3:$AR$5))),
SUMPRODUCT(INDEX(Plymouth_PerC, $AR$3:$AR$5, $AN$3)*INDEX(TRit4088[], $AN$6, IF($AP6-$AR$3:$AR$5 &lt;= 0,  ($AP6-$AR$3:$AR$5 + COUNT(variable_t)), $AP6-$AR$3:$AR$5))))/100*
Damaged_CarsPerC/100,
SUM(
INDEX(TU1jt4593[],  $AN$3, IF($AP6-1 = 0,  ($AP6-1 + COUNT(variable_t)), $AP6-1)),
INDEX(TU2jt4694[],  $AN$3, IF($AP6-1 = 0,  ($AP6-1 + COUNT(variable_t)), $AP6-1)),
INDEX(TU3jt4795[],  $AN$3, IF($AP6-1 = 0,  ($AP6-1 + COUNT(variable_t)), $AP6-1)),
INDEX(TU4jt4896[],  $AN$3, IF($AP6-1 = 0,  ($AP6-1 + COUNT(variable_t)), $AP6-1))),
INDEX(EUit4492[], $AN$3, IF($AP6-1 = 0,  ($AP6-1 + COUNT(variable_t)), $AP6-1)),
)</f>
        <v>0</v>
      </c>
      <c r="X21" s="76" t="s">
        <v>34</v>
      </c>
      <c r="Y21" s="77" cm="1">
        <f t="array" ref="Y21">INDEX(NDit4290[], $AN$3, $AP6)</f>
        <v>0</v>
      </c>
      <c r="Z21" s="76"/>
      <c r="AA21" s="75" cm="1">
        <f t="array" ref="AA21">SUM(SUM(
SUMPRODUCT(INDEX(Glasgow_PerC, $AR$3:$AR$5, $AN$4)*INDEX(TRit4088[], $AN$3, IF($AP6-$AR$3:$AR$5 &lt;= 0,  ($AP6-$AR$3:$AR$5 + COUNT(variable_t)), $AP6-$AR$3:$AR$5))),
SUMPRODUCT(INDEX(Manchester_PerC, $AR$3:$AR$5, $AN$4)*INDEX(TRit4088[], $AN$4, IF($AP6-$AR$3:$AR$5 &lt;= 0,  ($AP6-$AR$3:$AR$5 + COUNT(variable_t)), $AP6-$AR$3:$AR$5))),
SUMPRODUCT(INDEX(Birmingham_PerC, $AR$3:$AR$5, $AN$4)*INDEX(TRit4088[], $AN$5, IF($AP6-$AR$3:$AR$5 &lt;= 0,  ($AP6-$AR$3:$AR$5 + COUNT(variable_t)), $AP6-$AR$3:$AR$5))),
SUMPRODUCT(INDEX(Plymouth_PerC, $AR$3:$AR$5, $AN$4)*INDEX(TRit4088[], $AN$6, IF($AP6-$AR$3:$AR$5 &lt;= 0,  ($AP6-$AR$3:$AR$5 + COUNT(variable_t)), $AP6-$AR$3:$AR$5))))/100*
Damaged_CarsPerC/100,
SUM(
INDEX(TU1jt4593[],  $AN$4, IF($AP6-1 = 0,  ($AP6-1 + COUNT(variable_t)), $AP6-1)),
INDEX(TU2jt4694[],  $AN$4, IF($AP6-1 = 0,  ($AP6-1 + COUNT(variable_t)), $AP6-1)),
INDEX(TU3jt4795[],  $AN$4, IF($AP6-1 = 0,  ($AP6-1 + COUNT(variable_t)), $AP6-1)),
INDEX(TU4jt4896[],  $AN$4, IF($AP6-1 = 0,  ($AP6-1 + COUNT(variable_t)), $AP6-1))),
INDEX(EUit4492[], $AN$4, IF($AP6-1 = 0,  ($AP6-1 + COUNT(variable_t)), $AP6-1)),
)</f>
        <v>0</v>
      </c>
      <c r="AB21" s="76" t="s">
        <v>34</v>
      </c>
      <c r="AC21" s="77" cm="1">
        <f t="array" ref="AC21">INDEX(NDit4290[], $AN$4, $AP6)</f>
        <v>0</v>
      </c>
      <c r="AD21" s="76"/>
      <c r="AE21" s="75" cm="1">
        <f t="array" ref="AE21">SUM(SUM(
SUMPRODUCT(INDEX(Glasgow_PerC, $AR$3:$AR$5, $AN$5)*INDEX(TRit4088[], $AN$3, IF($AP6-$AR$3:$AR$5 &lt;= 0,  ($AP6-$AR$3:$AR$5 + COUNT(variable_t)), $AP6-$AR$3:$AR$5))),
SUMPRODUCT(INDEX(Manchester_PerC, $AR$3:$AR$5, $AN$5)*INDEX(TRit4088[], $AN$4, IF($AP6-$AR$3:$AR$5 &lt;= 0,  ($AP6-$AR$3:$AR$5 + COUNT(variable_t)), $AP6-$AR$3:$AR$5))),
SUMPRODUCT(INDEX(Birmingham_PerC, $AR$3:$AR$5, $AN$5)*INDEX(TRit4088[], $AN$5, IF($AP6-$AR$3:$AR$5 &lt;= 0,  ($AP6-$AR$3:$AR$5 + COUNT(variable_t)), $AP6-$AR$3:$AR$5))),
SUMPRODUCT(INDEX(Plymouth_PerC, $AR$3:$AR$5, $AN$5)*INDEX(TRit4088[], $AN$6, IF($AP6-$AR$3:$AR$5 &lt;= 0,  ($AP6-$AR$3:$AR$5 + COUNT(variable_t)), $AP6-$AR$3:$AR$5))))/100*
Damaged_CarsPerC/100,
SUM(
INDEX(TU1jt4593[],  $AN$5, IF($AP6-1 = 0,  ($AP6-1 + COUNT(variable_t)), $AP6-1)),
INDEX(TU2jt4694[],  $AN$5, IF($AP6-1 = 0,  ($AP6-1 + COUNT(variable_t)), $AP6-1)),
INDEX(TU3jt4795[],  $AN$5, IF($AP6-1 = 0,  ($AP6-1 + COUNT(variable_t)), $AP6-1)),
INDEX(TU4jt4896[],  $AN$5, IF($AP6-1 = 0,  ($AP6-1 + COUNT(variable_t)), $AP6-1))),
INDEX(EUit4492[], $AN$5, IF($AP6-1 = 0,  ($AP6-1 + COUNT(variable_t)), $AP6-1)),
)</f>
        <v>0</v>
      </c>
      <c r="AF21" s="76" t="s">
        <v>34</v>
      </c>
      <c r="AG21" s="77" cm="1">
        <f t="array" ref="AG21">INDEX(NDit4290[], $AN$5, $AP6)</f>
        <v>0</v>
      </c>
      <c r="AH21" s="76"/>
      <c r="AI21" s="75" cm="1">
        <f t="array" ref="AI21">SUM(SUM(
SUMPRODUCT(INDEX(Glasgow_PerC, $AR$3:$AR$5, $AN$6)*INDEX(TRit4088[], $AN$3, IF($AP6-$AR$3:$AR$5 &lt;= 0,  ($AP6-$AR$3:$AR$5 + COUNT(variable_t)), $AP6-$AR$3:$AR$5))),
SUMPRODUCT(INDEX(Manchester_PerC, $AR$3:$AR$5, $AN$6)*INDEX(TRit4088[], $AN$4, IF($AP6-$AR$3:$AR$5 &lt;= 0,  ($AP6-$AR$3:$AR$5 + COUNT(variable_t)), $AP6-$AR$3:$AR$5))),
SUMPRODUCT(INDEX(Birmingham_PerC, $AR$3:$AR$5, $AN$6)*INDEX(TRit4088[], $AN$5, IF($AP6-$AR$3:$AR$5 &lt;= 0,  ($AP6-$AR$3:$AR$5 + COUNT(variable_t)), $AP6-$AR$3:$AR$5))),
SUMPRODUCT(INDEX(Plymouth_PerC, $AR$3:$AR$5, $AN$6)*INDEX(TRit4088[], $AN$6, IF($AP6-$AR$3:$AR$5 &lt;= 0,  ($AP6-$AR$3:$AR$5 + COUNT(variable_t)), $AP6-$AR$3:$AR$5))))/100*
Damaged_CarsPerC/100,
SUM(
INDEX(TU1jt4593[],  $AN$6, IF($AP6-1 = 0,  ($AP6-1 + COUNT(variable_t)), $AP6-1)),
INDEX(TU2jt4694[],  $AN$6, IF($AP6-1 = 0,  ($AP6-1 + COUNT(variable_t)), $AP6-1)),
INDEX(TU3jt4795[],  $AN$6, IF($AP6-1 = 0,  ($AP6-1 + COUNT(variable_t)), $AP6-1)),
INDEX(TU4jt4896[],  $AN$6, IF($AP6-1 = 0,  ($AP6-1 + COUNT(variable_t)), $AP6-1))),
INDEX(EUit4492[], $AN$6, IF($AP6-1 = 0,  ($AP6-1 + COUNT(variable_t)), $AP6-1)),
)</f>
        <v>0</v>
      </c>
      <c r="AJ21" s="76" t="s">
        <v>34</v>
      </c>
      <c r="AK21" s="77" cm="1">
        <f t="array" ref="AK21">INDEX(NDit4290[], $AN$6, $AP6)</f>
        <v>0</v>
      </c>
      <c r="AL21" s="31"/>
    </row>
    <row r="22" spans="2:38" ht="15.95" customHeight="1" thickBot="1" x14ac:dyDescent="0.3">
      <c r="B22" s="32"/>
      <c r="C22" s="24">
        <v>3</v>
      </c>
      <c r="D22" s="22">
        <v>0</v>
      </c>
      <c r="E22" s="22">
        <v>0</v>
      </c>
      <c r="F22" s="22">
        <v>0</v>
      </c>
      <c r="G22" s="19">
        <v>0</v>
      </c>
      <c r="H22" s="19">
        <v>0</v>
      </c>
      <c r="I22" s="55">
        <v>0</v>
      </c>
      <c r="J22" s="31"/>
      <c r="V22" s="32" t="s">
        <v>4</v>
      </c>
      <c r="W22" s="75" cm="1">
        <f t="array" ref="W22">SUM(SUM(
SUMPRODUCT(INDEX(Glasgow_PerC, $AR$3:$AR$5, $AN$3)*INDEX(TRit4088[], $AN$3, IF($AP7-$AR$3:$AR$5 &lt;= 0,  ($AP7-$AR$3:$AR$5 + COUNT(variable_t)), $AP7-$AR$3:$AR$5))),
SUMPRODUCT(INDEX(Manchester_PerC, $AR$3:$AR$5, $AN$3)*INDEX(TRit4088[], $AN$4, IF($AP7-$AR$3:$AR$5 &lt;= 0,  ($AP7-$AR$3:$AR$5 + COUNT(variable_t)), $AP7-$AR$3:$AR$5))),
SUMPRODUCT(INDEX(Birmingham_PerC, $AR$3:$AR$5, $AN$3)*INDEX(TRit4088[], $AN$5, IF($AP7-$AR$3:$AR$5 &lt;= 0,  ($AP7-$AR$3:$AR$5 + COUNT(variable_t)), $AP7-$AR$3:$AR$5))),
SUMPRODUCT(INDEX(Plymouth_PerC, $AR$3:$AR$5, $AN$3)*INDEX(TRit4088[], $AN$6, IF($AP7-$AR$3:$AR$5 &lt;= 0,  ($AP7-$AR$3:$AR$5 + COUNT(variable_t)), $AP7-$AR$3:$AR$5))))/100*
Damaged_CarsPerC/100,
SUM(
INDEX(TU1jt4593[],  $AN$3, IF($AP7-1 = 0,  ($AP7-1 + COUNT(variable_t)), $AP7-1)),
INDEX(TU2jt4694[],  $AN$3, IF($AP7-1 = 0,  ($AP7-1 + COUNT(variable_t)), $AP7-1)),
INDEX(TU3jt4795[],  $AN$3, IF($AP7-1 = 0,  ($AP7-1 + COUNT(variable_t)), $AP7-1)),
INDEX(TU4jt4896[],  $AN$3, IF($AP7-1 = 0,  ($AP7-1 + COUNT(variable_t)), $AP7-1))),
INDEX(EUit4492[], $AN$3, IF($AP7-1 = 0,  ($AP7-1 + COUNT(variable_t)), $AP7-1)),
)</f>
        <v>0</v>
      </c>
      <c r="X22" s="76" t="s">
        <v>34</v>
      </c>
      <c r="Y22" s="77" cm="1">
        <f t="array" ref="Y22">INDEX(NDit4290[], $AN$3, $AP7)</f>
        <v>0</v>
      </c>
      <c r="Z22" s="76"/>
      <c r="AA22" s="75" cm="1">
        <f t="array" ref="AA22">SUM(SUM(
SUMPRODUCT(INDEX(Glasgow_PerC, $AR$3:$AR$5, $AN$4)*INDEX(TRit4088[], $AN$3, IF($AP7-$AR$3:$AR$5 &lt;= 0,  ($AP7-$AR$3:$AR$5 + COUNT(variable_t)), $AP7-$AR$3:$AR$5))),
SUMPRODUCT(INDEX(Manchester_PerC, $AR$3:$AR$5, $AN$4)*INDEX(TRit4088[], $AN$4, IF($AP7-$AR$3:$AR$5 &lt;= 0,  ($AP7-$AR$3:$AR$5 + COUNT(variable_t)), $AP7-$AR$3:$AR$5))),
SUMPRODUCT(INDEX(Birmingham_PerC, $AR$3:$AR$5, $AN$4)*INDEX(TRit4088[], $AN$5, IF($AP7-$AR$3:$AR$5 &lt;= 0,  ($AP7-$AR$3:$AR$5 + COUNT(variable_t)), $AP7-$AR$3:$AR$5))),
SUMPRODUCT(INDEX(Plymouth_PerC, $AR$3:$AR$5, $AN$4)*INDEX(TRit4088[], $AN$6, IF($AP7-$AR$3:$AR$5 &lt;= 0,  ($AP7-$AR$3:$AR$5 + COUNT(variable_t)), $AP7-$AR$3:$AR$5))))/100*
Damaged_CarsPerC/100,
SUM(
INDEX(TU1jt4593[],  $AN$4, IF($AP7-1 = 0,  ($AP7-1 + COUNT(variable_t)), $AP7-1)),
INDEX(TU2jt4694[],  $AN$4, IF($AP7-1 = 0,  ($AP7-1 + COUNT(variable_t)), $AP7-1)),
INDEX(TU3jt4795[],  $AN$4, IF($AP7-1 = 0,  ($AP7-1 + COUNT(variable_t)), $AP7-1)),
INDEX(TU4jt4896[],  $AN$4, IF($AP7-1 = 0,  ($AP7-1 + COUNT(variable_t)), $AP7-1))),
INDEX(EUit4492[], $AN$4, IF($AP7-1 = 0,  ($AP7-1 + COUNT(variable_t)), $AP7-1)),
)</f>
        <v>0</v>
      </c>
      <c r="AB22" s="76" t="s">
        <v>34</v>
      </c>
      <c r="AC22" s="77" cm="1">
        <f t="array" ref="AC22">INDEX(NDit4290[], $AN$4, $AP7)</f>
        <v>0</v>
      </c>
      <c r="AD22" s="76"/>
      <c r="AE22" s="75" cm="1">
        <f t="array" ref="AE22">SUM(SUM(
SUMPRODUCT(INDEX(Glasgow_PerC, $AR$3:$AR$5, $AN$5)*INDEX(TRit4088[], $AN$3, IF($AP7-$AR$3:$AR$5 &lt;= 0,  ($AP7-$AR$3:$AR$5 + COUNT(variable_t)), $AP7-$AR$3:$AR$5))),
SUMPRODUCT(INDEX(Manchester_PerC, $AR$3:$AR$5, $AN$5)*INDEX(TRit4088[], $AN$4, IF($AP7-$AR$3:$AR$5 &lt;= 0,  ($AP7-$AR$3:$AR$5 + COUNT(variable_t)), $AP7-$AR$3:$AR$5))),
SUMPRODUCT(INDEX(Birmingham_PerC, $AR$3:$AR$5, $AN$5)*INDEX(TRit4088[], $AN$5, IF($AP7-$AR$3:$AR$5 &lt;= 0,  ($AP7-$AR$3:$AR$5 + COUNT(variable_t)), $AP7-$AR$3:$AR$5))),
SUMPRODUCT(INDEX(Plymouth_PerC, $AR$3:$AR$5, $AN$5)*INDEX(TRit4088[], $AN$6, IF($AP7-$AR$3:$AR$5 &lt;= 0,  ($AP7-$AR$3:$AR$5 + COUNT(variable_t)), $AP7-$AR$3:$AR$5))))/100*
Damaged_CarsPerC/100,
SUM(
INDEX(TU1jt4593[],  $AN$5, IF($AP7-1 = 0,  ($AP7-1 + COUNT(variable_t)), $AP7-1)),
INDEX(TU2jt4694[],  $AN$5, IF($AP7-1 = 0,  ($AP7-1 + COUNT(variable_t)), $AP7-1)),
INDEX(TU3jt4795[],  $AN$5, IF($AP7-1 = 0,  ($AP7-1 + COUNT(variable_t)), $AP7-1)),
INDEX(TU4jt4896[],  $AN$5, IF($AP7-1 = 0,  ($AP7-1 + COUNT(variable_t)), $AP7-1))),
INDEX(EUit4492[], $AN$5, IF($AP7-1 = 0,  ($AP7-1 + COUNT(variable_t)), $AP7-1)),
)</f>
        <v>0</v>
      </c>
      <c r="AF22" s="76" t="s">
        <v>34</v>
      </c>
      <c r="AG22" s="77" cm="1">
        <f t="array" ref="AG22">INDEX(NDit4290[], $AN$5, $AP7)</f>
        <v>0</v>
      </c>
      <c r="AH22" s="76"/>
      <c r="AI22" s="75" cm="1">
        <f t="array" ref="AI22">SUM(SUM(
SUMPRODUCT(INDEX(Glasgow_PerC, $AR$3:$AR$5, $AN$6)*INDEX(TRit4088[], $AN$3, IF($AP7-$AR$3:$AR$5 &lt;= 0,  ($AP7-$AR$3:$AR$5 + COUNT(variable_t)), $AP7-$AR$3:$AR$5))),
SUMPRODUCT(INDEX(Manchester_PerC, $AR$3:$AR$5, $AN$6)*INDEX(TRit4088[], $AN$4, IF($AP7-$AR$3:$AR$5 &lt;= 0,  ($AP7-$AR$3:$AR$5 + COUNT(variable_t)), $AP7-$AR$3:$AR$5))),
SUMPRODUCT(INDEX(Birmingham_PerC, $AR$3:$AR$5, $AN$6)*INDEX(TRit4088[], $AN$5, IF($AP7-$AR$3:$AR$5 &lt;= 0,  ($AP7-$AR$3:$AR$5 + COUNT(variable_t)), $AP7-$AR$3:$AR$5))),
SUMPRODUCT(INDEX(Plymouth_PerC, $AR$3:$AR$5, $AN$6)*INDEX(TRit4088[], $AN$6, IF($AP7-$AR$3:$AR$5 &lt;= 0,  ($AP7-$AR$3:$AR$5 + COUNT(variable_t)), $AP7-$AR$3:$AR$5))))/100*
Damaged_CarsPerC/100,
SUM(
INDEX(TU1jt4593[],  $AN$6, IF($AP7-1 = 0,  ($AP7-1 + COUNT(variable_t)), $AP7-1)),
INDEX(TU2jt4694[],  $AN$6, IF($AP7-1 = 0,  ($AP7-1 + COUNT(variable_t)), $AP7-1)),
INDEX(TU3jt4795[],  $AN$6, IF($AP7-1 = 0,  ($AP7-1 + COUNT(variable_t)), $AP7-1)),
INDEX(TU4jt4896[],  $AN$6, IF($AP7-1 = 0,  ($AP7-1 + COUNT(variable_t)), $AP7-1))),
INDEX(EUit4492[], $AN$6, IF($AP7-1 = 0,  ($AP7-1 + COUNT(variable_t)), $AP7-1)),
)</f>
        <v>0</v>
      </c>
      <c r="AJ22" s="76" t="s">
        <v>34</v>
      </c>
      <c r="AK22" s="77" cm="1">
        <f t="array" ref="AK22">INDEX(NDit4290[], $AN$6, $AP7)</f>
        <v>0</v>
      </c>
      <c r="AL22" s="31"/>
    </row>
    <row r="23" spans="2:38" ht="15.95" customHeight="1" thickBot="1" x14ac:dyDescent="0.3">
      <c r="B23" s="32"/>
      <c r="C23" s="25">
        <v>4</v>
      </c>
      <c r="D23" s="57">
        <v>0</v>
      </c>
      <c r="E23" s="57">
        <v>0</v>
      </c>
      <c r="F23" s="57">
        <v>0</v>
      </c>
      <c r="G23" s="58">
        <v>0</v>
      </c>
      <c r="H23" s="58">
        <v>0</v>
      </c>
      <c r="I23" s="59">
        <v>0</v>
      </c>
      <c r="J23" s="31"/>
      <c r="V23" s="32" t="s">
        <v>5</v>
      </c>
      <c r="W23" s="75" cm="1">
        <f t="array" ref="W23">SUM(SUM(
SUMPRODUCT(INDEX(Glasgow_PerC, $AR$3:$AR$5, $AN$3)*INDEX(TRit4088[], $AN$3, IF($AP8-$AR$3:$AR$5 &lt;= 0,  ($AP8-$AR$3:$AR$5 + COUNT(variable_t)), $AP8-$AR$3:$AR$5))),
SUMPRODUCT(INDEX(Manchester_PerC, $AR$3:$AR$5, $AN$3)*INDEX(TRit4088[], $AN$4, IF($AP8-$AR$3:$AR$5 &lt;= 0,  ($AP8-$AR$3:$AR$5 + COUNT(variable_t)), $AP8-$AR$3:$AR$5))),
SUMPRODUCT(INDEX(Birmingham_PerC, $AR$3:$AR$5, $AN$3)*INDEX(TRit4088[], $AN$5, IF($AP8-$AR$3:$AR$5 &lt;= 0,  ($AP8-$AR$3:$AR$5 + COUNT(variable_t)), $AP8-$AR$3:$AR$5))),
SUMPRODUCT(INDEX(Plymouth_PerC, $AR$3:$AR$5, $AN$3)*INDEX(TRit4088[], $AN$6, IF($AP8-$AR$3:$AR$5 &lt;= 0,  ($AP8-$AR$3:$AR$5 + COUNT(variable_t)), $AP8-$AR$3:$AR$5))))/100*
Damaged_CarsPerC/100,
SUM(
INDEX(TU1jt4593[],  $AN$3, IF($AP8-1 = 0,  ($AP8-1 + COUNT(variable_t)), $AP8-1)),
INDEX(TU2jt4694[],  $AN$3, IF($AP8-1 = 0,  ($AP8-1 + COUNT(variable_t)), $AP8-1)),
INDEX(TU3jt4795[],  $AN$3, IF($AP8-1 = 0,  ($AP8-1 + COUNT(variable_t)), $AP8-1)),
INDEX(TU4jt4896[],  $AN$3, IF($AP8-1 = 0,  ($AP8-1 + COUNT(variable_t)), $AP8-1))),
INDEX(EUit4492[], $AN$3, IF($AP8-1 = 0,  ($AP8-1 + COUNT(variable_t)), $AP8-1)),
)</f>
        <v>0</v>
      </c>
      <c r="X23" s="76" t="s">
        <v>34</v>
      </c>
      <c r="Y23" s="77" cm="1">
        <f t="array" ref="Y23">INDEX(NDit4290[], $AN$3, $AP8)</f>
        <v>0</v>
      </c>
      <c r="Z23" s="76"/>
      <c r="AA23" s="75" cm="1">
        <f t="array" ref="AA23">SUM(SUM(
SUMPRODUCT(INDEX(Glasgow_PerC, $AR$3:$AR$5, $AN$4)*INDEX(TRit4088[], $AN$3, IF($AP8-$AR$3:$AR$5 &lt;= 0,  ($AP8-$AR$3:$AR$5 + COUNT(variable_t)), $AP8-$AR$3:$AR$5))),
SUMPRODUCT(INDEX(Manchester_PerC, $AR$3:$AR$5, $AN$4)*INDEX(TRit4088[], $AN$4, IF($AP8-$AR$3:$AR$5 &lt;= 0,  ($AP8-$AR$3:$AR$5 + COUNT(variable_t)), $AP8-$AR$3:$AR$5))),
SUMPRODUCT(INDEX(Birmingham_PerC, $AR$3:$AR$5, $AN$4)*INDEX(TRit4088[], $AN$5, IF($AP8-$AR$3:$AR$5 &lt;= 0,  ($AP8-$AR$3:$AR$5 + COUNT(variable_t)), $AP8-$AR$3:$AR$5))),
SUMPRODUCT(INDEX(Plymouth_PerC, $AR$3:$AR$5, $AN$4)*INDEX(TRit4088[], $AN$6, IF($AP8-$AR$3:$AR$5 &lt;= 0,  ($AP8-$AR$3:$AR$5 + COUNT(variable_t)), $AP8-$AR$3:$AR$5))))/100*
Damaged_CarsPerC/100,
SUM(
INDEX(TU1jt4593[],  $AN$4, IF($AP8-1 = 0,  ($AP8-1 + COUNT(variable_t)), $AP8-1)),
INDEX(TU2jt4694[],  $AN$4, IF($AP8-1 = 0,  ($AP8-1 + COUNT(variable_t)), $AP8-1)),
INDEX(TU3jt4795[],  $AN$4, IF($AP8-1 = 0,  ($AP8-1 + COUNT(variable_t)), $AP8-1)),
INDEX(TU4jt4896[],  $AN$4, IF($AP8-1 = 0,  ($AP8-1 + COUNT(variable_t)), $AP8-1))),
INDEX(EUit4492[], $AN$4, IF($AP8-1 = 0,  ($AP8-1 + COUNT(variable_t)), $AP8-1)),
)</f>
        <v>0</v>
      </c>
      <c r="AB23" s="76" t="s">
        <v>34</v>
      </c>
      <c r="AC23" s="77" cm="1">
        <f t="array" ref="AC23">INDEX(NDit4290[], $AN$4, $AP8)</f>
        <v>0</v>
      </c>
      <c r="AD23" s="76"/>
      <c r="AE23" s="75" cm="1">
        <f t="array" ref="AE23">SUM(SUM(
SUMPRODUCT(INDEX(Glasgow_PerC, $AR$3:$AR$5, $AN$5)*INDEX(TRit4088[], $AN$3, IF($AP8-$AR$3:$AR$5 &lt;= 0,  ($AP8-$AR$3:$AR$5 + COUNT(variable_t)), $AP8-$AR$3:$AR$5))),
SUMPRODUCT(INDEX(Manchester_PerC, $AR$3:$AR$5, $AN$5)*INDEX(TRit4088[], $AN$4, IF($AP8-$AR$3:$AR$5 &lt;= 0,  ($AP8-$AR$3:$AR$5 + COUNT(variable_t)), $AP8-$AR$3:$AR$5))),
SUMPRODUCT(INDEX(Birmingham_PerC, $AR$3:$AR$5, $AN$5)*INDEX(TRit4088[], $AN$5, IF($AP8-$AR$3:$AR$5 &lt;= 0,  ($AP8-$AR$3:$AR$5 + COUNT(variable_t)), $AP8-$AR$3:$AR$5))),
SUMPRODUCT(INDEX(Plymouth_PerC, $AR$3:$AR$5, $AN$5)*INDEX(TRit4088[], $AN$6, IF($AP8-$AR$3:$AR$5 &lt;= 0,  ($AP8-$AR$3:$AR$5 + COUNT(variable_t)), $AP8-$AR$3:$AR$5))))/100*
Damaged_CarsPerC/100,
SUM(
INDEX(TU1jt4593[],  $AN$5, IF($AP8-1 = 0,  ($AP8-1 + COUNT(variable_t)), $AP8-1)),
INDEX(TU2jt4694[],  $AN$5, IF($AP8-1 = 0,  ($AP8-1 + COUNT(variable_t)), $AP8-1)),
INDEX(TU3jt4795[],  $AN$5, IF($AP8-1 = 0,  ($AP8-1 + COUNT(variable_t)), $AP8-1)),
INDEX(TU4jt4896[],  $AN$5, IF($AP8-1 = 0,  ($AP8-1 + COUNT(variable_t)), $AP8-1))),
INDEX(EUit4492[], $AN$5, IF($AP8-1 = 0,  ($AP8-1 + COUNT(variable_t)), $AP8-1)),
)</f>
        <v>0</v>
      </c>
      <c r="AF23" s="76" t="s">
        <v>34</v>
      </c>
      <c r="AG23" s="77" cm="1">
        <f t="array" ref="AG23">INDEX(NDit4290[], $AN$5, $AP8)</f>
        <v>0</v>
      </c>
      <c r="AH23" s="76"/>
      <c r="AI23" s="75" cm="1">
        <f t="array" ref="AI23">SUM(SUM(
SUMPRODUCT(INDEX(Glasgow_PerC, $AR$3:$AR$5, $AN$6)*INDEX(TRit4088[], $AN$3, IF($AP8-$AR$3:$AR$5 &lt;= 0,  ($AP8-$AR$3:$AR$5 + COUNT(variable_t)), $AP8-$AR$3:$AR$5))),
SUMPRODUCT(INDEX(Manchester_PerC, $AR$3:$AR$5, $AN$6)*INDEX(TRit4088[], $AN$4, IF($AP8-$AR$3:$AR$5 &lt;= 0,  ($AP8-$AR$3:$AR$5 + COUNT(variable_t)), $AP8-$AR$3:$AR$5))),
SUMPRODUCT(INDEX(Birmingham_PerC, $AR$3:$AR$5, $AN$6)*INDEX(TRit4088[], $AN$5, IF($AP8-$AR$3:$AR$5 &lt;= 0,  ($AP8-$AR$3:$AR$5 + COUNT(variable_t)), $AP8-$AR$3:$AR$5))),
SUMPRODUCT(INDEX(Plymouth_PerC, $AR$3:$AR$5, $AN$6)*INDEX(TRit4088[], $AN$6, IF($AP8-$AR$3:$AR$5 &lt;= 0,  ($AP8-$AR$3:$AR$5 + COUNT(variable_t)), $AP8-$AR$3:$AR$5))))/100*
Damaged_CarsPerC/100,
SUM(
INDEX(TU1jt4593[],  $AN$6, IF($AP8-1 = 0,  ($AP8-1 + COUNT(variable_t)), $AP8-1)),
INDEX(TU2jt4694[],  $AN$6, IF($AP8-1 = 0,  ($AP8-1 + COUNT(variable_t)), $AP8-1)),
INDEX(TU3jt4795[],  $AN$6, IF($AP8-1 = 0,  ($AP8-1 + COUNT(variable_t)), $AP8-1)),
INDEX(TU4jt4896[],  $AN$6, IF($AP8-1 = 0,  ($AP8-1 + COUNT(variable_t)), $AP8-1))),
INDEX(EUit4492[], $AN$6, IF($AP8-1 = 0,  ($AP8-1 + COUNT(variable_t)), $AP8-1)),
)</f>
        <v>0</v>
      </c>
      <c r="AJ23" s="76" t="s">
        <v>34</v>
      </c>
      <c r="AK23" s="77" cm="1">
        <f t="array" ref="AK23">INDEX(NDit4290[], $AN$6, $AP8)</f>
        <v>0</v>
      </c>
      <c r="AL23" s="31"/>
    </row>
    <row r="24" spans="2:38" ht="15.95" customHeight="1" thickBot="1" x14ac:dyDescent="0.3">
      <c r="B24" s="33"/>
      <c r="C24" s="26"/>
      <c r="D24" s="26"/>
      <c r="E24" s="26"/>
      <c r="F24" s="26"/>
      <c r="G24" s="26"/>
      <c r="H24" s="26"/>
      <c r="I24" s="26"/>
      <c r="J24" s="34"/>
      <c r="V24" s="33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34"/>
    </row>
    <row r="25" spans="2:38" ht="15.95" customHeight="1" thickTop="1" thickBot="1" x14ac:dyDescent="0.3"/>
    <row r="26" spans="2:38" ht="15.95" customHeight="1" thickTop="1" thickBot="1" x14ac:dyDescent="0.3">
      <c r="B26" s="27"/>
      <c r="C26" s="28"/>
      <c r="D26" s="28"/>
      <c r="E26" s="28"/>
      <c r="F26" s="28"/>
      <c r="G26" s="28"/>
      <c r="H26" s="28"/>
      <c r="I26" s="28"/>
      <c r="J26" s="29"/>
      <c r="V26" s="27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9"/>
    </row>
    <row r="27" spans="2:38" ht="26.25" thickBot="1" x14ac:dyDescent="0.3">
      <c r="B27" s="30"/>
      <c r="C27" s="36" t="s">
        <v>44</v>
      </c>
      <c r="D27" s="45" t="s">
        <v>46</v>
      </c>
      <c r="E27" s="45" t="s">
        <v>47</v>
      </c>
      <c r="F27" s="45" t="s">
        <v>48</v>
      </c>
      <c r="G27" s="46" t="s">
        <v>49</v>
      </c>
      <c r="H27" s="45" t="s">
        <v>50</v>
      </c>
      <c r="I27" s="56" t="s">
        <v>51</v>
      </c>
      <c r="J27" s="31"/>
      <c r="V27" s="32"/>
      <c r="W27" s="149" t="s">
        <v>43</v>
      </c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31"/>
    </row>
    <row r="28" spans="2:38" ht="15.95" customHeight="1" thickBot="1" x14ac:dyDescent="0.3">
      <c r="B28" s="32"/>
      <c r="C28" s="23">
        <v>1</v>
      </c>
      <c r="D28" s="21">
        <v>0</v>
      </c>
      <c r="E28" s="21">
        <v>0</v>
      </c>
      <c r="F28" s="21">
        <v>0</v>
      </c>
      <c r="G28" s="20">
        <v>0</v>
      </c>
      <c r="H28" s="20">
        <v>0</v>
      </c>
      <c r="I28" s="54">
        <v>0</v>
      </c>
      <c r="J28" s="31"/>
      <c r="V28" s="32"/>
      <c r="W28" s="135"/>
      <c r="AL28" s="31"/>
    </row>
    <row r="29" spans="2:38" ht="15.95" customHeight="1" thickBot="1" x14ac:dyDescent="0.3">
      <c r="B29" s="32"/>
      <c r="C29" s="24">
        <v>2</v>
      </c>
      <c r="D29" s="22">
        <v>0</v>
      </c>
      <c r="E29" s="22">
        <v>0</v>
      </c>
      <c r="F29" s="22">
        <v>0</v>
      </c>
      <c r="G29" s="19">
        <v>0</v>
      </c>
      <c r="H29" s="19">
        <v>0</v>
      </c>
      <c r="I29" s="55">
        <v>0</v>
      </c>
      <c r="J29" s="31"/>
      <c r="V29" s="32"/>
      <c r="W29" s="150" t="s">
        <v>6</v>
      </c>
      <c r="X29" s="150"/>
      <c r="Y29" s="150"/>
      <c r="AA29" s="151" t="s">
        <v>9</v>
      </c>
      <c r="AB29" s="151"/>
      <c r="AC29" s="151"/>
      <c r="AE29" s="151" t="s">
        <v>7</v>
      </c>
      <c r="AF29" s="151"/>
      <c r="AG29" s="151"/>
      <c r="AI29" s="151" t="s">
        <v>8</v>
      </c>
      <c r="AJ29" s="151"/>
      <c r="AK29" s="151"/>
      <c r="AL29" s="31"/>
    </row>
    <row r="30" spans="2:38" ht="15.95" customHeight="1" thickBot="1" x14ac:dyDescent="0.3">
      <c r="B30" s="32"/>
      <c r="C30" s="24">
        <v>3</v>
      </c>
      <c r="D30" s="22">
        <v>0</v>
      </c>
      <c r="E30" s="22">
        <v>0</v>
      </c>
      <c r="F30" s="22">
        <v>0</v>
      </c>
      <c r="G30" s="19">
        <v>0</v>
      </c>
      <c r="H30" s="19">
        <v>0</v>
      </c>
      <c r="I30" s="55">
        <v>0</v>
      </c>
      <c r="J30" s="31"/>
      <c r="V30" s="32" t="s">
        <v>0</v>
      </c>
      <c r="W30" s="75" cm="1">
        <f t="array" ref="W30">SUM(INDEX(TRit4088[], $AN$3, $AP3), SUM(INDEX(TU1jt4593[], $AN$3:$AN$6, $AP3)), INDEX(EUit4492[], $AN$3, $AP3))</f>
        <v>0</v>
      </c>
      <c r="X30" s="76" t="s">
        <v>34</v>
      </c>
      <c r="Y30" s="77" cm="1">
        <f t="array" ref="Y30">INDEX(NUit53101[], $AN$3, $AP3)</f>
        <v>0</v>
      </c>
      <c r="Z30" s="76"/>
      <c r="AA30" s="75" cm="1">
        <f t="array" ref="AA30">SUM(INDEX(TRit4088[], $AN$4, $AP3), SUM(INDEX(TU2jt4694[], $AN$3:$AN$6, $AP3)), INDEX(EUit4492[], $AN$4, $AP3))</f>
        <v>0</v>
      </c>
      <c r="AB30" s="76" t="s">
        <v>34</v>
      </c>
      <c r="AC30" s="77" cm="1">
        <f t="array" ref="AC30">INDEX(NUit53101[], $AN$4, $AP3)</f>
        <v>0</v>
      </c>
      <c r="AD30" s="76"/>
      <c r="AE30" s="75" cm="1">
        <f t="array" ref="AE30">SUM(INDEX(TRit4088[], $AN$5, $AP3), SUM(INDEX(TU3jt4795[], $AN$3:$AN$6, $AP3)), INDEX(EUit4492[], $AN$5, $AP3))</f>
        <v>0</v>
      </c>
      <c r="AF30" s="76" t="s">
        <v>34</v>
      </c>
      <c r="AG30" s="77" cm="1">
        <f t="array" ref="AG30">INDEX(NUit53101[], $AN$5, $AP3)</f>
        <v>0</v>
      </c>
      <c r="AH30" s="76"/>
      <c r="AI30" s="75" cm="1">
        <f t="array" ref="AI30">SUM(INDEX(TRit4088[], $AN$6, $AP3), SUM(INDEX(TU4jt4896[], $AN$3:$AN$6, $AP3)), INDEX(EUit4492[], $AN$6, $AP3))</f>
        <v>0</v>
      </c>
      <c r="AJ30" s="76" t="s">
        <v>34</v>
      </c>
      <c r="AK30" s="77" cm="1">
        <f t="array" ref="AK30">INDEX(NUit53101[], $AN$6, $AP3)</f>
        <v>0</v>
      </c>
      <c r="AL30" s="31"/>
    </row>
    <row r="31" spans="2:38" ht="15.95" customHeight="1" thickBot="1" x14ac:dyDescent="0.3">
      <c r="B31" s="32"/>
      <c r="C31" s="25">
        <v>4</v>
      </c>
      <c r="D31" s="57">
        <v>0</v>
      </c>
      <c r="E31" s="57">
        <v>0</v>
      </c>
      <c r="F31" s="57">
        <v>0</v>
      </c>
      <c r="G31" s="58">
        <v>0</v>
      </c>
      <c r="H31" s="58">
        <v>0</v>
      </c>
      <c r="I31" s="59">
        <v>0</v>
      </c>
      <c r="J31" s="31"/>
      <c r="V31" s="32" t="s">
        <v>1</v>
      </c>
      <c r="W31" s="75" cm="1">
        <f t="array" ref="W31">SUM(INDEX(TRit4088[], $AN$3, $AP4), SUM(INDEX(TU1jt4593[], $AN$3:$AN$6, $AP4)), INDEX(EUit4492[], $AN$3, $AP4))</f>
        <v>0</v>
      </c>
      <c r="X31" s="76" t="s">
        <v>34</v>
      </c>
      <c r="Y31" s="77" cm="1">
        <f t="array" ref="Y31">INDEX(NUit53101[], $AN$3, $AP4)</f>
        <v>0</v>
      </c>
      <c r="Z31" s="76"/>
      <c r="AA31" s="75" cm="1">
        <f t="array" ref="AA31">SUM(INDEX(TRit4088[], $AN$4, $AP4), SUM(INDEX(TU2jt4694[], $AN$3:$AN$6, $AP4)), INDEX(EUit4492[], $AN$4, $AP4))</f>
        <v>0</v>
      </c>
      <c r="AB31" s="76" t="s">
        <v>34</v>
      </c>
      <c r="AC31" s="77" cm="1">
        <f t="array" ref="AC31">INDEX(NUit53101[], $AN$4, $AP4)</f>
        <v>0</v>
      </c>
      <c r="AD31" s="76"/>
      <c r="AE31" s="75" cm="1">
        <f t="array" ref="AE31">SUM(INDEX(TRit4088[], $AN$5, $AP4), SUM(INDEX(TU3jt4795[], $AN$3:$AN$6, $AP4)), INDEX(EUit4492[], $AN$5, $AP4))</f>
        <v>0</v>
      </c>
      <c r="AF31" s="76" t="s">
        <v>34</v>
      </c>
      <c r="AG31" s="77" cm="1">
        <f t="array" ref="AG31">INDEX(NUit53101[], $AN$5, $AP4)</f>
        <v>0</v>
      </c>
      <c r="AH31" s="76"/>
      <c r="AI31" s="75" cm="1">
        <f t="array" ref="AI31">SUM(INDEX(TRit4088[], $AN$6, $AP4), SUM(INDEX(TU4jt4896[], $AN$3:$AN$6, $AP4)), INDEX(EUit4492[], $AN$6, $AP4))</f>
        <v>0</v>
      </c>
      <c r="AJ31" s="76" t="s">
        <v>34</v>
      </c>
      <c r="AK31" s="77" cm="1">
        <f t="array" ref="AK31">INDEX(NUit53101[], $AN$6, $AP4)</f>
        <v>0</v>
      </c>
      <c r="AL31" s="31"/>
    </row>
    <row r="32" spans="2:38" ht="15.95" customHeight="1" thickBot="1" x14ac:dyDescent="0.3">
      <c r="B32" s="33"/>
      <c r="C32" s="26"/>
      <c r="D32" s="26"/>
      <c r="E32" s="26"/>
      <c r="F32" s="26"/>
      <c r="G32" s="26"/>
      <c r="H32" s="26"/>
      <c r="I32" s="26"/>
      <c r="J32" s="34"/>
      <c r="V32" s="32" t="s">
        <v>2</v>
      </c>
      <c r="W32" s="75" cm="1">
        <f t="array" ref="W32">SUM(INDEX(TRit4088[], $AN$3, $AP5), SUM(INDEX(TU1jt4593[], $AN$3:$AN$6, $AP5)), INDEX(EUit4492[], $AN$3, $AP5))</f>
        <v>0</v>
      </c>
      <c r="X32" s="76" t="s">
        <v>34</v>
      </c>
      <c r="Y32" s="77" cm="1">
        <f t="array" ref="Y32">INDEX(NUit53101[], $AN$3, $AP5)</f>
        <v>0</v>
      </c>
      <c r="Z32" s="76"/>
      <c r="AA32" s="75" cm="1">
        <f t="array" ref="AA32">SUM(INDEX(TRit4088[], $AN$4, $AP5), SUM(INDEX(TU2jt4694[], $AN$3:$AN$6, $AP5)), INDEX(EUit4492[], $AN$4, $AP5))</f>
        <v>0</v>
      </c>
      <c r="AB32" s="76" t="s">
        <v>34</v>
      </c>
      <c r="AC32" s="77" cm="1">
        <f t="array" ref="AC32">INDEX(NUit53101[], $AN$4, $AP5)</f>
        <v>0</v>
      </c>
      <c r="AD32" s="76"/>
      <c r="AE32" s="75" cm="1">
        <f t="array" ref="AE32">SUM(INDEX(TRit4088[], $AN$5, $AP5), SUM(INDEX(TU3jt4795[], $AN$3:$AN$6, $AP5)), INDEX(EUit4492[], $AN$5, $AP5))</f>
        <v>0</v>
      </c>
      <c r="AF32" s="76" t="s">
        <v>34</v>
      </c>
      <c r="AG32" s="77" cm="1">
        <f t="array" ref="AG32">INDEX(NUit53101[], $AN$5, $AP5)</f>
        <v>0</v>
      </c>
      <c r="AH32" s="76"/>
      <c r="AI32" s="75" cm="1">
        <f t="array" ref="AI32">SUM(INDEX(TRit4088[], $AN$6, $AP5), SUM(INDEX(TU4jt4896[], $AN$3:$AN$6, $AP5)), INDEX(EUit4492[], $AN$6, $AP5))</f>
        <v>0</v>
      </c>
      <c r="AJ32" s="76" t="s">
        <v>34</v>
      </c>
      <c r="AK32" s="77" cm="1">
        <f t="array" ref="AK32">INDEX(NUit53101[], $AN$6, $AP5)</f>
        <v>0</v>
      </c>
      <c r="AL32" s="31"/>
    </row>
    <row r="33" spans="2:38" ht="15.95" customHeight="1" thickTop="1" thickBot="1" x14ac:dyDescent="0.3">
      <c r="V33" s="32" t="s">
        <v>3</v>
      </c>
      <c r="W33" s="75" cm="1">
        <f t="array" ref="W33">SUM(INDEX(TRit4088[], $AN$3, $AP6), SUM(INDEX(TU1jt4593[], $AN$3:$AN$6, $AP6)), INDEX(EUit4492[], $AN$3, $AP6))</f>
        <v>0</v>
      </c>
      <c r="X33" s="76" t="s">
        <v>34</v>
      </c>
      <c r="Y33" s="77" cm="1">
        <f t="array" ref="Y33">INDEX(NUit53101[], $AN$3, $AP6)</f>
        <v>0</v>
      </c>
      <c r="Z33" s="76"/>
      <c r="AA33" s="75" cm="1">
        <f t="array" ref="AA33">SUM(INDEX(TRit4088[], $AN$4, $AP6), SUM(INDEX(TU2jt4694[], $AN$3:$AN$6, $AP6)), INDEX(EUit4492[], $AN$4, $AP6))</f>
        <v>0</v>
      </c>
      <c r="AB33" s="76" t="s">
        <v>34</v>
      </c>
      <c r="AC33" s="77" cm="1">
        <f t="array" ref="AC33">INDEX(NUit53101[], $AN$4, $AP6)</f>
        <v>0</v>
      </c>
      <c r="AD33" s="76"/>
      <c r="AE33" s="75" cm="1">
        <f t="array" ref="AE33">SUM(INDEX(TRit4088[], $AN$5, $AP6), SUM(INDEX(TU3jt4795[], $AN$3:$AN$6, $AP6)), INDEX(EUit4492[], $AN$5, $AP6))</f>
        <v>0</v>
      </c>
      <c r="AF33" s="76" t="s">
        <v>34</v>
      </c>
      <c r="AG33" s="77" cm="1">
        <f t="array" ref="AG33">INDEX(NUit53101[], $AN$5, $AP6)</f>
        <v>0</v>
      </c>
      <c r="AH33" s="76"/>
      <c r="AI33" s="75" cm="1">
        <f t="array" ref="AI33">SUM(INDEX(TRit4088[], $AN$6, $AP6), SUM(INDEX(TU4jt4896[], $AN$3:$AN$6, $AP6)), INDEX(EUit4492[], $AN$6, $AP6))</f>
        <v>0</v>
      </c>
      <c r="AJ33" s="76" t="s">
        <v>34</v>
      </c>
      <c r="AK33" s="77" cm="1">
        <f t="array" ref="AK33">INDEX(NUit53101[], $AN$6, $AP6)</f>
        <v>0</v>
      </c>
      <c r="AL33" s="31"/>
    </row>
    <row r="34" spans="2:38" ht="15.95" customHeight="1" thickTop="1" thickBot="1" x14ac:dyDescent="0.3">
      <c r="B34" s="27"/>
      <c r="C34" s="28"/>
      <c r="D34" s="28"/>
      <c r="E34" s="28"/>
      <c r="F34" s="28"/>
      <c r="G34" s="28"/>
      <c r="H34" s="28"/>
      <c r="I34" s="28"/>
      <c r="J34" s="29"/>
      <c r="V34" s="32" t="s">
        <v>4</v>
      </c>
      <c r="W34" s="75" cm="1">
        <f t="array" ref="W34">SUM(INDEX(TRit4088[], $AN$3, $AP7), SUM(INDEX(TU1jt4593[], $AN$3:$AN$6, $AP7)), INDEX(EUit4492[], $AN$3, $AP7))</f>
        <v>0</v>
      </c>
      <c r="X34" s="76" t="s">
        <v>34</v>
      </c>
      <c r="Y34" s="77" cm="1">
        <f t="array" ref="Y34">INDEX(NUit53101[], $AN$3, $AP7)</f>
        <v>0</v>
      </c>
      <c r="Z34" s="76"/>
      <c r="AA34" s="75" cm="1">
        <f t="array" ref="AA34">SUM(INDEX(TRit4088[], $AN$4, $AP7), SUM(INDEX(TU2jt4694[], $AN$3:$AN$6, $AP7)), INDEX(EUit4492[], $AN$4, $AP7))</f>
        <v>0</v>
      </c>
      <c r="AB34" s="76" t="s">
        <v>34</v>
      </c>
      <c r="AC34" s="77" cm="1">
        <f t="array" ref="AC34">INDEX(NUit53101[], $AN$4, $AP7)</f>
        <v>0</v>
      </c>
      <c r="AD34" s="76"/>
      <c r="AE34" s="75" cm="1">
        <f t="array" ref="AE34">SUM(INDEX(TRit4088[], $AN$5, $AP7), SUM(INDEX(TU3jt4795[], $AN$3:$AN$6, $AP7)), INDEX(EUit4492[], $AN$5, $AP7))</f>
        <v>0</v>
      </c>
      <c r="AF34" s="76" t="s">
        <v>34</v>
      </c>
      <c r="AG34" s="77" cm="1">
        <f t="array" ref="AG34">INDEX(NUit53101[], $AN$5, $AP7)</f>
        <v>0</v>
      </c>
      <c r="AH34" s="76"/>
      <c r="AI34" s="75" cm="1">
        <f t="array" ref="AI34">SUM(INDEX(TRit4088[], $AN$6, $AP7), SUM(INDEX(TU4jt4896[], $AN$3:$AN$6, $AP7)), INDEX(EUit4492[], $AN$6, $AP7))</f>
        <v>0</v>
      </c>
      <c r="AJ34" s="76" t="s">
        <v>34</v>
      </c>
      <c r="AK34" s="77" cm="1">
        <f t="array" ref="AK34">INDEX(NUit53101[], $AN$6, $AP7)</f>
        <v>0</v>
      </c>
      <c r="AL34" s="31"/>
    </row>
    <row r="35" spans="2:38" ht="26.25" thickBot="1" x14ac:dyDescent="0.3">
      <c r="B35" s="30"/>
      <c r="C35" s="36" t="s">
        <v>44</v>
      </c>
      <c r="D35" s="45" t="s">
        <v>46</v>
      </c>
      <c r="E35" s="45" t="s">
        <v>47</v>
      </c>
      <c r="F35" s="45" t="s">
        <v>48</v>
      </c>
      <c r="G35" s="46" t="s">
        <v>49</v>
      </c>
      <c r="H35" s="45" t="s">
        <v>50</v>
      </c>
      <c r="I35" s="56" t="s">
        <v>51</v>
      </c>
      <c r="J35" s="31"/>
      <c r="V35" s="32" t="s">
        <v>5</v>
      </c>
      <c r="W35" s="75" cm="1">
        <f t="array" ref="W35">SUM(INDEX(TRit4088[], $AN$3, $AP8), SUM(INDEX(TU1jt4593[], $AN$3:$AN$6, $AP8)), INDEX(EUit4492[], $AN$3, $AP8))</f>
        <v>0</v>
      </c>
      <c r="X35" s="76" t="s">
        <v>34</v>
      </c>
      <c r="Y35" s="77" cm="1">
        <f t="array" ref="Y35">INDEX(NUit53101[], $AN$3, $AP8)</f>
        <v>0</v>
      </c>
      <c r="Z35" s="76"/>
      <c r="AA35" s="75" cm="1">
        <f t="array" ref="AA35">SUM(INDEX(TRit4088[], $AN$4, $AP8), SUM(INDEX(TU2jt4694[], $AN$3:$AN$6, $AP8)), INDEX(EUit4492[], $AN$4, $AP8))</f>
        <v>0</v>
      </c>
      <c r="AB35" s="76" t="s">
        <v>34</v>
      </c>
      <c r="AC35" s="77" cm="1">
        <f t="array" ref="AC35">INDEX(NUit53101[], $AN$4, $AP8)</f>
        <v>0</v>
      </c>
      <c r="AD35" s="76"/>
      <c r="AE35" s="75" cm="1">
        <f t="array" ref="AE35">SUM(INDEX(TRit4088[], $AN$5, $AP8), SUM(INDEX(TU3jt4795[], $AN$3:$AN$6, $AP8)), INDEX(EUit4492[], $AN$5, $AP8))</f>
        <v>0</v>
      </c>
      <c r="AF35" s="76" t="s">
        <v>34</v>
      </c>
      <c r="AG35" s="77" cm="1">
        <f t="array" ref="AG35">INDEX(NUit53101[], $AN$5, $AP8)</f>
        <v>0</v>
      </c>
      <c r="AH35" s="76"/>
      <c r="AI35" s="75" cm="1">
        <f t="array" ref="AI35">SUM(INDEX(TRit4088[], $AN$6, $AP8), SUM(INDEX(TU4jt4896[], $AN$3:$AN$6, $AP8)), INDEX(EUit4492[], $AN$6, $AP8))</f>
        <v>0</v>
      </c>
      <c r="AJ35" s="76" t="s">
        <v>34</v>
      </c>
      <c r="AK35" s="77" cm="1">
        <f t="array" ref="AK35">INDEX(NUit53101[], $AN$6, $AP8)</f>
        <v>0</v>
      </c>
      <c r="AL35" s="31"/>
    </row>
    <row r="36" spans="2:38" ht="15.95" customHeight="1" thickBot="1" x14ac:dyDescent="0.3">
      <c r="B36" s="32"/>
      <c r="C36" s="23">
        <v>1</v>
      </c>
      <c r="D36" s="21">
        <v>0</v>
      </c>
      <c r="E36" s="21">
        <v>0</v>
      </c>
      <c r="F36" s="21">
        <v>0</v>
      </c>
      <c r="G36" s="20">
        <v>0</v>
      </c>
      <c r="H36" s="20">
        <v>0</v>
      </c>
      <c r="I36" s="54">
        <v>0</v>
      </c>
      <c r="J36" s="31"/>
      <c r="V36" s="33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34"/>
    </row>
    <row r="37" spans="2:38" ht="15.95" customHeight="1" thickBot="1" x14ac:dyDescent="0.3">
      <c r="B37" s="32"/>
      <c r="C37" s="24">
        <v>2</v>
      </c>
      <c r="D37" s="22">
        <v>0</v>
      </c>
      <c r="E37" s="22">
        <v>0</v>
      </c>
      <c r="F37" s="22">
        <v>0</v>
      </c>
      <c r="G37" s="19">
        <v>0</v>
      </c>
      <c r="H37" s="19">
        <v>0</v>
      </c>
      <c r="I37" s="55">
        <v>0</v>
      </c>
      <c r="J37" s="31"/>
    </row>
    <row r="38" spans="2:38" ht="15.95" customHeight="1" thickTop="1" thickBot="1" x14ac:dyDescent="0.3">
      <c r="B38" s="32"/>
      <c r="C38" s="24">
        <v>3</v>
      </c>
      <c r="D38" s="22">
        <v>0</v>
      </c>
      <c r="E38" s="22">
        <v>0</v>
      </c>
      <c r="F38" s="22">
        <v>0</v>
      </c>
      <c r="G38" s="19">
        <v>0</v>
      </c>
      <c r="H38" s="19">
        <v>0</v>
      </c>
      <c r="I38" s="55">
        <v>0</v>
      </c>
      <c r="J38" s="31"/>
      <c r="V38" s="27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9"/>
    </row>
    <row r="39" spans="2:38" ht="15.95" customHeight="1" thickBot="1" x14ac:dyDescent="0.3">
      <c r="B39" s="32"/>
      <c r="C39" s="25">
        <v>4</v>
      </c>
      <c r="D39" s="57">
        <v>0</v>
      </c>
      <c r="E39" s="57">
        <v>0</v>
      </c>
      <c r="F39" s="57">
        <v>0</v>
      </c>
      <c r="G39" s="58">
        <v>0</v>
      </c>
      <c r="H39" s="58">
        <v>0</v>
      </c>
      <c r="I39" s="59">
        <v>0</v>
      </c>
      <c r="J39" s="31"/>
      <c r="V39" s="32"/>
      <c r="W39" s="149" t="s">
        <v>40</v>
      </c>
      <c r="X39" s="149"/>
      <c r="Y39" s="149"/>
      <c r="Z39" s="149"/>
      <c r="AA39" s="149"/>
      <c r="AB39" s="149"/>
      <c r="AC39" s="149"/>
      <c r="AD39" s="149"/>
      <c r="AE39" s="149"/>
      <c r="AF39" s="149"/>
      <c r="AG39" s="149"/>
      <c r="AH39" s="149"/>
      <c r="AI39" s="149"/>
      <c r="AJ39" s="149"/>
      <c r="AK39" s="149"/>
      <c r="AL39" s="31"/>
    </row>
    <row r="40" spans="2:38" ht="15.95" customHeight="1" thickBot="1" x14ac:dyDescent="0.3">
      <c r="B40" s="33"/>
      <c r="C40" s="26"/>
      <c r="D40" s="26"/>
      <c r="E40" s="26"/>
      <c r="F40" s="26"/>
      <c r="G40" s="26"/>
      <c r="H40" s="26"/>
      <c r="I40" s="26"/>
      <c r="J40" s="34"/>
      <c r="V40" s="32"/>
      <c r="W40" s="135"/>
      <c r="AL40" s="31"/>
    </row>
    <row r="41" spans="2:38" ht="15.95" customHeight="1" thickTop="1" thickBot="1" x14ac:dyDescent="0.3">
      <c r="B41" s="28"/>
      <c r="C41" s="28"/>
      <c r="D41" s="28"/>
      <c r="E41" s="28"/>
      <c r="F41" s="28"/>
      <c r="G41" s="28"/>
      <c r="H41" s="28"/>
      <c r="I41" s="28"/>
      <c r="J41" s="28"/>
      <c r="V41" s="32"/>
      <c r="W41" s="150" t="s">
        <v>6</v>
      </c>
      <c r="X41" s="150"/>
      <c r="Y41" s="150"/>
      <c r="AA41" s="151" t="s">
        <v>9</v>
      </c>
      <c r="AB41" s="151"/>
      <c r="AC41" s="151"/>
      <c r="AE41" s="151" t="s">
        <v>7</v>
      </c>
      <c r="AF41" s="151"/>
      <c r="AG41" s="151"/>
      <c r="AI41" s="151" t="s">
        <v>8</v>
      </c>
      <c r="AJ41" s="151"/>
      <c r="AK41" s="151"/>
      <c r="AL41" s="31"/>
    </row>
    <row r="42" spans="2:38" ht="15.95" customHeight="1" thickTop="1" thickBot="1" x14ac:dyDescent="0.3">
      <c r="B42" s="27"/>
      <c r="C42" s="28"/>
      <c r="D42" s="28"/>
      <c r="E42" s="28"/>
      <c r="F42" s="28"/>
      <c r="G42" s="28"/>
      <c r="H42" s="28"/>
      <c r="I42" s="28"/>
      <c r="J42" s="29"/>
      <c r="V42" s="32" t="s">
        <v>0</v>
      </c>
      <c r="W42" s="75" cm="1">
        <f t="array" ref="W42">SUM(INDEX(RPit4189[], $AN$3, $AP3), SUM(INDEX(TD1jt4997[], $AN$3:$AN$6, $AP3)), INDEX(EDit4391[], $AN$3, $AP3))</f>
        <v>0</v>
      </c>
      <c r="X42" s="76" t="s">
        <v>34</v>
      </c>
      <c r="Y42" s="77" cm="1">
        <f t="array" ref="Y42">INDEX(NDit4290[], $AN$3, $AP3)</f>
        <v>0</v>
      </c>
      <c r="Z42" s="76"/>
      <c r="AA42" s="75" cm="1">
        <f t="array" ref="AA42">SUM(INDEX(RPit4189[], $AN$4, $AP3), SUM(INDEX(TD2jt5098[], $AN$3:$AN$6, $AP3)), INDEX(EDit4391[], $AN$4, $AP3))</f>
        <v>0</v>
      </c>
      <c r="AB42" s="76" t="s">
        <v>34</v>
      </c>
      <c r="AC42" s="77" cm="1">
        <f t="array" ref="AC42">INDEX(NDit4290[], $AN$4, $AP3)</f>
        <v>0</v>
      </c>
      <c r="AD42" s="76"/>
      <c r="AE42" s="75" cm="1">
        <f t="array" ref="AE42">SUM(INDEX(RPit4189[], $AN$5, $AP3), SUM(INDEX(TD3jt5199[], $AN$3:$AN$6, $AP3)), INDEX(EDit4391[], $AN$5, $AP3))</f>
        <v>0</v>
      </c>
      <c r="AF42" s="76" t="s">
        <v>34</v>
      </c>
      <c r="AG42" s="77" cm="1">
        <f t="array" ref="AG42">INDEX(NDit4290[], $AN$5, $AP3)</f>
        <v>0</v>
      </c>
      <c r="AH42" s="76"/>
      <c r="AI42" s="75" cm="1">
        <f t="array" ref="AI42">SUM(INDEX(RPit4189[], $AN$6, $AP3), SUM(INDEX(TD4jt52100[], $AN$3:$AN$6, $AP3)), INDEX(EDit4391[], $AN$6, $AP3))</f>
        <v>0</v>
      </c>
      <c r="AJ42" s="76" t="s">
        <v>34</v>
      </c>
      <c r="AK42" s="77" cm="1">
        <f t="array" ref="AK42">INDEX(NDit4290[], $AN$6, $AP3)</f>
        <v>0</v>
      </c>
      <c r="AL42" s="31"/>
    </row>
    <row r="43" spans="2:38" ht="15.95" customHeight="1" thickBot="1" x14ac:dyDescent="0.3">
      <c r="B43" s="30"/>
      <c r="C43" s="36" t="s">
        <v>44</v>
      </c>
      <c r="D43" s="45" t="s">
        <v>46</v>
      </c>
      <c r="E43" s="45" t="s">
        <v>47</v>
      </c>
      <c r="F43" s="45" t="s">
        <v>48</v>
      </c>
      <c r="G43" s="46" t="s">
        <v>49</v>
      </c>
      <c r="H43" s="45" t="s">
        <v>50</v>
      </c>
      <c r="I43" s="56" t="s">
        <v>51</v>
      </c>
      <c r="J43" s="31"/>
      <c r="V43" s="32" t="s">
        <v>1</v>
      </c>
      <c r="W43" s="75" cm="1">
        <f t="array" ref="W43">SUM(INDEX(RPit4189[], $AN$3, $AP4), SUM(INDEX(TD1jt4997[], $AN$3:$AN$6, $AP4)), INDEX(EDit4391[], $AN$3, $AP4))</f>
        <v>0</v>
      </c>
      <c r="X43" s="76" t="s">
        <v>34</v>
      </c>
      <c r="Y43" s="77" cm="1">
        <f t="array" ref="Y43">INDEX(NDit4290[], $AN$3, $AP4)</f>
        <v>0</v>
      </c>
      <c r="Z43" s="76"/>
      <c r="AA43" s="75" cm="1">
        <f t="array" ref="AA43">SUM(INDEX(RPit4189[], $AN$4, $AP4), SUM(INDEX(TD2jt5098[], $AN$3:$AN$6, $AP4)), INDEX(EDit4391[], $AN$4, $AP4))</f>
        <v>0</v>
      </c>
      <c r="AB43" s="76" t="s">
        <v>34</v>
      </c>
      <c r="AC43" s="77" cm="1">
        <f t="array" ref="AC43">INDEX(NDit4290[], $AN$4, $AP4)</f>
        <v>0</v>
      </c>
      <c r="AD43" s="76"/>
      <c r="AE43" s="75" cm="1">
        <f t="array" ref="AE43">SUM(INDEX(RPit4189[], $AN$5, $AP4), SUM(INDEX(TD3jt5199[], $AN$3:$AN$6, $AP4)), INDEX(EDit4391[], $AN$5, $AP4))</f>
        <v>0</v>
      </c>
      <c r="AF43" s="76" t="s">
        <v>34</v>
      </c>
      <c r="AG43" s="77" cm="1">
        <f t="array" ref="AG43">INDEX(NDit4290[], $AN$5, $AP4)</f>
        <v>0</v>
      </c>
      <c r="AH43" s="76"/>
      <c r="AI43" s="75" cm="1">
        <f t="array" ref="AI43">SUM(INDEX(RPit4189[], $AN$6, $AP4), SUM(INDEX(TD4jt52100[], $AN$3:$AN$6, $AP4)), INDEX(EDit4391[], $AN$6, $AP4))</f>
        <v>0</v>
      </c>
      <c r="AJ43" s="76" t="s">
        <v>34</v>
      </c>
      <c r="AK43" s="77" cm="1">
        <f t="array" ref="AK43">INDEX(NDit4290[], $AN$6, $AP4)</f>
        <v>0</v>
      </c>
      <c r="AL43" s="31"/>
    </row>
    <row r="44" spans="2:38" ht="15.95" customHeight="1" thickBot="1" x14ac:dyDescent="0.3">
      <c r="B44" s="32"/>
      <c r="C44" s="23">
        <v>1</v>
      </c>
      <c r="D44" s="21">
        <v>0</v>
      </c>
      <c r="E44" s="21">
        <v>0</v>
      </c>
      <c r="F44" s="21">
        <v>0</v>
      </c>
      <c r="G44" s="20">
        <v>0</v>
      </c>
      <c r="H44" s="20">
        <v>0</v>
      </c>
      <c r="I44" s="54">
        <v>0</v>
      </c>
      <c r="J44" s="31"/>
      <c r="V44" s="32" t="s">
        <v>2</v>
      </c>
      <c r="W44" s="75" cm="1">
        <f t="array" ref="W44">SUM(INDEX(RPit4189[], $AN$3, $AP5), SUM(INDEX(TD1jt4997[], $AN$3:$AN$6, $AP5)), INDEX(EDit4391[], $AN$3, $AP5))</f>
        <v>0</v>
      </c>
      <c r="X44" s="76" t="s">
        <v>34</v>
      </c>
      <c r="Y44" s="77" cm="1">
        <f t="array" ref="Y44">INDEX(NDit4290[], $AN$3, $AP5)</f>
        <v>0</v>
      </c>
      <c r="Z44" s="76"/>
      <c r="AA44" s="75" cm="1">
        <f t="array" ref="AA44">SUM(INDEX(RPit4189[], $AN$4, $AP5), SUM(INDEX(TD2jt5098[], $AN$3:$AN$6, $AP5)), INDEX(EDit4391[], $AN$4, $AP5))</f>
        <v>0</v>
      </c>
      <c r="AB44" s="76" t="s">
        <v>34</v>
      </c>
      <c r="AC44" s="77" cm="1">
        <f t="array" ref="AC44">INDEX(NDit4290[], $AN$4, $AP5)</f>
        <v>0</v>
      </c>
      <c r="AD44" s="76"/>
      <c r="AE44" s="75" cm="1">
        <f t="array" ref="AE44">SUM(INDEX(RPit4189[], $AN$5, $AP5), SUM(INDEX(TD3jt5199[], $AN$3:$AN$6, $AP5)), INDEX(EDit4391[], $AN$5, $AP5))</f>
        <v>0</v>
      </c>
      <c r="AF44" s="76" t="s">
        <v>34</v>
      </c>
      <c r="AG44" s="77" cm="1">
        <f t="array" ref="AG44">INDEX(NDit4290[], $AN$5, $AP5)</f>
        <v>0</v>
      </c>
      <c r="AH44" s="76"/>
      <c r="AI44" s="75" cm="1">
        <f t="array" ref="AI44">SUM(INDEX(RPit4189[], $AN$6, $AP5), SUM(INDEX(TD4jt52100[], $AN$3:$AN$6, $AP5)), INDEX(EDit4391[], $AN$6, $AP5))</f>
        <v>0</v>
      </c>
      <c r="AJ44" s="76" t="s">
        <v>34</v>
      </c>
      <c r="AK44" s="77" cm="1">
        <f t="array" ref="AK44">INDEX(NDit4290[], $AN$6, $AP5)</f>
        <v>0</v>
      </c>
      <c r="AL44" s="31"/>
    </row>
    <row r="45" spans="2:38" ht="15.95" customHeight="1" thickBot="1" x14ac:dyDescent="0.3">
      <c r="B45" s="32"/>
      <c r="C45" s="24">
        <v>2</v>
      </c>
      <c r="D45" s="21">
        <v>0</v>
      </c>
      <c r="E45" s="21">
        <v>0</v>
      </c>
      <c r="F45" s="21">
        <v>0</v>
      </c>
      <c r="G45" s="20">
        <v>0</v>
      </c>
      <c r="H45" s="20">
        <v>0</v>
      </c>
      <c r="I45" s="54">
        <v>0</v>
      </c>
      <c r="J45" s="31"/>
      <c r="V45" s="32" t="s">
        <v>3</v>
      </c>
      <c r="W45" s="75" cm="1">
        <f t="array" ref="W45">SUM(INDEX(RPit4189[], $AN$3, $AP6), SUM(INDEX(TD1jt4997[], $AN$3:$AN$6, $AP6)), INDEX(EDit4391[], $AN$3, $AP6))</f>
        <v>0</v>
      </c>
      <c r="X45" s="76" t="s">
        <v>34</v>
      </c>
      <c r="Y45" s="77" cm="1">
        <f t="array" ref="Y45">INDEX(NDit4290[], $AN$3, $AP6)</f>
        <v>0</v>
      </c>
      <c r="Z45" s="76"/>
      <c r="AA45" s="75" cm="1">
        <f t="array" ref="AA45">SUM(INDEX(RPit4189[], $AN$4, $AP6), SUM(INDEX(TD2jt5098[], $AN$3:$AN$6, $AP6)), INDEX(EDit4391[], $AN$4, $AP6))</f>
        <v>0</v>
      </c>
      <c r="AB45" s="76" t="s">
        <v>34</v>
      </c>
      <c r="AC45" s="77" cm="1">
        <f t="array" ref="AC45">INDEX(NDit4290[], $AN$4, $AP6)</f>
        <v>0</v>
      </c>
      <c r="AD45" s="76"/>
      <c r="AE45" s="75" cm="1">
        <f t="array" ref="AE45">SUM(INDEX(RPit4189[], $AN$5, $AP6), SUM(INDEX(TD3jt5199[], $AN$3:$AN$6, $AP6)), INDEX(EDit4391[], $AN$5, $AP6))</f>
        <v>0</v>
      </c>
      <c r="AF45" s="76" t="s">
        <v>34</v>
      </c>
      <c r="AG45" s="77" cm="1">
        <f t="array" ref="AG45">INDEX(NDit4290[], $AN$5, $AP6)</f>
        <v>0</v>
      </c>
      <c r="AH45" s="76"/>
      <c r="AI45" s="75" cm="1">
        <f t="array" ref="AI45">SUM(INDEX(RPit4189[], $AN$6, $AP6), SUM(INDEX(TD4jt52100[], $AN$3:$AN$6, $AP6)), INDEX(EDit4391[], $AN$6, $AP6))</f>
        <v>0</v>
      </c>
      <c r="AJ45" s="76" t="s">
        <v>34</v>
      </c>
      <c r="AK45" s="77" cm="1">
        <f t="array" ref="AK45">INDEX(NDit4290[], $AN$6, $AP6)</f>
        <v>0</v>
      </c>
      <c r="AL45" s="31"/>
    </row>
    <row r="46" spans="2:38" ht="15.95" customHeight="1" thickBot="1" x14ac:dyDescent="0.3">
      <c r="B46" s="32"/>
      <c r="C46" s="24">
        <v>3</v>
      </c>
      <c r="D46" s="22">
        <v>0</v>
      </c>
      <c r="E46" s="22">
        <v>0</v>
      </c>
      <c r="F46" s="22">
        <v>0</v>
      </c>
      <c r="G46" s="19">
        <v>0</v>
      </c>
      <c r="H46" s="19">
        <v>0</v>
      </c>
      <c r="I46" s="55">
        <v>0</v>
      </c>
      <c r="J46" s="31"/>
      <c r="V46" s="32" t="s">
        <v>4</v>
      </c>
      <c r="W46" s="75" cm="1">
        <f t="array" ref="W46">SUM(INDEX(RPit4189[], $AN$3, $AP7), SUM(INDEX(TD1jt4997[], $AN$3:$AN$6, $AP7)), INDEX(EDit4391[], $AN$3, $AP7))</f>
        <v>0</v>
      </c>
      <c r="X46" s="76" t="s">
        <v>34</v>
      </c>
      <c r="Y46" s="77" cm="1">
        <f t="array" ref="Y46">INDEX(NDit4290[], $AN$3, $AP7)</f>
        <v>0</v>
      </c>
      <c r="Z46" s="76"/>
      <c r="AA46" s="75" cm="1">
        <f t="array" ref="AA46">SUM(INDEX(RPit4189[], $AN$4, $AP7), SUM(INDEX(TD2jt5098[], $AN$3:$AN$6, $AP7)), INDEX(EDit4391[], $AN$4, $AP7))</f>
        <v>0</v>
      </c>
      <c r="AB46" s="76" t="s">
        <v>34</v>
      </c>
      <c r="AC46" s="77" cm="1">
        <f t="array" ref="AC46">INDEX(NDit4290[], $AN$4, $AP7)</f>
        <v>0</v>
      </c>
      <c r="AD46" s="76"/>
      <c r="AE46" s="75" cm="1">
        <f t="array" ref="AE46">SUM(INDEX(RPit4189[], $AN$5, $AP7), SUM(INDEX(TD3jt5199[], $AN$3:$AN$6, $AP7)), INDEX(EDit4391[], $AN$5, $AP7))</f>
        <v>0</v>
      </c>
      <c r="AF46" s="76" t="s">
        <v>34</v>
      </c>
      <c r="AG46" s="77" cm="1">
        <f t="array" ref="AG46">INDEX(NDit4290[], $AN$5, $AP7)</f>
        <v>0</v>
      </c>
      <c r="AH46" s="76"/>
      <c r="AI46" s="75" cm="1">
        <f t="array" ref="AI46">SUM(INDEX(RPit4189[], $AN$6, $AP7), SUM(INDEX(TD4jt52100[], $AN$3:$AN$6, $AP7)), INDEX(EDit4391[], $AN$6, $AP7))</f>
        <v>0</v>
      </c>
      <c r="AJ46" s="76" t="s">
        <v>34</v>
      </c>
      <c r="AK46" s="77" cm="1">
        <f t="array" ref="AK46">INDEX(NDit4290[], $AN$6, $AP7)</f>
        <v>0</v>
      </c>
      <c r="AL46" s="31"/>
    </row>
    <row r="47" spans="2:38" ht="15.95" customHeight="1" thickBot="1" x14ac:dyDescent="0.3">
      <c r="B47" s="32"/>
      <c r="C47" s="25">
        <v>4</v>
      </c>
      <c r="D47" s="57">
        <v>0</v>
      </c>
      <c r="E47" s="57">
        <v>0</v>
      </c>
      <c r="F47" s="57">
        <v>0</v>
      </c>
      <c r="G47" s="58">
        <v>0</v>
      </c>
      <c r="H47" s="58">
        <v>0</v>
      </c>
      <c r="I47" s="59">
        <v>0</v>
      </c>
      <c r="J47" s="31"/>
      <c r="V47" s="32" t="s">
        <v>5</v>
      </c>
      <c r="W47" s="75" cm="1">
        <f t="array" ref="W47">SUM(INDEX(RPit4189[], $AN$3, $AP8), SUM(INDEX(TD1jt4997[], $AN$3:$AN$6, $AP8)), INDEX(EDit4391[], $AN$3, $AP8))</f>
        <v>0</v>
      </c>
      <c r="X47" s="76" t="s">
        <v>34</v>
      </c>
      <c r="Y47" s="77" cm="1">
        <f t="array" ref="Y47">INDEX(NDit4290[], $AN$3, $AP8)</f>
        <v>0</v>
      </c>
      <c r="Z47" s="76"/>
      <c r="AA47" s="75" cm="1">
        <f t="array" ref="AA47">SUM(INDEX(RPit4189[], $AN$4, $AP8), SUM(INDEX(TD2jt5098[], $AN$3:$AN$6, $AP8)), INDEX(EDit4391[], $AN$4, $AP8))</f>
        <v>0</v>
      </c>
      <c r="AB47" s="76" t="s">
        <v>34</v>
      </c>
      <c r="AC47" s="77" cm="1">
        <f t="array" ref="AC47">INDEX(NDit4290[], $AN$4, $AP8)</f>
        <v>0</v>
      </c>
      <c r="AD47" s="76"/>
      <c r="AE47" s="75" cm="1">
        <f t="array" ref="AE47">SUM(INDEX(RPit4189[], $AN$5, $AP8), SUM(INDEX(TD3jt5199[], $AN$3:$AN$6, $AP8)), INDEX(EDit4391[], $AN$5, $AP8))</f>
        <v>0</v>
      </c>
      <c r="AF47" s="76" t="s">
        <v>34</v>
      </c>
      <c r="AG47" s="77" cm="1">
        <f t="array" ref="AG47">INDEX(NDit4290[], $AN$5, $AP8)</f>
        <v>0</v>
      </c>
      <c r="AH47" s="76"/>
      <c r="AI47" s="75" cm="1">
        <f t="array" ref="AI47">SUM(INDEX(RPit4189[], $AN$6, $AP8), SUM(INDEX(TD4jt52100[], $AN$3:$AN$6, $AP8)), INDEX(EDit4391[], $AN$6, $AP8))</f>
        <v>0</v>
      </c>
      <c r="AJ47" s="76" t="s">
        <v>34</v>
      </c>
      <c r="AK47" s="77" cm="1">
        <f t="array" ref="AK47">INDEX(NDit4290[], $AN$6, $AP8)</f>
        <v>0</v>
      </c>
      <c r="AL47" s="31"/>
    </row>
    <row r="48" spans="2:38" ht="15.95" customHeight="1" thickBot="1" x14ac:dyDescent="0.3">
      <c r="B48" s="33"/>
      <c r="C48" s="26"/>
      <c r="D48" s="26"/>
      <c r="E48" s="26"/>
      <c r="F48" s="26"/>
      <c r="G48" s="26"/>
      <c r="H48" s="26"/>
      <c r="I48" s="26"/>
      <c r="J48" s="34"/>
      <c r="V48" s="33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34"/>
    </row>
    <row r="49" spans="1:38" ht="15.95" customHeight="1" thickTop="1" thickBot="1" x14ac:dyDescent="0.3">
      <c r="B49" s="28"/>
      <c r="C49" s="28"/>
      <c r="D49" s="28"/>
      <c r="E49" s="28"/>
      <c r="F49" s="28"/>
      <c r="G49" s="28"/>
      <c r="H49" s="28"/>
      <c r="I49" s="28"/>
      <c r="J49" s="28"/>
      <c r="K49" s="40"/>
      <c r="L49" s="40"/>
      <c r="M49" s="40"/>
      <c r="N49" s="40"/>
      <c r="O49" s="40"/>
      <c r="P49" s="40"/>
      <c r="Q49" s="40"/>
      <c r="R49" s="40"/>
      <c r="S49" s="40"/>
    </row>
    <row r="50" spans="1:38" ht="15.95" customHeight="1" thickTop="1" thickBot="1" x14ac:dyDescent="0.3">
      <c r="B50" s="27"/>
      <c r="C50" s="28"/>
      <c r="D50" s="28"/>
      <c r="E50" s="28"/>
      <c r="F50" s="28"/>
      <c r="G50" s="28"/>
      <c r="H50" s="28"/>
      <c r="I50" s="28"/>
      <c r="J50" s="28"/>
      <c r="S50" s="41"/>
      <c r="V50" s="27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9"/>
    </row>
    <row r="51" spans="1:38" ht="26.25" thickBot="1" x14ac:dyDescent="0.3">
      <c r="B51" s="30"/>
      <c r="C51" s="37" t="s">
        <v>45</v>
      </c>
      <c r="D51" s="45" t="s">
        <v>46</v>
      </c>
      <c r="E51" s="45" t="s">
        <v>47</v>
      </c>
      <c r="F51" s="45" t="s">
        <v>48</v>
      </c>
      <c r="G51" s="46" t="s">
        <v>49</v>
      </c>
      <c r="H51" s="45" t="s">
        <v>50</v>
      </c>
      <c r="I51" s="56" t="s">
        <v>51</v>
      </c>
      <c r="L51" s="37" t="s">
        <v>45</v>
      </c>
      <c r="M51" s="45" t="s">
        <v>46</v>
      </c>
      <c r="N51" s="45" t="s">
        <v>47</v>
      </c>
      <c r="O51" s="45" t="s">
        <v>48</v>
      </c>
      <c r="P51" s="46" t="s">
        <v>49</v>
      </c>
      <c r="Q51" s="45" t="s">
        <v>50</v>
      </c>
      <c r="R51" s="56" t="s">
        <v>51</v>
      </c>
      <c r="S51" s="38"/>
      <c r="V51" s="32"/>
      <c r="W51" s="149" t="s">
        <v>39</v>
      </c>
      <c r="X51" s="149"/>
      <c r="Y51" s="149"/>
      <c r="Z51" s="149"/>
      <c r="AA51" s="149"/>
      <c r="AB51" s="149"/>
      <c r="AC51" s="149"/>
      <c r="AD51" s="149"/>
      <c r="AE51" s="149"/>
      <c r="AF51" s="149"/>
      <c r="AG51" s="149"/>
      <c r="AH51" s="149"/>
      <c r="AI51" s="149"/>
      <c r="AJ51" s="149"/>
      <c r="AK51" s="149"/>
      <c r="AL51" s="31"/>
    </row>
    <row r="52" spans="1:38" ht="15.95" customHeight="1" thickBot="1" x14ac:dyDescent="0.3">
      <c r="B52" s="32"/>
      <c r="C52" s="23">
        <v>1</v>
      </c>
      <c r="D52" s="21">
        <v>0</v>
      </c>
      <c r="E52" s="21">
        <v>0</v>
      </c>
      <c r="F52" s="21">
        <v>0</v>
      </c>
      <c r="G52" s="20">
        <v>0</v>
      </c>
      <c r="H52" s="20">
        <v>0</v>
      </c>
      <c r="I52" s="54">
        <v>0</v>
      </c>
      <c r="L52" s="23">
        <v>1</v>
      </c>
      <c r="M52" s="21">
        <v>0</v>
      </c>
      <c r="N52" s="21">
        <v>0</v>
      </c>
      <c r="O52" s="21">
        <v>0</v>
      </c>
      <c r="P52" s="20">
        <v>0</v>
      </c>
      <c r="Q52" s="20">
        <v>0</v>
      </c>
      <c r="R52" s="54">
        <v>0</v>
      </c>
      <c r="S52" s="38"/>
      <c r="V52" s="32"/>
      <c r="AL52" s="31"/>
    </row>
    <row r="53" spans="1:38" ht="15.95" customHeight="1" thickBot="1" x14ac:dyDescent="0.3">
      <c r="B53" s="32"/>
      <c r="C53" s="24">
        <v>2</v>
      </c>
      <c r="D53" s="22">
        <v>0</v>
      </c>
      <c r="E53" s="22">
        <v>0</v>
      </c>
      <c r="F53" s="22">
        <v>0</v>
      </c>
      <c r="G53" s="19">
        <v>0</v>
      </c>
      <c r="H53" s="19">
        <v>0</v>
      </c>
      <c r="I53" s="55">
        <v>0</v>
      </c>
      <c r="L53" s="24">
        <v>2</v>
      </c>
      <c r="M53" s="22">
        <v>0</v>
      </c>
      <c r="N53" s="22">
        <v>0</v>
      </c>
      <c r="O53" s="22">
        <v>0</v>
      </c>
      <c r="P53" s="19">
        <v>0</v>
      </c>
      <c r="Q53" s="19">
        <v>0</v>
      </c>
      <c r="R53" s="55">
        <v>0</v>
      </c>
      <c r="S53" s="38"/>
      <c r="V53" s="32"/>
      <c r="W53" s="150" t="s">
        <v>6</v>
      </c>
      <c r="X53" s="150"/>
      <c r="Y53" s="150"/>
      <c r="AA53" s="151" t="s">
        <v>9</v>
      </c>
      <c r="AB53" s="151"/>
      <c r="AC53" s="151"/>
      <c r="AE53" s="151" t="s">
        <v>7</v>
      </c>
      <c r="AF53" s="151"/>
      <c r="AG53" s="151"/>
      <c r="AI53" s="151" t="s">
        <v>8</v>
      </c>
      <c r="AJ53" s="151"/>
      <c r="AK53" s="151"/>
      <c r="AL53" s="31"/>
    </row>
    <row r="54" spans="1:38" ht="15.95" customHeight="1" thickBot="1" x14ac:dyDescent="0.3">
      <c r="B54" s="32"/>
      <c r="C54" s="24">
        <v>3</v>
      </c>
      <c r="D54" s="22">
        <v>0</v>
      </c>
      <c r="E54" s="22">
        <v>0</v>
      </c>
      <c r="F54" s="22">
        <v>0</v>
      </c>
      <c r="G54" s="19">
        <v>0</v>
      </c>
      <c r="H54" s="19">
        <v>0</v>
      </c>
      <c r="I54" s="55">
        <v>0</v>
      </c>
      <c r="L54" s="24">
        <v>3</v>
      </c>
      <c r="M54" s="22">
        <v>0</v>
      </c>
      <c r="N54" s="22">
        <v>0</v>
      </c>
      <c r="O54" s="22">
        <v>0</v>
      </c>
      <c r="P54" s="19">
        <v>0</v>
      </c>
      <c r="Q54" s="19">
        <v>0</v>
      </c>
      <c r="R54" s="55">
        <v>0</v>
      </c>
      <c r="S54" s="38"/>
      <c r="V54" s="32" t="s">
        <v>0</v>
      </c>
      <c r="W54" s="75" cm="1">
        <f t="array" ref="W54">INDEX(RPit4189[],$AN$3,$AP3)</f>
        <v>0</v>
      </c>
      <c r="X54" s="76" t="s">
        <v>34</v>
      </c>
      <c r="Y54" s="77" cm="1">
        <f t="array" ref="Y54">INDEX(Repair_Capacity[],$AN$3)</f>
        <v>0</v>
      </c>
      <c r="Z54" s="76"/>
      <c r="AA54" s="75" cm="1">
        <f t="array" ref="AA54">INDEX(RPit4189[],$AN$4,$AP3)</f>
        <v>0</v>
      </c>
      <c r="AB54" s="76" t="s">
        <v>34</v>
      </c>
      <c r="AC54" s="77">
        <f>SUM(INDEX(Repair_Capacity[],$AN$4), 5*m_1, 5*m_2)</f>
        <v>22</v>
      </c>
      <c r="AD54" s="76"/>
      <c r="AE54" s="75" cm="1">
        <f t="array" ref="AE54">INDEX(RPit4189[],$AN$5,$AP3)</f>
        <v>0</v>
      </c>
      <c r="AF54" s="76" t="s">
        <v>34</v>
      </c>
      <c r="AG54" s="77">
        <f>SUM(INDEX(Repair_Capacity[],$AN$5), 5*b_1, 5*b_2)</f>
        <v>20</v>
      </c>
      <c r="AH54" s="76"/>
      <c r="AI54" s="75" cm="1">
        <f t="array" ref="AI54">INDEX(RPit4189[],$AN$6,$AP3)</f>
        <v>0</v>
      </c>
      <c r="AJ54" s="76" t="s">
        <v>34</v>
      </c>
      <c r="AK54" s="77">
        <f>SUM(INDEX(Repair_Capacity[],$AN$6), 5*p_1)</f>
        <v>0</v>
      </c>
      <c r="AL54" s="31"/>
    </row>
    <row r="55" spans="1:38" ht="15.95" customHeight="1" thickBot="1" x14ac:dyDescent="0.3">
      <c r="B55" s="32"/>
      <c r="C55" s="25">
        <v>4</v>
      </c>
      <c r="D55" s="57">
        <v>0</v>
      </c>
      <c r="E55" s="57">
        <v>0</v>
      </c>
      <c r="F55" s="57">
        <v>0</v>
      </c>
      <c r="G55" s="58">
        <v>0</v>
      </c>
      <c r="H55" s="58">
        <v>0</v>
      </c>
      <c r="I55" s="59">
        <v>0</v>
      </c>
      <c r="L55" s="25">
        <v>4</v>
      </c>
      <c r="M55" s="57">
        <v>0</v>
      </c>
      <c r="N55" s="57">
        <v>0</v>
      </c>
      <c r="O55" s="57">
        <v>0</v>
      </c>
      <c r="P55" s="58">
        <v>0</v>
      </c>
      <c r="Q55" s="58">
        <v>0</v>
      </c>
      <c r="R55" s="59">
        <v>0</v>
      </c>
      <c r="S55" s="38"/>
      <c r="V55" s="32" t="s">
        <v>1</v>
      </c>
      <c r="W55" s="75" cm="1">
        <f t="array" ref="W55">INDEX(RPit4189[],$AN$3,$AP4)</f>
        <v>0</v>
      </c>
      <c r="X55" s="76" t="s">
        <v>34</v>
      </c>
      <c r="Y55" s="77" cm="1">
        <f t="array" ref="Y55">INDEX(Repair_Capacity[],$AN$3)</f>
        <v>0</v>
      </c>
      <c r="Z55" s="76"/>
      <c r="AA55" s="75" cm="1">
        <f t="array" ref="AA55">INDEX(RPit4189[],$AN$4,$AP4)</f>
        <v>0</v>
      </c>
      <c r="AB55" s="76" t="s">
        <v>34</v>
      </c>
      <c r="AC55" s="77">
        <f>SUM(INDEX(Repair_Capacity[],$AN$4), 5*m_1, 5*m_2)</f>
        <v>22</v>
      </c>
      <c r="AD55" s="76"/>
      <c r="AE55" s="75" cm="1">
        <f t="array" ref="AE55">INDEX(RPit4189[],$AN$5,$AP4)</f>
        <v>0</v>
      </c>
      <c r="AF55" s="76" t="s">
        <v>34</v>
      </c>
      <c r="AG55" s="77">
        <f>SUM(INDEX(Repair_Capacity[],$AN$5), 5*b_1, 5*b_2)</f>
        <v>20</v>
      </c>
      <c r="AH55" s="76"/>
      <c r="AI55" s="75" cm="1">
        <f t="array" ref="AI55">INDEX(RPit4189[],$AN$6,$AP4)</f>
        <v>0</v>
      </c>
      <c r="AJ55" s="76" t="s">
        <v>34</v>
      </c>
      <c r="AK55" s="77">
        <f>SUM(INDEX(Repair_Capacity[],$AN$6), 5*p_1)</f>
        <v>0</v>
      </c>
      <c r="AL55" s="31"/>
    </row>
    <row r="56" spans="1:38" ht="15.95" customHeight="1" thickBot="1" x14ac:dyDescent="0.3">
      <c r="B56" s="32"/>
      <c r="S56" s="38"/>
      <c r="V56" s="32" t="s">
        <v>2</v>
      </c>
      <c r="W56" s="75" cm="1">
        <f t="array" ref="W56">INDEX(RPit4189[],$AN$3,$AP5)</f>
        <v>0</v>
      </c>
      <c r="X56" s="76" t="s">
        <v>34</v>
      </c>
      <c r="Y56" s="77" cm="1">
        <f t="array" ref="Y56">INDEX(Repair_Capacity[],$AN$3)</f>
        <v>0</v>
      </c>
      <c r="Z56" s="76"/>
      <c r="AA56" s="75" cm="1">
        <f t="array" ref="AA56">INDEX(RPit4189[],$AN$4,$AP5)</f>
        <v>0</v>
      </c>
      <c r="AB56" s="76" t="s">
        <v>34</v>
      </c>
      <c r="AC56" s="77">
        <f>SUM(INDEX(Repair_Capacity[],$AN$4), 5*m_1, 5*m_2)</f>
        <v>22</v>
      </c>
      <c r="AD56" s="76"/>
      <c r="AE56" s="75" cm="1">
        <f t="array" ref="AE56">INDEX(RPit4189[],$AN$5,$AP5)</f>
        <v>0</v>
      </c>
      <c r="AF56" s="76" t="s">
        <v>34</v>
      </c>
      <c r="AG56" s="77">
        <f>SUM(INDEX(Repair_Capacity[],$AN$5), 5*b_1, 5*b_2)</f>
        <v>20</v>
      </c>
      <c r="AH56" s="76"/>
      <c r="AI56" s="75" cm="1">
        <f t="array" ref="AI56">INDEX(RPit4189[],$AN$6,$AP5)</f>
        <v>0</v>
      </c>
      <c r="AJ56" s="76" t="s">
        <v>34</v>
      </c>
      <c r="AK56" s="77">
        <f>SUM(INDEX(Repair_Capacity[],$AN$6), 5*p_1)</f>
        <v>0</v>
      </c>
      <c r="AL56" s="31"/>
    </row>
    <row r="57" spans="1:38" ht="26.25" thickBot="1" x14ac:dyDescent="0.3">
      <c r="B57" s="32"/>
      <c r="C57" s="37" t="s">
        <v>45</v>
      </c>
      <c r="D57" s="45" t="s">
        <v>46</v>
      </c>
      <c r="E57" s="45" t="s">
        <v>47</v>
      </c>
      <c r="F57" s="45" t="s">
        <v>48</v>
      </c>
      <c r="G57" s="46" t="s">
        <v>49</v>
      </c>
      <c r="H57" s="45" t="s">
        <v>50</v>
      </c>
      <c r="I57" s="56" t="s">
        <v>51</v>
      </c>
      <c r="L57" s="37" t="s">
        <v>45</v>
      </c>
      <c r="M57" s="45" t="s">
        <v>46</v>
      </c>
      <c r="N57" s="45" t="s">
        <v>47</v>
      </c>
      <c r="O57" s="45" t="s">
        <v>48</v>
      </c>
      <c r="P57" s="46" t="s">
        <v>49</v>
      </c>
      <c r="Q57" s="45" t="s">
        <v>50</v>
      </c>
      <c r="R57" s="56" t="s">
        <v>51</v>
      </c>
      <c r="S57" s="38"/>
      <c r="V57" s="32" t="s">
        <v>3</v>
      </c>
      <c r="W57" s="75" cm="1">
        <f t="array" ref="W57">INDEX(RPit4189[],$AN$3,$AP6)</f>
        <v>0</v>
      </c>
      <c r="X57" s="76" t="s">
        <v>34</v>
      </c>
      <c r="Y57" s="77" cm="1">
        <f t="array" ref="Y57">INDEX(Repair_Capacity[],$AN$3)</f>
        <v>0</v>
      </c>
      <c r="Z57" s="76"/>
      <c r="AA57" s="75" cm="1">
        <f t="array" ref="AA57">INDEX(RPit4189[],$AN$4,$AP6)</f>
        <v>0</v>
      </c>
      <c r="AB57" s="76" t="s">
        <v>34</v>
      </c>
      <c r="AC57" s="77">
        <f>SUM(INDEX(Repair_Capacity[],$AN$4), 5*m_1, 5*m_2)</f>
        <v>22</v>
      </c>
      <c r="AD57" s="76"/>
      <c r="AE57" s="75" cm="1">
        <f t="array" ref="AE57">INDEX(RPit4189[],$AN$5,$AP6)</f>
        <v>0</v>
      </c>
      <c r="AF57" s="76" t="s">
        <v>34</v>
      </c>
      <c r="AG57" s="77">
        <f>SUM(INDEX(Repair_Capacity[],$AN$5), 5*b_1, 5*b_2)</f>
        <v>20</v>
      </c>
      <c r="AH57" s="76"/>
      <c r="AI57" s="75" cm="1">
        <f t="array" ref="AI57">INDEX(RPit4189[],$AN$6,$AP6)</f>
        <v>0</v>
      </c>
      <c r="AJ57" s="76" t="s">
        <v>34</v>
      </c>
      <c r="AK57" s="77">
        <f>SUM(INDEX(Repair_Capacity[],$AN$6), 5*p_1)</f>
        <v>0</v>
      </c>
      <c r="AL57" s="31"/>
    </row>
    <row r="58" spans="1:38" ht="15.95" customHeight="1" thickBot="1" x14ac:dyDescent="0.3">
      <c r="B58" s="32"/>
      <c r="C58" s="23">
        <v>1</v>
      </c>
      <c r="D58" s="21">
        <v>0</v>
      </c>
      <c r="E58" s="21">
        <v>0</v>
      </c>
      <c r="F58" s="21">
        <v>0</v>
      </c>
      <c r="G58" s="20">
        <v>0</v>
      </c>
      <c r="H58" s="20">
        <v>0</v>
      </c>
      <c r="I58" s="54">
        <v>0</v>
      </c>
      <c r="L58" s="23">
        <v>1</v>
      </c>
      <c r="M58" s="21">
        <v>0</v>
      </c>
      <c r="N58" s="21">
        <v>0</v>
      </c>
      <c r="O58" s="21">
        <v>0</v>
      </c>
      <c r="P58" s="20">
        <v>0</v>
      </c>
      <c r="Q58" s="20">
        <v>0</v>
      </c>
      <c r="R58" s="54">
        <v>0</v>
      </c>
      <c r="S58" s="38"/>
      <c r="V58" s="32" t="s">
        <v>4</v>
      </c>
      <c r="W58" s="75" cm="1">
        <f t="array" ref="W58">INDEX(RPit4189[],$AN$3,$AP7)</f>
        <v>0</v>
      </c>
      <c r="X58" s="76" t="s">
        <v>34</v>
      </c>
      <c r="Y58" s="77" cm="1">
        <f t="array" ref="Y58">INDEX(Repair_Capacity[],$AN$3)</f>
        <v>0</v>
      </c>
      <c r="Z58" s="76"/>
      <c r="AA58" s="75" cm="1">
        <f t="array" ref="AA58">INDEX(RPit4189[],$AN$4,$AP7)</f>
        <v>0</v>
      </c>
      <c r="AB58" s="76" t="s">
        <v>34</v>
      </c>
      <c r="AC58" s="77">
        <f>SUM(INDEX(Repair_Capacity[],$AN$4), 5*m_1, 5*m_2)</f>
        <v>22</v>
      </c>
      <c r="AD58" s="76"/>
      <c r="AE58" s="75" cm="1">
        <f t="array" ref="AE58">INDEX(RPit4189[],$AN$5,$AP7)</f>
        <v>0</v>
      </c>
      <c r="AF58" s="76" t="s">
        <v>34</v>
      </c>
      <c r="AG58" s="77">
        <f>SUM(INDEX(Repair_Capacity[],$AN$5), 5*b_1, 5*b_2)</f>
        <v>20</v>
      </c>
      <c r="AH58" s="76"/>
      <c r="AI58" s="75" cm="1">
        <f t="array" ref="AI58">INDEX(RPit4189[],$AN$6,$AP7)</f>
        <v>0</v>
      </c>
      <c r="AJ58" s="76" t="s">
        <v>34</v>
      </c>
      <c r="AK58" s="77">
        <f>SUM(INDEX(Repair_Capacity[],$AN$6), 5*p_1)</f>
        <v>0</v>
      </c>
      <c r="AL58" s="31"/>
    </row>
    <row r="59" spans="1:38" ht="15.95" customHeight="1" thickBot="1" x14ac:dyDescent="0.3">
      <c r="A59" s="38"/>
      <c r="C59" s="24">
        <v>2</v>
      </c>
      <c r="D59" s="22">
        <v>0</v>
      </c>
      <c r="E59" s="22">
        <v>0</v>
      </c>
      <c r="F59" s="22">
        <v>0</v>
      </c>
      <c r="G59" s="19">
        <v>0</v>
      </c>
      <c r="H59" s="19">
        <v>0</v>
      </c>
      <c r="I59" s="55">
        <v>0</v>
      </c>
      <c r="L59" s="24">
        <v>2</v>
      </c>
      <c r="M59" s="22">
        <v>0</v>
      </c>
      <c r="N59" s="22">
        <v>0</v>
      </c>
      <c r="O59" s="22">
        <v>0</v>
      </c>
      <c r="P59" s="19">
        <v>0</v>
      </c>
      <c r="Q59" s="19">
        <v>0</v>
      </c>
      <c r="R59" s="55">
        <v>0</v>
      </c>
      <c r="S59" s="38"/>
      <c r="V59" s="32" t="s">
        <v>5</v>
      </c>
      <c r="W59" s="75" cm="1">
        <f t="array" ref="W59">INDEX(RPit4189[],$AN$3,$AP8)</f>
        <v>0</v>
      </c>
      <c r="X59" s="76" t="s">
        <v>34</v>
      </c>
      <c r="Y59" s="77" cm="1">
        <f t="array" ref="Y59">INDEX(Repair_Capacity[],$AN$3)</f>
        <v>0</v>
      </c>
      <c r="Z59" s="76"/>
      <c r="AA59" s="75" cm="1">
        <f t="array" ref="AA59">INDEX(RPit4189[],$AN$4,$AP8)</f>
        <v>0</v>
      </c>
      <c r="AB59" s="76" t="s">
        <v>34</v>
      </c>
      <c r="AC59" s="77">
        <f>SUM(INDEX(Repair_Capacity[],$AN$4), 5*m_1, 5*m_2)</f>
        <v>22</v>
      </c>
      <c r="AD59" s="76"/>
      <c r="AE59" s="75" cm="1">
        <f t="array" ref="AE59">INDEX(RPit4189[],$AN$5,$AP8)</f>
        <v>0</v>
      </c>
      <c r="AF59" s="76" t="s">
        <v>34</v>
      </c>
      <c r="AG59" s="77">
        <f>SUM(INDEX(Repair_Capacity[],$AN$5), 5*b_1, 5*b_2)</f>
        <v>20</v>
      </c>
      <c r="AH59" s="76"/>
      <c r="AI59" s="75" cm="1">
        <f t="array" ref="AI59">INDEX(RPit4189[],$AN$6,$AP8)</f>
        <v>0</v>
      </c>
      <c r="AJ59" s="76" t="s">
        <v>34</v>
      </c>
      <c r="AK59" s="77">
        <f>SUM(INDEX(Repair_Capacity[],$AN$6), 5*p_1)</f>
        <v>0</v>
      </c>
      <c r="AL59" s="31"/>
    </row>
    <row r="60" spans="1:38" ht="15.95" customHeight="1" thickBot="1" x14ac:dyDescent="0.3">
      <c r="A60" s="38"/>
      <c r="C60" s="24">
        <v>3</v>
      </c>
      <c r="D60" s="22">
        <v>0</v>
      </c>
      <c r="E60" s="22">
        <v>0</v>
      </c>
      <c r="F60" s="22">
        <v>0</v>
      </c>
      <c r="G60" s="19">
        <v>0</v>
      </c>
      <c r="H60" s="19">
        <v>0</v>
      </c>
      <c r="I60" s="55">
        <v>0</v>
      </c>
      <c r="L60" s="24">
        <v>3</v>
      </c>
      <c r="M60" s="22">
        <v>0</v>
      </c>
      <c r="N60" s="22">
        <v>0</v>
      </c>
      <c r="O60" s="22">
        <v>0</v>
      </c>
      <c r="P60" s="19">
        <v>0</v>
      </c>
      <c r="Q60" s="19">
        <v>0</v>
      </c>
      <c r="R60" s="55">
        <v>0</v>
      </c>
      <c r="S60" s="38"/>
      <c r="V60" s="33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34"/>
    </row>
    <row r="61" spans="1:38" ht="15.95" customHeight="1" thickBot="1" x14ac:dyDescent="0.3">
      <c r="A61" s="38"/>
      <c r="C61" s="25">
        <v>4</v>
      </c>
      <c r="D61" s="57">
        <v>0</v>
      </c>
      <c r="E61" s="57">
        <v>0</v>
      </c>
      <c r="F61" s="57">
        <v>0</v>
      </c>
      <c r="G61" s="58">
        <v>0</v>
      </c>
      <c r="H61" s="58">
        <v>0</v>
      </c>
      <c r="I61" s="59">
        <v>0</v>
      </c>
      <c r="L61" s="25">
        <v>4</v>
      </c>
      <c r="M61" s="57">
        <v>0</v>
      </c>
      <c r="N61" s="57">
        <v>0</v>
      </c>
      <c r="O61" s="57">
        <v>0</v>
      </c>
      <c r="P61" s="58">
        <v>0</v>
      </c>
      <c r="Q61" s="58">
        <v>0</v>
      </c>
      <c r="R61" s="59">
        <v>0</v>
      </c>
      <c r="S61" s="38"/>
    </row>
    <row r="62" spans="1:38" ht="15.95" customHeight="1" thickTop="1" x14ac:dyDescent="0.25">
      <c r="A62" s="38"/>
      <c r="S62" s="38"/>
      <c r="V62" s="27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9"/>
    </row>
    <row r="63" spans="1:38" ht="15.95" customHeight="1" thickBot="1" x14ac:dyDescent="0.3">
      <c r="A63" s="38"/>
      <c r="B63" s="39"/>
      <c r="C63" s="40"/>
      <c r="S63" s="42"/>
      <c r="V63" s="32"/>
      <c r="W63" s="149" t="s">
        <v>38</v>
      </c>
      <c r="X63" s="149"/>
      <c r="Y63" s="149"/>
      <c r="Z63" s="149"/>
      <c r="AA63" s="149"/>
      <c r="AB63" s="149"/>
      <c r="AC63" s="149"/>
      <c r="AD63" s="149"/>
      <c r="AE63" s="149"/>
      <c r="AF63" s="149"/>
      <c r="AG63" s="149"/>
      <c r="AH63" s="149"/>
      <c r="AI63" s="149"/>
      <c r="AJ63" s="149"/>
      <c r="AK63" s="149"/>
      <c r="AL63" s="31"/>
    </row>
    <row r="64" spans="1:38" ht="15.95" customHeight="1" thickTop="1" thickBot="1" x14ac:dyDescent="0.3"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V64" s="32"/>
      <c r="W64" s="135"/>
      <c r="AL64" s="31"/>
    </row>
    <row r="65" spans="1:38" ht="15.95" customHeight="1" thickTop="1" thickBot="1" x14ac:dyDescent="0.3">
      <c r="B65" s="27"/>
      <c r="C65" s="28"/>
      <c r="S65" s="41"/>
      <c r="V65" s="32" t="s">
        <v>0</v>
      </c>
      <c r="W65" s="150" t="s">
        <v>6</v>
      </c>
      <c r="X65" s="150"/>
      <c r="Y65" s="150"/>
      <c r="AA65" s="151" t="s">
        <v>9</v>
      </c>
      <c r="AB65" s="151"/>
      <c r="AC65" s="151"/>
      <c r="AE65" s="151" t="s">
        <v>7</v>
      </c>
      <c r="AF65" s="151"/>
      <c r="AG65" s="151"/>
      <c r="AI65" s="151" t="s">
        <v>8</v>
      </c>
      <c r="AJ65" s="151"/>
      <c r="AK65" s="151"/>
      <c r="AL65" s="31"/>
    </row>
    <row r="66" spans="1:38" ht="26.25" thickBot="1" x14ac:dyDescent="0.3">
      <c r="B66" s="30"/>
      <c r="C66" s="37" t="s">
        <v>45</v>
      </c>
      <c r="D66" s="45" t="s">
        <v>46</v>
      </c>
      <c r="E66" s="45" t="s">
        <v>47</v>
      </c>
      <c r="F66" s="45" t="s">
        <v>48</v>
      </c>
      <c r="G66" s="46" t="s">
        <v>49</v>
      </c>
      <c r="H66" s="45" t="s">
        <v>50</v>
      </c>
      <c r="I66" s="56" t="s">
        <v>51</v>
      </c>
      <c r="L66" s="37" t="s">
        <v>45</v>
      </c>
      <c r="M66" s="45" t="s">
        <v>46</v>
      </c>
      <c r="N66" s="45" t="s">
        <v>47</v>
      </c>
      <c r="O66" s="45" t="s">
        <v>48</v>
      </c>
      <c r="P66" s="46" t="s">
        <v>49</v>
      </c>
      <c r="Q66" s="45" t="s">
        <v>50</v>
      </c>
      <c r="R66" s="56" t="s">
        <v>51</v>
      </c>
      <c r="S66" s="38"/>
      <c r="V66" s="32" t="s">
        <v>1</v>
      </c>
      <c r="W66" s="75" cm="1">
        <f t="array" ref="W66">INDEX(TRit4088[],$AN$3,$AP3)</f>
        <v>0</v>
      </c>
      <c r="X66" s="76" t="s">
        <v>34</v>
      </c>
      <c r="Y66" s="77" cm="1">
        <f t="array" ref="Y66">INDEX(Demand[],$AP3, $AN$3)</f>
        <v>100</v>
      </c>
      <c r="Z66" s="76"/>
      <c r="AA66" s="75" cm="1">
        <f t="array" ref="AA66">INDEX(TRit4088[],$AN$4,$AP3)</f>
        <v>0</v>
      </c>
      <c r="AB66" s="76" t="s">
        <v>34</v>
      </c>
      <c r="AC66" s="77" cm="1">
        <f t="array" ref="AC66">INDEX(Demand[],$AP3, $AN$4)</f>
        <v>250</v>
      </c>
      <c r="AD66" s="76"/>
      <c r="AE66" s="75" cm="1">
        <f t="array" ref="AE66">INDEX(TRit4088[],$AN$5,$AP3)</f>
        <v>0</v>
      </c>
      <c r="AF66" s="76" t="s">
        <v>34</v>
      </c>
      <c r="AG66" s="77" cm="1">
        <f t="array" ref="AG66">INDEX(Demand[],$AP3, $AN$5)</f>
        <v>95</v>
      </c>
      <c r="AH66" s="76"/>
      <c r="AI66" s="75" cm="1">
        <f t="array" ref="AI66">INDEX(TRit4088[],$AN$6,$AP3)</f>
        <v>0</v>
      </c>
      <c r="AJ66" s="76" t="s">
        <v>34</v>
      </c>
      <c r="AK66" s="77" cm="1">
        <f t="array" ref="AK66">INDEX(Demand[],$AP3, $AN$6)</f>
        <v>160</v>
      </c>
      <c r="AL66" s="31"/>
    </row>
    <row r="67" spans="1:38" ht="15.95" customHeight="1" thickBot="1" x14ac:dyDescent="0.3">
      <c r="B67" s="32"/>
      <c r="C67" s="23">
        <v>1</v>
      </c>
      <c r="D67" s="21">
        <v>0</v>
      </c>
      <c r="E67" s="21">
        <v>0</v>
      </c>
      <c r="F67" s="21">
        <v>0</v>
      </c>
      <c r="G67" s="20">
        <v>0</v>
      </c>
      <c r="H67" s="20">
        <v>0</v>
      </c>
      <c r="I67" s="54">
        <v>0</v>
      </c>
      <c r="L67" s="23">
        <v>1</v>
      </c>
      <c r="M67" s="21">
        <v>0</v>
      </c>
      <c r="N67" s="21">
        <v>0</v>
      </c>
      <c r="O67" s="21">
        <v>0</v>
      </c>
      <c r="P67" s="20">
        <v>0</v>
      </c>
      <c r="Q67" s="20">
        <v>0</v>
      </c>
      <c r="R67" s="54">
        <v>0</v>
      </c>
      <c r="S67" s="38"/>
      <c r="V67" s="32" t="s">
        <v>2</v>
      </c>
      <c r="W67" s="75" cm="1">
        <f t="array" ref="W67">INDEX(TRit4088[],$AN$3,$AP4)</f>
        <v>0</v>
      </c>
      <c r="X67" s="76" t="s">
        <v>34</v>
      </c>
      <c r="Y67" s="77" cm="1">
        <f t="array" ref="Y67">INDEX(Demand[],$AP4, $AN$3)</f>
        <v>150</v>
      </c>
      <c r="Z67" s="76"/>
      <c r="AA67" s="75" cm="1">
        <f t="array" ref="AA67">INDEX(TRit4088[],$AN$4,$AP4)</f>
        <v>0</v>
      </c>
      <c r="AB67" s="76" t="s">
        <v>34</v>
      </c>
      <c r="AC67" s="77" cm="1">
        <f t="array" ref="AC67">INDEX(Demand[],$AP4, $AN$4)</f>
        <v>143</v>
      </c>
      <c r="AD67" s="76"/>
      <c r="AE67" s="75" cm="1">
        <f t="array" ref="AE67">INDEX(TRit4088[],$AN$5,$AP4)</f>
        <v>0</v>
      </c>
      <c r="AF67" s="76" t="s">
        <v>34</v>
      </c>
      <c r="AG67" s="77" cm="1">
        <f t="array" ref="AG67">INDEX(Demand[],$AP4, $AN$5)</f>
        <v>195</v>
      </c>
      <c r="AH67" s="76"/>
      <c r="AI67" s="75" cm="1">
        <f t="array" ref="AI67">INDEX(TRit4088[],$AN$6,$AP4)</f>
        <v>0</v>
      </c>
      <c r="AJ67" s="76" t="s">
        <v>34</v>
      </c>
      <c r="AK67" s="77" cm="1">
        <f t="array" ref="AK67">INDEX(Demand[],$AP4, $AN$6)</f>
        <v>99</v>
      </c>
      <c r="AL67" s="31"/>
    </row>
    <row r="68" spans="1:38" ht="15.95" customHeight="1" thickBot="1" x14ac:dyDescent="0.3">
      <c r="B68" s="32"/>
      <c r="C68" s="24">
        <v>2</v>
      </c>
      <c r="D68" s="22">
        <v>0</v>
      </c>
      <c r="E68" s="22">
        <v>0</v>
      </c>
      <c r="F68" s="22">
        <v>0</v>
      </c>
      <c r="G68" s="19">
        <v>0</v>
      </c>
      <c r="H68" s="19">
        <v>0</v>
      </c>
      <c r="I68" s="55">
        <v>0</v>
      </c>
      <c r="L68" s="24">
        <v>2</v>
      </c>
      <c r="M68" s="22">
        <v>0</v>
      </c>
      <c r="N68" s="22">
        <v>0</v>
      </c>
      <c r="O68" s="22">
        <v>0</v>
      </c>
      <c r="P68" s="19">
        <v>0</v>
      </c>
      <c r="Q68" s="19">
        <v>0</v>
      </c>
      <c r="R68" s="55">
        <v>0</v>
      </c>
      <c r="S68" s="38"/>
      <c r="V68" s="32" t="s">
        <v>3</v>
      </c>
      <c r="W68" s="75" cm="1">
        <f t="array" ref="W68">INDEX(TRit4088[],$AN$3,$AP5)</f>
        <v>0</v>
      </c>
      <c r="X68" s="76" t="s">
        <v>34</v>
      </c>
      <c r="Y68" s="77" cm="1">
        <f t="array" ref="Y68">INDEX(Demand[],$AP5, $AN$3)</f>
        <v>135</v>
      </c>
      <c r="Z68" s="76"/>
      <c r="AA68" s="75" cm="1">
        <f t="array" ref="AA68">INDEX(TRit4088[],$AN$4,$AP5)</f>
        <v>0</v>
      </c>
      <c r="AB68" s="76" t="s">
        <v>34</v>
      </c>
      <c r="AC68" s="77" cm="1">
        <f t="array" ref="AC68">INDEX(Demand[],$AP5, $AN$4)</f>
        <v>80</v>
      </c>
      <c r="AD68" s="76"/>
      <c r="AE68" s="75" cm="1">
        <f t="array" ref="AE68">INDEX(TRit4088[],$AN$5,$AP5)</f>
        <v>0</v>
      </c>
      <c r="AF68" s="76" t="s">
        <v>34</v>
      </c>
      <c r="AG68" s="77" cm="1">
        <f t="array" ref="AG68">INDEX(Demand[],$AP5, $AN$5)</f>
        <v>242</v>
      </c>
      <c r="AH68" s="76"/>
      <c r="AI68" s="75" cm="1">
        <f t="array" ref="AI68">INDEX(TRit4088[],$AN$6,$AP5)</f>
        <v>0</v>
      </c>
      <c r="AJ68" s="76" t="s">
        <v>34</v>
      </c>
      <c r="AK68" s="77" cm="1">
        <f t="array" ref="AK68">INDEX(Demand[],$AP5, $AN$6)</f>
        <v>55</v>
      </c>
      <c r="AL68" s="31"/>
    </row>
    <row r="69" spans="1:38" ht="15.95" customHeight="1" thickBot="1" x14ac:dyDescent="0.3">
      <c r="B69" s="32"/>
      <c r="C69" s="24">
        <v>3</v>
      </c>
      <c r="D69" s="22">
        <v>0</v>
      </c>
      <c r="E69" s="22">
        <v>0</v>
      </c>
      <c r="F69" s="22">
        <v>0</v>
      </c>
      <c r="G69" s="19">
        <v>0</v>
      </c>
      <c r="H69" s="19">
        <v>0</v>
      </c>
      <c r="I69" s="55">
        <v>0</v>
      </c>
      <c r="L69" s="24">
        <v>3</v>
      </c>
      <c r="M69" s="22">
        <v>0</v>
      </c>
      <c r="N69" s="22">
        <v>0</v>
      </c>
      <c r="O69" s="22">
        <v>0</v>
      </c>
      <c r="P69" s="19">
        <v>0</v>
      </c>
      <c r="Q69" s="19">
        <v>0</v>
      </c>
      <c r="R69" s="55">
        <v>0</v>
      </c>
      <c r="S69" s="38"/>
      <c r="V69" s="32" t="s">
        <v>4</v>
      </c>
      <c r="W69" s="75" cm="1">
        <f t="array" ref="W69">INDEX(TRit4088[],$AN$3,$AP6)</f>
        <v>0</v>
      </c>
      <c r="X69" s="76" t="s">
        <v>34</v>
      </c>
      <c r="Y69" s="77" cm="1">
        <f t="array" ref="Y69">INDEX(Demand[],$AP6, $AN$3)</f>
        <v>83</v>
      </c>
      <c r="Z69" s="76"/>
      <c r="AA69" s="75" cm="1">
        <f t="array" ref="AA69">INDEX(TRit4088[],$AN$4,$AP6)</f>
        <v>0</v>
      </c>
      <c r="AB69" s="76" t="s">
        <v>34</v>
      </c>
      <c r="AC69" s="77" cm="1">
        <f t="array" ref="AC69">INDEX(Demand[],$AP6, $AN$4)</f>
        <v>225</v>
      </c>
      <c r="AD69" s="76"/>
      <c r="AE69" s="75" cm="1">
        <f t="array" ref="AE69">INDEX(TRit4088[],$AN$5,$AP6)</f>
        <v>0</v>
      </c>
      <c r="AF69" s="76" t="s">
        <v>34</v>
      </c>
      <c r="AG69" s="77" cm="1">
        <f t="array" ref="AG69">INDEX(Demand[],$AP6, $AN$5)</f>
        <v>111</v>
      </c>
      <c r="AH69" s="76"/>
      <c r="AI69" s="75" cm="1">
        <f t="array" ref="AI69">INDEX(TRit4088[],$AN$6,$AP6)</f>
        <v>0</v>
      </c>
      <c r="AJ69" s="76" t="s">
        <v>34</v>
      </c>
      <c r="AK69" s="77" cm="1">
        <f t="array" ref="AK69">INDEX(Demand[],$AP6, $AN$6)</f>
        <v>96</v>
      </c>
      <c r="AL69" s="31"/>
    </row>
    <row r="70" spans="1:38" ht="15.95" customHeight="1" thickBot="1" x14ac:dyDescent="0.3">
      <c r="B70" s="32"/>
      <c r="C70" s="25">
        <v>4</v>
      </c>
      <c r="D70" s="57">
        <v>0</v>
      </c>
      <c r="E70" s="57">
        <v>0</v>
      </c>
      <c r="F70" s="57">
        <v>0</v>
      </c>
      <c r="G70" s="58">
        <v>0</v>
      </c>
      <c r="H70" s="58">
        <v>0</v>
      </c>
      <c r="I70" s="59">
        <v>0</v>
      </c>
      <c r="L70" s="25">
        <v>4</v>
      </c>
      <c r="M70" s="57">
        <v>0</v>
      </c>
      <c r="N70" s="57">
        <v>0</v>
      </c>
      <c r="O70" s="57">
        <v>0</v>
      </c>
      <c r="P70" s="58">
        <v>0</v>
      </c>
      <c r="Q70" s="58">
        <v>0</v>
      </c>
      <c r="R70" s="59">
        <v>0</v>
      </c>
      <c r="S70" s="38"/>
      <c r="V70" s="32" t="s">
        <v>5</v>
      </c>
      <c r="W70" s="75" cm="1">
        <f t="array" ref="W70">INDEX(TRit4088[],$AN$3,$AP7)</f>
        <v>0</v>
      </c>
      <c r="X70" s="76" t="s">
        <v>34</v>
      </c>
      <c r="Y70" s="77" cm="1">
        <f t="array" ref="Y70">INDEX(Demand[],$AP7, $AN$3)</f>
        <v>120</v>
      </c>
      <c r="Z70" s="76"/>
      <c r="AA70" s="75" cm="1">
        <f t="array" ref="AA70">INDEX(TRit4088[],$AN$4,$AP7)</f>
        <v>0</v>
      </c>
      <c r="AB70" s="76" t="s">
        <v>34</v>
      </c>
      <c r="AC70" s="77" cm="1">
        <f t="array" ref="AC70">INDEX(Demand[],$AP7, $AN$4)</f>
        <v>210</v>
      </c>
      <c r="AD70" s="76"/>
      <c r="AE70" s="75" cm="1">
        <f t="array" ref="AE70">INDEX(TRit4088[],$AN$5,$AP7)</f>
        <v>0</v>
      </c>
      <c r="AF70" s="76" t="s">
        <v>34</v>
      </c>
      <c r="AG70" s="77" cm="1">
        <f t="array" ref="AG70">INDEX(Demand[],$AP7, $AN$5)</f>
        <v>70</v>
      </c>
      <c r="AH70" s="76"/>
      <c r="AI70" s="75" cm="1">
        <f t="array" ref="AI70">INDEX(TRit4088[],$AN$6,$AP7)</f>
        <v>0</v>
      </c>
      <c r="AJ70" s="76" t="s">
        <v>34</v>
      </c>
      <c r="AK70" s="77" cm="1">
        <f t="array" ref="AK70">INDEX(Demand[],$AP7, $AN$6)</f>
        <v>115</v>
      </c>
      <c r="AL70" s="31"/>
    </row>
    <row r="71" spans="1:38" ht="15.95" customHeight="1" thickBot="1" x14ac:dyDescent="0.3">
      <c r="B71" s="32"/>
      <c r="S71" s="38"/>
      <c r="V71" s="32"/>
      <c r="W71" s="75" cm="1">
        <f t="array" ref="W71">INDEX(TRit4088[],$AN$3,$AP8)</f>
        <v>0</v>
      </c>
      <c r="X71" s="76" t="s">
        <v>34</v>
      </c>
      <c r="Y71" s="77" cm="1">
        <f t="array" ref="Y71">INDEX(Demand[],$AP8, $AN$3)</f>
        <v>230</v>
      </c>
      <c r="Z71" s="76"/>
      <c r="AA71" s="75" cm="1">
        <f t="array" ref="AA71">INDEX(TRit4088[],$AN$4,$AP8)</f>
        <v>0</v>
      </c>
      <c r="AB71" s="76" t="s">
        <v>34</v>
      </c>
      <c r="AC71" s="77" cm="1">
        <f t="array" ref="AC71">INDEX(Demand[],$AP8, $AN$4)</f>
        <v>98</v>
      </c>
      <c r="AD71" s="76"/>
      <c r="AE71" s="75" cm="1">
        <f t="array" ref="AE71">INDEX(TRit4088[],$AN$5,$AP8)</f>
        <v>0</v>
      </c>
      <c r="AF71" s="76" t="s">
        <v>34</v>
      </c>
      <c r="AG71" s="77" cm="1">
        <f t="array" ref="AG71">INDEX(Demand[],$AP8, $AN$5)</f>
        <v>124</v>
      </c>
      <c r="AH71" s="76"/>
      <c r="AI71" s="75" cm="1">
        <f t="array" ref="AI71">INDEX(TRit4088[],$AN$6,$AP8)</f>
        <v>0</v>
      </c>
      <c r="AJ71" s="76" t="s">
        <v>34</v>
      </c>
      <c r="AK71" s="77" cm="1">
        <f t="array" ref="AK71">INDEX(Demand[],$AP8, $AN$6)</f>
        <v>80</v>
      </c>
      <c r="AL71" s="31"/>
    </row>
    <row r="72" spans="1:38" ht="26.25" thickBot="1" x14ac:dyDescent="0.3">
      <c r="B72" s="32"/>
      <c r="C72" s="37" t="s">
        <v>45</v>
      </c>
      <c r="D72" s="45" t="s">
        <v>46</v>
      </c>
      <c r="E72" s="45" t="s">
        <v>47</v>
      </c>
      <c r="F72" s="45" t="s">
        <v>48</v>
      </c>
      <c r="G72" s="46" t="s">
        <v>49</v>
      </c>
      <c r="H72" s="45" t="s">
        <v>50</v>
      </c>
      <c r="I72" s="56" t="s">
        <v>51</v>
      </c>
      <c r="L72" s="37" t="s">
        <v>45</v>
      </c>
      <c r="M72" s="45" t="s">
        <v>46</v>
      </c>
      <c r="N72" s="45" t="s">
        <v>47</v>
      </c>
      <c r="O72" s="45" t="s">
        <v>48</v>
      </c>
      <c r="P72" s="46" t="s">
        <v>49</v>
      </c>
      <c r="Q72" s="45" t="s">
        <v>50</v>
      </c>
      <c r="R72" s="56" t="s">
        <v>51</v>
      </c>
      <c r="S72" s="38"/>
      <c r="V72" s="33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34"/>
    </row>
    <row r="73" spans="1:38" ht="15.95" customHeight="1" thickBot="1" x14ac:dyDescent="0.3">
      <c r="B73" s="32"/>
      <c r="C73" s="23">
        <v>1</v>
      </c>
      <c r="D73" s="21">
        <v>0</v>
      </c>
      <c r="E73" s="21">
        <v>0</v>
      </c>
      <c r="F73" s="21">
        <v>0</v>
      </c>
      <c r="G73" s="20">
        <v>0</v>
      </c>
      <c r="H73" s="20">
        <v>0</v>
      </c>
      <c r="I73" s="54">
        <v>0</v>
      </c>
      <c r="L73" s="23">
        <v>1</v>
      </c>
      <c r="M73" s="21">
        <v>0</v>
      </c>
      <c r="N73" s="21">
        <v>0</v>
      </c>
      <c r="O73" s="21">
        <v>0</v>
      </c>
      <c r="P73" s="20">
        <v>0</v>
      </c>
      <c r="Q73" s="20">
        <v>0</v>
      </c>
      <c r="R73" s="54">
        <v>0</v>
      </c>
      <c r="S73" s="38"/>
    </row>
    <row r="74" spans="1:38" ht="15.95" customHeight="1" thickTop="1" thickBot="1" x14ac:dyDescent="0.3">
      <c r="A74" s="38"/>
      <c r="C74" s="24">
        <v>2</v>
      </c>
      <c r="D74" s="22">
        <v>0</v>
      </c>
      <c r="E74" s="22">
        <v>0</v>
      </c>
      <c r="F74" s="22">
        <v>0</v>
      </c>
      <c r="G74" s="19">
        <v>0</v>
      </c>
      <c r="H74" s="19">
        <v>0</v>
      </c>
      <c r="I74" s="55">
        <v>0</v>
      </c>
      <c r="L74" s="24">
        <v>2</v>
      </c>
      <c r="M74" s="22">
        <v>0</v>
      </c>
      <c r="N74" s="22">
        <v>0</v>
      </c>
      <c r="O74" s="22">
        <v>0</v>
      </c>
      <c r="P74" s="19">
        <v>0</v>
      </c>
      <c r="Q74" s="19">
        <v>0</v>
      </c>
      <c r="R74" s="55">
        <v>0</v>
      </c>
      <c r="S74" s="38"/>
      <c r="V74" s="27"/>
      <c r="W74" s="28"/>
      <c r="X74" s="28"/>
      <c r="Y74" s="28"/>
      <c r="Z74" s="29"/>
    </row>
    <row r="75" spans="1:38" ht="15.95" customHeight="1" thickBot="1" x14ac:dyDescent="0.3">
      <c r="A75" s="38"/>
      <c r="C75" s="24">
        <v>3</v>
      </c>
      <c r="D75" s="22">
        <v>0</v>
      </c>
      <c r="E75" s="22">
        <v>0</v>
      </c>
      <c r="F75" s="22">
        <v>0</v>
      </c>
      <c r="G75" s="19">
        <v>0</v>
      </c>
      <c r="H75" s="19">
        <v>0</v>
      </c>
      <c r="I75" s="55">
        <v>0</v>
      </c>
      <c r="L75" s="24">
        <v>3</v>
      </c>
      <c r="M75" s="22">
        <v>0</v>
      </c>
      <c r="N75" s="22">
        <v>0</v>
      </c>
      <c r="O75" s="22">
        <v>0</v>
      </c>
      <c r="P75" s="19">
        <v>0</v>
      </c>
      <c r="Q75" s="19">
        <v>0</v>
      </c>
      <c r="R75" s="55">
        <v>0</v>
      </c>
      <c r="S75" s="38"/>
      <c r="V75" s="32"/>
      <c r="W75" s="149" t="s">
        <v>37</v>
      </c>
      <c r="X75" s="149"/>
      <c r="Y75" s="149"/>
      <c r="Z75" s="31"/>
    </row>
    <row r="76" spans="1:38" ht="15.95" customHeight="1" thickBot="1" x14ac:dyDescent="0.3">
      <c r="A76" s="38"/>
      <c r="C76" s="25">
        <v>4</v>
      </c>
      <c r="D76" s="57">
        <v>0</v>
      </c>
      <c r="E76" s="57">
        <v>0</v>
      </c>
      <c r="F76" s="57">
        <v>0</v>
      </c>
      <c r="G76" s="58">
        <v>0</v>
      </c>
      <c r="H76" s="58">
        <v>0</v>
      </c>
      <c r="I76" s="59">
        <v>0</v>
      </c>
      <c r="L76" s="25">
        <v>4</v>
      </c>
      <c r="M76" s="57">
        <v>0</v>
      </c>
      <c r="N76" s="57">
        <v>0</v>
      </c>
      <c r="O76" s="57">
        <v>0</v>
      </c>
      <c r="P76" s="58">
        <v>0</v>
      </c>
      <c r="Q76" s="58">
        <v>0</v>
      </c>
      <c r="R76" s="59">
        <v>0</v>
      </c>
      <c r="S76" s="38"/>
      <c r="V76" s="32"/>
      <c r="Z76" s="31"/>
    </row>
    <row r="77" spans="1:38" ht="15.95" customHeight="1" x14ac:dyDescent="0.25">
      <c r="A77" s="38"/>
      <c r="S77" s="38"/>
      <c r="V77" s="32" t="s">
        <v>80</v>
      </c>
      <c r="W77" s="75" cm="1">
        <f t="array" ref="W77">SUM(
SUM(Data!J31/100*(INDEX(TRit4088[],$AN$3:$AN$6,$AP$3))),
SUM((Data!J30+Data!J31)/100*(INDEX(TRit4088[],$AN$3:$AN$6,$AP$4))),(INDEX(NUit53101[],$AN$3:$AN$6,$AP$5)))</f>
        <v>0</v>
      </c>
      <c r="X77" s="76" t="s">
        <v>34</v>
      </c>
      <c r="Y77" s="77">
        <f>Cars</f>
        <v>609.04345000000001</v>
      </c>
      <c r="Z77" s="31"/>
    </row>
    <row r="78" spans="1:38" ht="15.95" customHeight="1" thickBot="1" x14ac:dyDescent="0.3">
      <c r="B78" s="39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2"/>
      <c r="V78" s="33"/>
      <c r="W78" s="26"/>
      <c r="X78" s="26"/>
      <c r="Y78" s="26"/>
      <c r="Z78" s="34"/>
    </row>
    <row r="79" spans="1:38" ht="15.95" customHeight="1" thickTop="1" thickBot="1" x14ac:dyDescent="0.3">
      <c r="B79" s="28"/>
      <c r="C79" s="28"/>
      <c r="D79" s="28"/>
      <c r="E79" s="28"/>
      <c r="F79" s="28"/>
      <c r="G79" s="28"/>
      <c r="H79" s="28"/>
      <c r="I79" s="28"/>
      <c r="J79" s="28"/>
      <c r="L79" s="44"/>
    </row>
    <row r="80" spans="1:38" ht="15.95" customHeight="1" thickTop="1" thickBot="1" x14ac:dyDescent="0.3">
      <c r="B80" s="27"/>
      <c r="C80" s="28"/>
      <c r="D80" s="28"/>
      <c r="E80" s="28"/>
      <c r="F80" s="28"/>
      <c r="G80" s="28"/>
      <c r="H80" s="28"/>
      <c r="I80" s="28"/>
      <c r="J80" s="29"/>
      <c r="V80" s="27"/>
      <c r="W80" s="28"/>
      <c r="X80" s="28"/>
      <c r="Y80" s="28"/>
      <c r="Z80" s="29"/>
    </row>
    <row r="81" spans="2:26" ht="26.25" thickBot="1" x14ac:dyDescent="0.3">
      <c r="B81" s="30"/>
      <c r="C81" s="36" t="s">
        <v>44</v>
      </c>
      <c r="D81" s="45" t="s">
        <v>46</v>
      </c>
      <c r="E81" s="45" t="s">
        <v>47</v>
      </c>
      <c r="F81" s="45" t="s">
        <v>48</v>
      </c>
      <c r="G81" s="46" t="s">
        <v>49</v>
      </c>
      <c r="H81" s="45" t="s">
        <v>50</v>
      </c>
      <c r="I81" s="56" t="s">
        <v>51</v>
      </c>
      <c r="J81" s="31"/>
      <c r="V81" s="32"/>
      <c r="W81" s="149" t="s">
        <v>78</v>
      </c>
      <c r="X81" s="149"/>
      <c r="Y81" s="149"/>
      <c r="Z81" s="31"/>
    </row>
    <row r="82" spans="2:26" ht="15.95" customHeight="1" thickBot="1" x14ac:dyDescent="0.3">
      <c r="B82" s="32"/>
      <c r="C82" s="23">
        <v>1</v>
      </c>
      <c r="D82" s="21">
        <v>0</v>
      </c>
      <c r="E82" s="21">
        <v>0</v>
      </c>
      <c r="F82" s="21">
        <v>0</v>
      </c>
      <c r="G82" s="20">
        <v>0</v>
      </c>
      <c r="H82" s="20">
        <v>0</v>
      </c>
      <c r="I82" s="54">
        <v>0</v>
      </c>
      <c r="J82" s="31"/>
      <c r="V82" s="32"/>
      <c r="Z82" s="31"/>
    </row>
    <row r="83" spans="2:26" ht="15.95" customHeight="1" thickBot="1" x14ac:dyDescent="0.3">
      <c r="B83" s="32"/>
      <c r="C83" s="24">
        <v>2</v>
      </c>
      <c r="D83" s="22">
        <v>0</v>
      </c>
      <c r="E83" s="22">
        <v>0</v>
      </c>
      <c r="F83" s="22">
        <v>0</v>
      </c>
      <c r="G83" s="19">
        <v>0</v>
      </c>
      <c r="H83" s="19">
        <v>0</v>
      </c>
      <c r="I83" s="55">
        <v>0</v>
      </c>
      <c r="J83" s="31"/>
      <c r="V83" s="32"/>
      <c r="W83" s="75">
        <f>SUM(m_1, m_2, b_1, b_2, p_1)</f>
        <v>2</v>
      </c>
      <c r="X83" s="76" t="s">
        <v>79</v>
      </c>
      <c r="Y83" s="77">
        <v>3</v>
      </c>
      <c r="Z83" s="31"/>
    </row>
    <row r="84" spans="2:26" ht="15.95" customHeight="1" thickBot="1" x14ac:dyDescent="0.3">
      <c r="B84" s="32"/>
      <c r="C84" s="24">
        <v>3</v>
      </c>
      <c r="D84" s="22">
        <v>0</v>
      </c>
      <c r="E84" s="22">
        <v>0</v>
      </c>
      <c r="F84" s="22">
        <v>0</v>
      </c>
      <c r="G84" s="19">
        <v>0</v>
      </c>
      <c r="H84" s="19">
        <v>0</v>
      </c>
      <c r="I84" s="55">
        <v>0</v>
      </c>
      <c r="J84" s="31"/>
      <c r="V84" s="33"/>
      <c r="W84" s="26"/>
      <c r="X84" s="26"/>
      <c r="Y84" s="26"/>
      <c r="Z84" s="34"/>
    </row>
    <row r="85" spans="2:26" ht="15.95" customHeight="1" thickBot="1" x14ac:dyDescent="0.3">
      <c r="B85" s="32"/>
      <c r="C85" s="25">
        <v>4</v>
      </c>
      <c r="D85" s="57">
        <v>0</v>
      </c>
      <c r="E85" s="57">
        <v>0</v>
      </c>
      <c r="F85" s="57">
        <v>0</v>
      </c>
      <c r="G85" s="58">
        <v>0</v>
      </c>
      <c r="H85" s="58">
        <v>0</v>
      </c>
      <c r="I85" s="59">
        <v>0</v>
      </c>
      <c r="J85" s="31"/>
    </row>
    <row r="86" spans="2:26" ht="15.95" customHeight="1" thickBot="1" x14ac:dyDescent="0.3">
      <c r="B86" s="33"/>
      <c r="C86" s="26"/>
      <c r="D86" s="26"/>
      <c r="E86" s="26"/>
      <c r="F86" s="26"/>
      <c r="G86" s="26"/>
      <c r="H86" s="26"/>
      <c r="I86" s="26"/>
      <c r="J86" s="34"/>
    </row>
    <row r="87" spans="2:26" ht="15.95" customHeight="1" thickTop="1" thickBot="1" x14ac:dyDescent="0.3">
      <c r="B87" s="28"/>
      <c r="C87" s="28"/>
      <c r="D87" s="28"/>
      <c r="E87" s="28"/>
      <c r="F87" s="28"/>
      <c r="G87" s="28"/>
      <c r="H87" s="28"/>
      <c r="I87" s="28"/>
      <c r="J87" s="28"/>
    </row>
    <row r="88" spans="2:26" ht="15.95" customHeight="1" thickTop="1" thickBot="1" x14ac:dyDescent="0.3">
      <c r="B88" s="27"/>
      <c r="C88" s="28"/>
      <c r="D88" s="28"/>
      <c r="E88" s="29"/>
      <c r="G88" s="27"/>
      <c r="H88" s="28"/>
      <c r="I88" s="28"/>
      <c r="J88" s="29"/>
      <c r="L88" s="27"/>
      <c r="M88" s="28"/>
      <c r="N88" s="28"/>
      <c r="O88" s="29"/>
    </row>
    <row r="89" spans="2:26" ht="15.95" customHeight="1" thickBot="1" x14ac:dyDescent="0.3">
      <c r="B89" s="32"/>
      <c r="C89" s="73">
        <v>0</v>
      </c>
      <c r="D89" s="74">
        <v>0</v>
      </c>
      <c r="E89" s="31"/>
      <c r="G89" s="32"/>
      <c r="H89" s="73">
        <v>0</v>
      </c>
      <c r="I89" s="74">
        <v>0</v>
      </c>
      <c r="J89" s="31"/>
      <c r="L89" s="32"/>
      <c r="M89" s="73">
        <v>0</v>
      </c>
      <c r="N89" s="74">
        <v>0</v>
      </c>
      <c r="O89" s="31"/>
    </row>
    <row r="90" spans="2:26" ht="15.95" customHeight="1" thickBot="1" x14ac:dyDescent="0.3">
      <c r="B90" s="33"/>
      <c r="C90" s="26"/>
      <c r="D90" s="26"/>
      <c r="E90" s="34"/>
      <c r="G90" s="33"/>
      <c r="H90" s="26"/>
      <c r="I90" s="26"/>
      <c r="J90" s="34"/>
      <c r="L90" s="33"/>
      <c r="M90" s="26"/>
      <c r="N90" s="26"/>
      <c r="O90" s="34"/>
    </row>
    <row r="91" spans="2:26" ht="15.95" customHeight="1" thickTop="1" thickBot="1" x14ac:dyDescent="0.3"/>
    <row r="92" spans="2:26" ht="15.95" customHeight="1" thickTop="1" thickBot="1" x14ac:dyDescent="0.3">
      <c r="B92" s="27"/>
      <c r="C92" s="28"/>
      <c r="D92" s="28"/>
      <c r="E92" s="29"/>
      <c r="G92" s="27"/>
      <c r="H92" s="28"/>
      <c r="I92" s="28"/>
      <c r="J92" s="29"/>
    </row>
    <row r="93" spans="2:26" ht="15.95" customHeight="1" thickBot="1" x14ac:dyDescent="0.3">
      <c r="B93" s="32"/>
      <c r="C93" s="73">
        <v>0</v>
      </c>
      <c r="D93" s="74">
        <v>0</v>
      </c>
      <c r="E93" s="31"/>
      <c r="G93" s="32"/>
      <c r="H93" s="73">
        <v>0</v>
      </c>
      <c r="I93" s="74">
        <v>0</v>
      </c>
      <c r="J93" s="31"/>
    </row>
    <row r="94" spans="2:26" ht="15.95" customHeight="1" thickBot="1" x14ac:dyDescent="0.3">
      <c r="B94" s="33"/>
      <c r="C94" s="26"/>
      <c r="D94" s="26"/>
      <c r="E94" s="34"/>
      <c r="G94" s="33"/>
      <c r="H94" s="26"/>
      <c r="I94" s="26"/>
      <c r="J94" s="34"/>
    </row>
    <row r="95" spans="2:26" ht="15.95" customHeight="1" thickTop="1" x14ac:dyDescent="0.25"/>
  </sheetData>
  <mergeCells count="35">
    <mergeCell ref="W81:Y81"/>
    <mergeCell ref="W63:AK63"/>
    <mergeCell ref="W65:Y65"/>
    <mergeCell ref="AA65:AC65"/>
    <mergeCell ref="AE65:AG65"/>
    <mergeCell ref="AI65:AK65"/>
    <mergeCell ref="W75:Y75"/>
    <mergeCell ref="W53:Y53"/>
    <mergeCell ref="AA53:AC53"/>
    <mergeCell ref="AE53:AG53"/>
    <mergeCell ref="AI53:AK53"/>
    <mergeCell ref="W27:AK27"/>
    <mergeCell ref="W29:Y29"/>
    <mergeCell ref="AA29:AC29"/>
    <mergeCell ref="AE29:AG29"/>
    <mergeCell ref="AI29:AK29"/>
    <mergeCell ref="W39:AK39"/>
    <mergeCell ref="W41:Y41"/>
    <mergeCell ref="AA41:AC41"/>
    <mergeCell ref="AE41:AG41"/>
    <mergeCell ref="AI41:AK41"/>
    <mergeCell ref="W51:AK51"/>
    <mergeCell ref="BJ6:BN7"/>
    <mergeCell ref="W15:AK15"/>
    <mergeCell ref="W17:Y17"/>
    <mergeCell ref="AA17:AC17"/>
    <mergeCell ref="AE17:AG17"/>
    <mergeCell ref="AI17:AK17"/>
    <mergeCell ref="AN1:AR1"/>
    <mergeCell ref="BJ1:BN2"/>
    <mergeCell ref="W3:AK3"/>
    <mergeCell ref="W5:Y5"/>
    <mergeCell ref="AA5:AC5"/>
    <mergeCell ref="AE5:AG5"/>
    <mergeCell ref="AI5:AK5"/>
  </mergeCells>
  <pageMargins left="0.7" right="0.7" top="0.75" bottom="0.75" header="0.3" footer="0.3"/>
  <drawing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9854-4C4E-46DA-B99E-802D42BA152C}">
  <sheetPr>
    <tabColor rgb="FFC00000"/>
  </sheetPr>
  <dimension ref="B3:M55"/>
  <sheetViews>
    <sheetView tabSelected="1" zoomScale="83" workbookViewId="0">
      <selection activeCell="J31" sqref="J31"/>
    </sheetView>
  </sheetViews>
  <sheetFormatPr defaultRowHeight="12.75" x14ac:dyDescent="0.25"/>
  <cols>
    <col min="1" max="1" width="9.140625" style="5"/>
    <col min="2" max="2" width="26.85546875" style="5" customWidth="1"/>
    <col min="3" max="3" width="14.85546875" style="5" customWidth="1"/>
    <col min="4" max="4" width="17.7109375" style="5" customWidth="1"/>
    <col min="5" max="5" width="20" style="5" customWidth="1"/>
    <col min="6" max="6" width="19.140625" style="5" customWidth="1"/>
    <col min="7" max="7" width="22.28515625" style="5" bestFit="1" customWidth="1"/>
    <col min="8" max="8" width="18.7109375" style="5" customWidth="1"/>
    <col min="9" max="9" width="17.85546875" style="5" customWidth="1"/>
    <col min="10" max="10" width="27.140625" style="5" customWidth="1"/>
    <col min="11" max="11" width="14.7109375" style="5" customWidth="1"/>
    <col min="12" max="12" width="12.140625" style="5" customWidth="1"/>
    <col min="13" max="13" width="10.140625" style="5" bestFit="1" customWidth="1"/>
    <col min="14" max="14" width="10.85546875" style="5" customWidth="1"/>
    <col min="15" max="16384" width="9.140625" style="5"/>
  </cols>
  <sheetData>
    <row r="3" spans="2:12" ht="13.5" thickBot="1" x14ac:dyDescent="0.3"/>
    <row r="4" spans="2:12" ht="13.5" customHeight="1" x14ac:dyDescent="0.25">
      <c r="B4" s="143" t="s">
        <v>14</v>
      </c>
      <c r="C4" s="144"/>
      <c r="D4" s="144"/>
      <c r="E4" s="144"/>
      <c r="F4" s="145"/>
      <c r="H4" s="143" t="s">
        <v>13</v>
      </c>
      <c r="I4" s="144"/>
      <c r="J4" s="144"/>
      <c r="K4" s="144"/>
      <c r="L4" s="145"/>
    </row>
    <row r="5" spans="2:12" ht="14.25" customHeight="1" thickBot="1" x14ac:dyDescent="0.3">
      <c r="B5" s="146"/>
      <c r="C5" s="147"/>
      <c r="D5" s="147"/>
      <c r="E5" s="147"/>
      <c r="F5" s="148"/>
      <c r="H5" s="146"/>
      <c r="I5" s="157"/>
      <c r="J5" s="157"/>
      <c r="K5" s="157"/>
      <c r="L5" s="158"/>
    </row>
    <row r="6" spans="2:12" ht="26.25" customHeight="1" thickBot="1" x14ac:dyDescent="0.3">
      <c r="B6" s="63" t="s">
        <v>11</v>
      </c>
      <c r="C6" s="80" t="s">
        <v>6</v>
      </c>
      <c r="D6" s="81" t="s">
        <v>9</v>
      </c>
      <c r="E6" s="81" t="s">
        <v>7</v>
      </c>
      <c r="F6" s="82" t="s">
        <v>8</v>
      </c>
      <c r="H6" s="64" t="s">
        <v>15</v>
      </c>
      <c r="I6" s="92" t="s">
        <v>6</v>
      </c>
      <c r="J6" s="67" t="s">
        <v>9</v>
      </c>
      <c r="K6" s="67" t="s">
        <v>7</v>
      </c>
      <c r="L6" s="95" t="s">
        <v>8</v>
      </c>
    </row>
    <row r="7" spans="2:12" ht="13.5" thickBot="1" x14ac:dyDescent="0.3">
      <c r="B7" s="14" t="s">
        <v>0</v>
      </c>
      <c r="C7" s="47">
        <v>100</v>
      </c>
      <c r="D7" s="3">
        <v>250</v>
      </c>
      <c r="E7" s="3">
        <v>95</v>
      </c>
      <c r="F7" s="49">
        <v>160</v>
      </c>
      <c r="H7" s="13" t="s">
        <v>6</v>
      </c>
      <c r="I7" s="93">
        <v>60</v>
      </c>
      <c r="J7" s="1">
        <v>20</v>
      </c>
      <c r="K7" s="1">
        <v>10</v>
      </c>
      <c r="L7" s="96">
        <v>10</v>
      </c>
    </row>
    <row r="8" spans="2:12" ht="13.5" thickBot="1" x14ac:dyDescent="0.3">
      <c r="B8" s="14" t="s">
        <v>1</v>
      </c>
      <c r="C8" s="48">
        <v>150</v>
      </c>
      <c r="D8" s="4">
        <v>143</v>
      </c>
      <c r="E8" s="4">
        <v>195</v>
      </c>
      <c r="F8" s="50">
        <v>99</v>
      </c>
      <c r="H8" s="13" t="s">
        <v>9</v>
      </c>
      <c r="I8" s="94">
        <v>15</v>
      </c>
      <c r="J8" s="2">
        <v>55</v>
      </c>
      <c r="K8" s="2">
        <v>25</v>
      </c>
      <c r="L8" s="97">
        <v>5</v>
      </c>
    </row>
    <row r="9" spans="2:12" ht="13.5" thickBot="1" x14ac:dyDescent="0.3">
      <c r="B9" s="14" t="s">
        <v>2</v>
      </c>
      <c r="C9" s="48">
        <v>135</v>
      </c>
      <c r="D9" s="4">
        <v>80</v>
      </c>
      <c r="E9" s="4">
        <v>242</v>
      </c>
      <c r="F9" s="50">
        <v>55</v>
      </c>
      <c r="H9" s="13" t="s">
        <v>7</v>
      </c>
      <c r="I9" s="94">
        <v>15</v>
      </c>
      <c r="J9" s="2">
        <v>20</v>
      </c>
      <c r="K9" s="2">
        <v>54</v>
      </c>
      <c r="L9" s="97">
        <v>11</v>
      </c>
    </row>
    <row r="10" spans="2:12" ht="13.5" thickBot="1" x14ac:dyDescent="0.3">
      <c r="B10" s="14" t="s">
        <v>3</v>
      </c>
      <c r="C10" s="48">
        <v>83</v>
      </c>
      <c r="D10" s="4">
        <v>225</v>
      </c>
      <c r="E10" s="4">
        <v>111</v>
      </c>
      <c r="F10" s="50">
        <v>96</v>
      </c>
      <c r="H10" s="13" t="s">
        <v>8</v>
      </c>
      <c r="I10" s="98">
        <v>8</v>
      </c>
      <c r="J10" s="99">
        <v>12</v>
      </c>
      <c r="K10" s="99">
        <v>27</v>
      </c>
      <c r="L10" s="100">
        <v>53</v>
      </c>
    </row>
    <row r="11" spans="2:12" ht="13.5" thickBot="1" x14ac:dyDescent="0.3">
      <c r="B11" s="14" t="s">
        <v>4</v>
      </c>
      <c r="C11" s="48">
        <v>120</v>
      </c>
      <c r="D11" s="4">
        <v>210</v>
      </c>
      <c r="E11" s="4">
        <v>70</v>
      </c>
      <c r="F11" s="50">
        <v>115</v>
      </c>
    </row>
    <row r="12" spans="2:12" ht="13.5" thickBot="1" x14ac:dyDescent="0.3">
      <c r="B12" s="14" t="s">
        <v>5</v>
      </c>
      <c r="C12" s="51">
        <v>230</v>
      </c>
      <c r="D12" s="52">
        <v>98</v>
      </c>
      <c r="E12" s="52">
        <v>124</v>
      </c>
      <c r="F12" s="53">
        <v>80</v>
      </c>
    </row>
    <row r="15" spans="2:12" ht="13.5" thickBot="1" x14ac:dyDescent="0.3"/>
    <row r="16" spans="2:12" ht="14.25" customHeight="1" x14ac:dyDescent="0.25">
      <c r="B16" s="143" t="s">
        <v>18</v>
      </c>
      <c r="C16" s="144"/>
      <c r="D16" s="144"/>
      <c r="E16" s="144"/>
      <c r="F16" s="145"/>
      <c r="H16" s="143" t="s">
        <v>19</v>
      </c>
      <c r="I16" s="144"/>
      <c r="J16" s="144"/>
      <c r="K16" s="144"/>
      <c r="L16" s="145"/>
    </row>
    <row r="17" spans="2:12" ht="14.25" customHeight="1" thickBot="1" x14ac:dyDescent="0.3">
      <c r="B17" s="146"/>
      <c r="C17" s="147"/>
      <c r="D17" s="147"/>
      <c r="E17" s="147"/>
      <c r="F17" s="148"/>
      <c r="H17" s="146"/>
      <c r="I17" s="147"/>
      <c r="J17" s="147"/>
      <c r="K17" s="147"/>
      <c r="L17" s="148"/>
    </row>
    <row r="18" spans="2:12" ht="30.75" customHeight="1" thickBot="1" x14ac:dyDescent="0.3">
      <c r="B18" s="65" t="s">
        <v>15</v>
      </c>
      <c r="C18" s="105" t="s">
        <v>6</v>
      </c>
      <c r="D18" s="106" t="s">
        <v>9</v>
      </c>
      <c r="E18" s="106" t="s">
        <v>7</v>
      </c>
      <c r="F18" s="107" t="s">
        <v>8</v>
      </c>
      <c r="H18" s="66" t="s">
        <v>17</v>
      </c>
      <c r="I18" s="83" t="s">
        <v>6</v>
      </c>
      <c r="J18" s="83" t="s">
        <v>9</v>
      </c>
      <c r="K18" s="83" t="s">
        <v>7</v>
      </c>
      <c r="L18" s="84" t="s">
        <v>8</v>
      </c>
    </row>
    <row r="19" spans="2:12" ht="26.25" thickBot="1" x14ac:dyDescent="0.3">
      <c r="B19" s="15" t="s">
        <v>6</v>
      </c>
      <c r="C19" s="101" t="s">
        <v>17</v>
      </c>
      <c r="D19" s="6">
        <v>20</v>
      </c>
      <c r="E19" s="6">
        <v>30</v>
      </c>
      <c r="F19" s="103">
        <v>50</v>
      </c>
      <c r="H19" s="35" t="s">
        <v>16</v>
      </c>
      <c r="I19" s="60">
        <v>0</v>
      </c>
      <c r="J19" s="61">
        <v>12</v>
      </c>
      <c r="K19" s="62">
        <v>20</v>
      </c>
      <c r="L19" s="60">
        <v>0</v>
      </c>
    </row>
    <row r="20" spans="2:12" ht="13.5" thickBot="1" x14ac:dyDescent="0.3">
      <c r="B20" s="15" t="s">
        <v>9</v>
      </c>
      <c r="C20" s="102">
        <v>20</v>
      </c>
      <c r="D20" s="7" t="s">
        <v>17</v>
      </c>
      <c r="E20" s="7">
        <v>15</v>
      </c>
      <c r="F20" s="104">
        <v>35</v>
      </c>
    </row>
    <row r="21" spans="2:12" ht="13.5" thickBot="1" x14ac:dyDescent="0.3">
      <c r="B21" s="15" t="s">
        <v>7</v>
      </c>
      <c r="C21" s="102">
        <v>30</v>
      </c>
      <c r="D21" s="7">
        <v>15</v>
      </c>
      <c r="E21" s="7" t="s">
        <v>17</v>
      </c>
      <c r="F21" s="104">
        <v>25</v>
      </c>
    </row>
    <row r="22" spans="2:12" ht="13.5" thickBot="1" x14ac:dyDescent="0.3">
      <c r="B22" s="15" t="s">
        <v>8</v>
      </c>
      <c r="C22" s="108">
        <v>50</v>
      </c>
      <c r="D22" s="109">
        <v>35</v>
      </c>
      <c r="E22" s="109">
        <v>25</v>
      </c>
      <c r="F22" s="110" t="s">
        <v>17</v>
      </c>
    </row>
    <row r="25" spans="2:12" ht="13.5" thickBot="1" x14ac:dyDescent="0.3"/>
    <row r="26" spans="2:12" ht="12.75" customHeight="1" x14ac:dyDescent="0.25">
      <c r="B26" s="143" t="s">
        <v>20</v>
      </c>
      <c r="C26" s="144"/>
      <c r="D26" s="145"/>
      <c r="F26" s="143" t="s">
        <v>26</v>
      </c>
      <c r="G26" s="145"/>
      <c r="H26" s="8"/>
      <c r="I26" s="143" t="s">
        <v>27</v>
      </c>
      <c r="J26" s="145"/>
    </row>
    <row r="27" spans="2:12" ht="15.75" customHeight="1" thickBot="1" x14ac:dyDescent="0.3">
      <c r="B27" s="146"/>
      <c r="C27" s="147"/>
      <c r="D27" s="148"/>
      <c r="F27" s="146"/>
      <c r="G27" s="148"/>
      <c r="H27" s="8"/>
      <c r="I27" s="146"/>
      <c r="J27" s="148"/>
    </row>
    <row r="28" spans="2:12" ht="13.5" thickBot="1" x14ac:dyDescent="0.3">
      <c r="B28" s="70" t="s">
        <v>21</v>
      </c>
      <c r="C28" s="115" t="s">
        <v>22</v>
      </c>
      <c r="D28" s="116" t="s">
        <v>23</v>
      </c>
      <c r="F28" s="119" t="s">
        <v>17</v>
      </c>
      <c r="G28" s="124" t="s">
        <v>12</v>
      </c>
      <c r="H28" s="9"/>
      <c r="I28" s="68" t="s">
        <v>17</v>
      </c>
      <c r="J28" s="128" t="s">
        <v>28</v>
      </c>
    </row>
    <row r="29" spans="2:12" ht="13.5" thickBot="1" x14ac:dyDescent="0.3">
      <c r="B29" s="10">
        <v>1</v>
      </c>
      <c r="C29" s="111">
        <v>50</v>
      </c>
      <c r="D29" s="113">
        <v>70</v>
      </c>
      <c r="F29" s="120">
        <v>1</v>
      </c>
      <c r="G29" s="122">
        <v>20</v>
      </c>
      <c r="I29" s="12">
        <v>1</v>
      </c>
      <c r="J29" s="126">
        <v>55</v>
      </c>
    </row>
    <row r="30" spans="2:12" ht="13.5" thickBot="1" x14ac:dyDescent="0.3">
      <c r="B30" s="11">
        <v>2</v>
      </c>
      <c r="C30" s="112">
        <v>70</v>
      </c>
      <c r="D30" s="114">
        <v>100</v>
      </c>
      <c r="F30" s="121">
        <v>2</v>
      </c>
      <c r="G30" s="123">
        <v>25</v>
      </c>
      <c r="I30" s="16">
        <v>2</v>
      </c>
      <c r="J30" s="127">
        <v>20</v>
      </c>
    </row>
    <row r="31" spans="2:12" ht="13.5" thickBot="1" x14ac:dyDescent="0.3">
      <c r="B31" s="11">
        <v>3</v>
      </c>
      <c r="C31" s="117">
        <v>120</v>
      </c>
      <c r="D31" s="118">
        <v>150</v>
      </c>
      <c r="F31" s="121">
        <v>3</v>
      </c>
      <c r="G31" s="125">
        <v>30</v>
      </c>
      <c r="I31" s="16">
        <v>3</v>
      </c>
      <c r="J31" s="129">
        <v>25</v>
      </c>
    </row>
    <row r="34" spans="2:13" ht="13.5" thickBot="1" x14ac:dyDescent="0.3"/>
    <row r="35" spans="2:13" ht="15" customHeight="1" x14ac:dyDescent="0.25">
      <c r="B35" s="143" t="s">
        <v>29</v>
      </c>
      <c r="C35" s="144"/>
      <c r="D35" s="144"/>
      <c r="E35" s="145"/>
      <c r="G35" s="159" t="s">
        <v>57</v>
      </c>
      <c r="H35" s="160"/>
    </row>
    <row r="36" spans="2:13" ht="15.75" customHeight="1" thickBot="1" x14ac:dyDescent="0.3">
      <c r="B36" s="146"/>
      <c r="C36" s="147"/>
      <c r="D36" s="147"/>
      <c r="E36" s="148"/>
      <c r="G36" s="161"/>
      <c r="H36" s="162"/>
    </row>
    <row r="37" spans="2:13" ht="13.5" thickBot="1" x14ac:dyDescent="0.3">
      <c r="B37" s="71" t="s">
        <v>10</v>
      </c>
      <c r="C37" s="72" t="s">
        <v>56</v>
      </c>
      <c r="D37" s="72" t="s">
        <v>30</v>
      </c>
      <c r="E37" s="69" t="s">
        <v>31</v>
      </c>
      <c r="G37" s="85" t="s">
        <v>58</v>
      </c>
      <c r="H37" s="87">
        <v>15</v>
      </c>
    </row>
    <row r="38" spans="2:13" ht="13.5" thickBot="1" x14ac:dyDescent="0.3">
      <c r="B38" s="88" t="s">
        <v>5</v>
      </c>
      <c r="C38" s="89">
        <f>_xlfn.XLOOKUP(Data!$B$38, CarRental_I_Model!AQ3:AQ8, CarRental_I_Model!AP3:AP8)</f>
        <v>6</v>
      </c>
      <c r="D38" s="90">
        <v>1</v>
      </c>
      <c r="E38" s="91">
        <v>20</v>
      </c>
      <c r="G38" s="85" t="s">
        <v>59</v>
      </c>
      <c r="H38" s="87">
        <v>90</v>
      </c>
    </row>
    <row r="39" spans="2:13" ht="13.5" thickBot="1" x14ac:dyDescent="0.3">
      <c r="G39" s="85" t="s">
        <v>60</v>
      </c>
      <c r="H39" s="87">
        <v>10</v>
      </c>
    </row>
    <row r="40" spans="2:13" ht="13.5" thickBot="1" x14ac:dyDescent="0.3">
      <c r="G40" s="86" t="s">
        <v>61</v>
      </c>
      <c r="H40" s="87">
        <v>100</v>
      </c>
    </row>
    <row r="42" spans="2:13" ht="13.5" thickBot="1" x14ac:dyDescent="0.3"/>
    <row r="43" spans="2:13" ht="13.5" thickBot="1" x14ac:dyDescent="0.3">
      <c r="B43" s="153" t="s">
        <v>63</v>
      </c>
      <c r="C43" s="153"/>
      <c r="D43" s="153"/>
      <c r="E43" s="153"/>
      <c r="F43" s="153"/>
      <c r="I43" s="153" t="s">
        <v>64</v>
      </c>
      <c r="J43" s="153"/>
      <c r="K43" s="153"/>
      <c r="L43" s="153"/>
      <c r="M43" s="153"/>
    </row>
    <row r="44" spans="2:13" ht="12.75" customHeight="1" thickBot="1" x14ac:dyDescent="0.3">
      <c r="B44" s="131" t="s">
        <v>67</v>
      </c>
      <c r="C44" s="131" t="s">
        <v>62</v>
      </c>
      <c r="D44" s="131" t="s">
        <v>9</v>
      </c>
      <c r="E44" s="131" t="s">
        <v>7</v>
      </c>
      <c r="F44" s="131" t="s">
        <v>8</v>
      </c>
      <c r="I44" s="131" t="s">
        <v>67</v>
      </c>
      <c r="J44" s="131" t="s">
        <v>62</v>
      </c>
      <c r="K44" s="131" t="s">
        <v>9</v>
      </c>
      <c r="L44" s="131" t="s">
        <v>7</v>
      </c>
      <c r="M44" s="131" t="s">
        <v>8</v>
      </c>
    </row>
    <row r="45" spans="2:13" ht="15.75" customHeight="1" thickBot="1" x14ac:dyDescent="0.3">
      <c r="B45" s="132" t="s">
        <v>68</v>
      </c>
      <c r="C45" s="133" cm="1">
        <f t="array" ref="C45:F47">INDEX(Depot_Hire_PerC[], 1, COUNT(COLUMN-1))*Car_Hire_PerC[]/100</f>
        <v>33</v>
      </c>
      <c r="D45" s="133">
        <v>11</v>
      </c>
      <c r="E45" s="133">
        <v>5.5</v>
      </c>
      <c r="F45" s="133">
        <v>5.5</v>
      </c>
      <c r="I45" s="132" t="s">
        <v>68</v>
      </c>
      <c r="J45" s="133" cm="1">
        <f t="array" ref="J45:M47">INDEX(Depot_Hire_PerC[], 2, COUNT(COLUMN-1))*Car_Hire_PerC[]/100</f>
        <v>8.25</v>
      </c>
      <c r="K45" s="133">
        <v>30.25</v>
      </c>
      <c r="L45" s="133">
        <v>13.75</v>
      </c>
      <c r="M45" s="133">
        <v>2.75</v>
      </c>
    </row>
    <row r="46" spans="2:13" ht="15.75" customHeight="1" thickBot="1" x14ac:dyDescent="0.3">
      <c r="B46" s="132" t="s">
        <v>24</v>
      </c>
      <c r="C46" s="133">
        <v>12</v>
      </c>
      <c r="D46" s="133">
        <v>4</v>
      </c>
      <c r="E46" s="133">
        <v>2</v>
      </c>
      <c r="F46" s="133">
        <v>2</v>
      </c>
      <c r="I46" s="132" t="s">
        <v>24</v>
      </c>
      <c r="J46" s="133">
        <v>3</v>
      </c>
      <c r="K46" s="133">
        <v>11</v>
      </c>
      <c r="L46" s="133">
        <v>5</v>
      </c>
      <c r="M46" s="133">
        <v>1</v>
      </c>
    </row>
    <row r="47" spans="2:13" ht="15.75" customHeight="1" thickBot="1" x14ac:dyDescent="0.3">
      <c r="B47" s="132" t="s">
        <v>25</v>
      </c>
      <c r="C47" s="133">
        <v>15</v>
      </c>
      <c r="D47" s="133">
        <v>5</v>
      </c>
      <c r="E47" s="133">
        <v>2.5</v>
      </c>
      <c r="F47" s="133">
        <v>2.5</v>
      </c>
      <c r="I47" s="132" t="s">
        <v>25</v>
      </c>
      <c r="J47" s="133">
        <v>3.75</v>
      </c>
      <c r="K47" s="133">
        <v>13.75</v>
      </c>
      <c r="L47" s="133">
        <v>6.25</v>
      </c>
      <c r="M47" s="133">
        <v>1.25</v>
      </c>
    </row>
    <row r="50" spans="2:13" ht="13.5" thickBot="1" x14ac:dyDescent="0.3"/>
    <row r="51" spans="2:13" ht="13.5" thickBot="1" x14ac:dyDescent="0.3">
      <c r="B51" s="153" t="s">
        <v>65</v>
      </c>
      <c r="C51" s="153"/>
      <c r="D51" s="153"/>
      <c r="E51" s="153"/>
      <c r="F51" s="153"/>
      <c r="I51" s="154" t="s">
        <v>66</v>
      </c>
      <c r="J51" s="155"/>
      <c r="K51" s="155"/>
      <c r="L51" s="155"/>
      <c r="M51" s="156"/>
    </row>
    <row r="52" spans="2:13" ht="13.5" thickBot="1" x14ac:dyDescent="0.3">
      <c r="B52" s="131" t="s">
        <v>67</v>
      </c>
      <c r="C52" s="131" t="s">
        <v>62</v>
      </c>
      <c r="D52" s="131" t="s">
        <v>9</v>
      </c>
      <c r="E52" s="131" t="s">
        <v>7</v>
      </c>
      <c r="F52" s="131" t="s">
        <v>8</v>
      </c>
      <c r="I52" s="131" t="s">
        <v>67</v>
      </c>
      <c r="J52" s="131" t="s">
        <v>62</v>
      </c>
      <c r="K52" s="131" t="s">
        <v>9</v>
      </c>
      <c r="L52" s="131" t="s">
        <v>7</v>
      </c>
      <c r="M52" s="131" t="s">
        <v>8</v>
      </c>
    </row>
    <row r="53" spans="2:13" ht="13.5" thickBot="1" x14ac:dyDescent="0.3">
      <c r="B53" s="132" t="s">
        <v>68</v>
      </c>
      <c r="C53" s="133" cm="1">
        <f t="array" ref="C53:F55">INDEX(Depot_Hire_PerC[], 3, COUNT(COLUMN-1))*Car_Hire_PerC[]/100</f>
        <v>8.25</v>
      </c>
      <c r="D53" s="133">
        <v>11</v>
      </c>
      <c r="E53" s="133">
        <v>29.7</v>
      </c>
      <c r="F53" s="133">
        <v>6.05</v>
      </c>
      <c r="I53" s="132" t="s">
        <v>68</v>
      </c>
      <c r="J53" s="133" cm="1">
        <f t="array" ref="J53:M55">INDEX(Depot_Hire_PerC[], 4, COUNT(COLUMN-1))*Car_Hire_PerC[]/100</f>
        <v>4.4000000000000004</v>
      </c>
      <c r="K53" s="133">
        <v>6.6</v>
      </c>
      <c r="L53" s="133">
        <v>14.85</v>
      </c>
      <c r="M53" s="133">
        <v>29.15</v>
      </c>
    </row>
    <row r="54" spans="2:13" ht="13.5" thickBot="1" x14ac:dyDescent="0.3">
      <c r="B54" s="132" t="s">
        <v>24</v>
      </c>
      <c r="C54" s="133">
        <v>3</v>
      </c>
      <c r="D54" s="133">
        <v>4</v>
      </c>
      <c r="E54" s="133">
        <v>10.8</v>
      </c>
      <c r="F54" s="133">
        <v>2.2000000000000002</v>
      </c>
      <c r="I54" s="132" t="s">
        <v>24</v>
      </c>
      <c r="J54" s="133">
        <v>1.6</v>
      </c>
      <c r="K54" s="133">
        <v>2.4</v>
      </c>
      <c r="L54" s="133">
        <v>5.4</v>
      </c>
      <c r="M54" s="133">
        <v>10.6</v>
      </c>
    </row>
    <row r="55" spans="2:13" ht="13.5" thickBot="1" x14ac:dyDescent="0.3">
      <c r="B55" s="132" t="s">
        <v>25</v>
      </c>
      <c r="C55" s="133">
        <v>3.75</v>
      </c>
      <c r="D55" s="133">
        <v>5</v>
      </c>
      <c r="E55" s="133">
        <v>13.5</v>
      </c>
      <c r="F55" s="133">
        <v>2.75</v>
      </c>
      <c r="I55" s="132" t="s">
        <v>25</v>
      </c>
      <c r="J55" s="133">
        <v>2</v>
      </c>
      <c r="K55" s="133">
        <v>3</v>
      </c>
      <c r="L55" s="133">
        <v>6.75</v>
      </c>
      <c r="M55" s="133">
        <v>13.25</v>
      </c>
    </row>
  </sheetData>
  <mergeCells count="13">
    <mergeCell ref="B43:F43"/>
    <mergeCell ref="B51:F51"/>
    <mergeCell ref="I43:M43"/>
    <mergeCell ref="I51:M51"/>
    <mergeCell ref="H4:L5"/>
    <mergeCell ref="B4:F5"/>
    <mergeCell ref="H16:L17"/>
    <mergeCell ref="B16:F17"/>
    <mergeCell ref="I26:J27"/>
    <mergeCell ref="B26:D27"/>
    <mergeCell ref="F26:G27"/>
    <mergeCell ref="B35:E36"/>
    <mergeCell ref="G35:H36"/>
  </mergeCells>
  <phoneticPr fontId="1" type="noConversion"/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B9B5-F3A8-4BD1-A752-410E538703A3}">
  <sheetPr>
    <tabColor rgb="FFFFFF00"/>
  </sheetPr>
  <dimension ref="A1:BN87"/>
  <sheetViews>
    <sheetView zoomScale="85" zoomScaleNormal="85" workbookViewId="0">
      <selection activeCell="M3" sqref="M3"/>
    </sheetView>
  </sheetViews>
  <sheetFormatPr defaultColWidth="9.7109375" defaultRowHeight="15.95" customHeight="1" x14ac:dyDescent="0.25"/>
  <cols>
    <col min="1" max="1" width="9.7109375" style="5"/>
    <col min="2" max="2" width="11.140625" style="5" customWidth="1"/>
    <col min="3" max="3" width="10.140625" style="5" bestFit="1" customWidth="1"/>
    <col min="4" max="4" width="11.42578125" style="5" bestFit="1" customWidth="1"/>
    <col min="5" max="7" width="4.7109375" style="5" customWidth="1"/>
    <col min="8" max="8" width="3.5703125" style="5" customWidth="1"/>
    <col min="9" max="11" width="4.7109375" style="5" customWidth="1"/>
    <col min="12" max="12" width="3.7109375" style="5" customWidth="1"/>
    <col min="13" max="16" width="4.7109375" style="5" customWidth="1"/>
    <col min="17" max="22" width="9.7109375" style="5"/>
    <col min="23" max="23" width="9.85546875" style="5" bestFit="1" customWidth="1"/>
    <col min="24" max="24" width="9.7109375" style="5"/>
    <col min="25" max="25" width="9.85546875" style="5" bestFit="1" customWidth="1"/>
    <col min="26" max="26" width="9.7109375" style="5"/>
    <col min="27" max="27" width="9.85546875" style="5" bestFit="1" customWidth="1"/>
    <col min="28" max="28" width="9.7109375" style="5"/>
    <col min="29" max="29" width="9.85546875" style="5" bestFit="1" customWidth="1"/>
    <col min="30" max="30" width="9.7109375" style="5" customWidth="1"/>
    <col min="31" max="31" width="7.85546875" style="5" bestFit="1" customWidth="1"/>
    <col min="32" max="32" width="9.7109375" style="5"/>
    <col min="33" max="33" width="9.85546875" style="5" bestFit="1" customWidth="1"/>
    <col min="34" max="34" width="9.7109375" style="5"/>
    <col min="35" max="35" width="9.85546875" style="5" bestFit="1" customWidth="1"/>
    <col min="36" max="16384" width="9.7109375" style="5"/>
  </cols>
  <sheetData>
    <row r="1" spans="2:66" ht="15.95" customHeight="1" thickBot="1" x14ac:dyDescent="0.3">
      <c r="F1" s="152" t="s">
        <v>81</v>
      </c>
      <c r="G1" s="152"/>
      <c r="H1" s="152"/>
      <c r="I1" s="152"/>
      <c r="J1" s="152"/>
      <c r="K1" s="152"/>
      <c r="L1" s="152"/>
      <c r="M1" s="152"/>
      <c r="AN1" s="142" t="s">
        <v>55</v>
      </c>
      <c r="AO1" s="142"/>
      <c r="AP1" s="142"/>
      <c r="AQ1" s="142"/>
      <c r="AR1" s="142"/>
      <c r="BJ1" s="143" t="s">
        <v>19</v>
      </c>
      <c r="BK1" s="144"/>
      <c r="BL1" s="144"/>
      <c r="BM1" s="144"/>
      <c r="BN1" s="145"/>
    </row>
    <row r="2" spans="2:66" ht="15.95" customHeight="1" thickTop="1" thickBot="1" x14ac:dyDescent="0.3">
      <c r="B2" s="134" t="s">
        <v>32</v>
      </c>
      <c r="C2" s="130">
        <f>SUM(F2:K2)-L2-M2</f>
        <v>120348.34213529497</v>
      </c>
      <c r="F2" s="138" cm="1">
        <f t="array" ref="F2">SUM(
SUM(INDEX(Glasgow_PerC, $AR$3:$AR$5, $AN$3)*(INDEX(Rental_Price[], $AR$3:$AR$5, 1) - (INDEX(Marginal_Cost[], $AR$3:$AR$5)) + Damage_Fee/Damaged_CarsPerC))*INDEX(TRit[], $AN$3, $AP$3:$AP$7)/100,
SUM(INDEX(Manchester_PerC, $AR$3:$AR$5, $AN$4)*(INDEX(Rental_Price[], $AR$3:$AR$5, 1) - (INDEX(Marginal_Cost[], $AR$3:$AR$5)) + Damage_Fee/Damaged_CarsPerC))*INDEX(TRit[], $AN$4, $AP$3:$AP$7)/100,
SUM(INDEX(Birmingham_PerC, $AR$3:$AR$5, $AN$5)*(INDEX(Rental_Price[], $AR$3:$AR$5, 1) - (INDEX(Marginal_Cost[], $AR$3:$AR$5)) + Damage_Fee/Damaged_CarsPerC))*INDEX(TRit[], $AN$5, $AP$3:$AP$7)/100,
SUM(INDEX(Plymouth_PerC, $AR$3:$AR$5, $AN$6)*(INDEX(Rental_Price[], $AR$3:$AR$5, 1) - (INDEX(Marginal_Cost[], $AR$3:$AR$5)) + Damage_Fee/Damaged_CarsPerC))*INDEX(TRit[], $AN$6, $AP$3:$AP$7)/100
)</f>
        <v>57317.130486019996</v>
      </c>
      <c r="G2" s="138" cm="1">
        <f t="array" ref="G2">SUM(
SUM(INDEX(Glasgow_PerC, $AR$3:$AR$5, $AN$4)*(INDEX(Rental_Price[], $AR$3:$AR$5, 2) - (INDEX(Marginal_Cost[], $AR$3:$AR$5)) + Damage_Fee/Damaged_CarsPerC))*INDEX(TRit[], $AN$3, $AP$3:$AP$7)/100,
SUM(INDEX(Glasgow_PerC, $AR$3:$AR$5, $AN$5)*(INDEX(Rental_Price[], $AR$3:$AR$5, 2) - (INDEX(Marginal_Cost[], $AR$3:$AR$5)) + Damage_Fee/Damaged_CarsPerC))*INDEX(TRit[], $AN$3, $AP$3:$AP$7)/100,
SUM(INDEX(Glasgow_PerC, $AR$3:$AR$5, $AN$6)*(INDEX(Rental_Price[], $AR$3:$AR$5, 2) - (INDEX(Marginal_Cost[], $AR$3:$AR$5)) + Damage_Fee/Damaged_CarsPerC))*INDEX(TRit[], $AN$3, $AP$3:$AP$7)/100,
SUM(INDEX(Manchester_PerC, $AR$3:$AR$5, $AN$3)*(INDEX(Rental_Price[], $AR$3:$AR$5, 2) - (INDEX(Marginal_Cost[], $AR$3:$AR$5)) + Damage_Fee/Damaged_CarsPerC))*INDEX(TRit[], $AN$4, $AP$3:$AP$7)/100,
SUM(INDEX(Manchester_PerC, $AR$3:$AR$5, $AN$5)*(INDEX(Rental_Price[], $AR$3:$AR$5, 2) - (INDEX(Marginal_Cost[], $AR$3:$AR$5)) + Damage_Fee/Damaged_CarsPerC))*INDEX(TRit[], $AN$4, $AP$3:$AP$7)/100,
SUM(INDEX(Manchester_PerC, $AR$3:$AR$5, $AN$6)*(INDEX(Rental_Price[], $AR$3:$AR$5, 2) - (INDEX(Marginal_Cost[], $AR$3:$AR$5)) + Damage_Fee/Damaged_CarsPerC))*INDEX(TRit[], $AN$4, $AP$3:$AP$7)/100,
SUM(INDEX(Birmingham_PerC, $AR$3:$AR$5, $AN$3)*(INDEX(Rental_Price[], $AR$3:$AR$5, 2) - (INDEX(Marginal_Cost[], $AR$3:$AR$5)) + Damage_Fee/Damaged_CarsPerC))*INDEX(TRit[], $AN$5, $AP$3:$AP$7)/100,
SUM(INDEX(Birmingham_PerC, $AR$3:$AR$5, $AN$4)*(INDEX(Rental_Price[], $AR$3:$AR$5, 2) - (INDEX(Marginal_Cost[], $AR$3:$AR$5)) + Damage_Fee/Damaged_CarsPerC))*INDEX(TRit[], $AN$5, $AP$3:$AP$7)/100,
SUM(INDEX(Birmingham_PerC, $AR$3:$AR$5, $AN$6)*(INDEX(Rental_Price[], $AR$3:$AR$5, 2) - (INDEX(Marginal_Cost[], $AR$3:$AR$5)) + Damage_Fee/Damaged_CarsPerC))*INDEX(TRit[], $AN$5, $AP$3:$AP$7)/100,
SUM(INDEX(Plymouth_PerC, $AR$3:$AR$5, $AN$3)*(INDEX(Rental_Price[], $AR$3:$AR$5, 2) - (INDEX(Marginal_Cost[], $AR$3:$AR$5)) + Damage_Fee/Damaged_CarsPerC))*INDEX(TRit[], $AN$6, $AP$3:$AP$7)/100,
SUM(INDEX(Plymouth_PerC, $AR$3:$AR$5, $AN$4)*(INDEX(Rental_Price[], $AR$3:$AR$5, 2) - (INDEX(Marginal_Cost[], $AR$3:$AR$5)) + Damage_Fee/Damaged_CarsPerC))*INDEX(TRit[], $AN$6, $AP$3:$AP$7)/100,
SUM(INDEX(Plymouth_PerC, $AR$3:$AR$5, $AN$5)*(INDEX(Rental_Price[], $AR$3:$AR$5, 2) - (INDEX(Marginal_Cost[], $AR$3:$AR$5)) + Damage_Fee/Damaged_CarsPerC))*INDEX(TRit[], $AN$6, $AP$3:$AP$7)/100,
)</f>
        <v>65333.169438074976</v>
      </c>
      <c r="H2" s="138" cm="1">
        <f t="array" ref="H2">SUM(
INDEX(Glasgow_PerC, $AR$3, $AN$3)*(INDEX(Rental_Price[], $AR$3, 1) - Discount_Amount - (INDEX(Marginal_Cost[], $AR$3)) + Damage_Fee/Damaged_CarsPerC)*INDEX(TRit[], $AN$3, $AP$8)/100,
INDEX(Manchester_PerC, $AR$3, $AN$4)*(INDEX(Rental_Price[], $AR$3, 1) - Discount_Amount - (INDEX(Marginal_Cost[], $AR$3)) + Damage_Fee/Damaged_CarsPerC)*INDEX(TRit[], $AN$4, $AP$8)/100,
INDEX(Birmingham_PerC, $AR$3, $AN$5)*(INDEX(Rental_Price[], $AR$3, 1) - Discount_Amount - (INDEX(Marginal_Cost[], $AR$3)) + Damage_Fee/Damaged_CarsPerC)*INDEX(TRit[], $AN$5, $AP$8)/100,
INDEX(Plymouth_PerC, $AR$3, $AN$6)*(INDEX(Rental_Price[], $AR$3, 1) - Discount_Amount - (INDEX(Marginal_Cost[], $AR$3)) + Damage_Fee/Damaged_CarsPerC)*INDEX(TRit[], $AN$6, $AP$8)/100
)</f>
        <v>841.21228619999988</v>
      </c>
      <c r="I2" s="139" cm="1">
        <f t="array" ref="I2">SUM(
SUM(INDEX(Glasgow_PerC, $AR$3, $AN$4)*(INDEX(Rental_Price[], $AR$3, 2)- Discount_Amount -(INDEX(Marginal_Cost[], $AR$3)) + Damage_Fee/Damaged_CarsPerC))*INDEX(TRit[], $AN$3,$AP$8)/100,
SUM(INDEX(Glasgow_PerC, $AR$3, $AN$5)*(INDEX(Rental_Price[], $AR$3, 2)- Discount_Amount -(INDEX(Marginal_Cost[], $AR$3)) + Damage_Fee/Damaged_CarsPerC))*INDEX(TRit[], $AN$3,$AP$8)/100,
SUM(INDEX(Glasgow_PerC, $AR$3, $AN$6)*(INDEX(Rental_Price[], $AR$3, 2)- Discount_Amount -(INDEX(Marginal_Cost[], $AR$3)) + Damage_Fee/Damaged_CarsPerC))*INDEX(TRit[], $AN$3,$AP$8)/100,
SUM(INDEX(Manchester_PerC, $AR$3, $AN$3)*(INDEX(Rental_Price[], $AR$3, 2)- Discount_Amount -(INDEX(Marginal_Cost[], $AR$3)) + Damage_Fee/Damaged_CarsPerC))*INDEX(TRit[], $AN$4,$AP$8)/100,
SUM(INDEX(Manchester_PerC, $AR$3, $AN$5)*(INDEX(Rental_Price[], $AR$3, 2)- Discount_Amount -(INDEX(Marginal_Cost[], $AR$3)) + Damage_Fee/Damaged_CarsPerC))*INDEX(TRit[], $AN$4,$AP$8)/100,
SUM(INDEX(Manchester_PerC, $AR$3, $AN$6)*(INDEX(Rental_Price[], $AR$3, 2)- Discount_Amount -(INDEX(Marginal_Cost[], $AR$3)) + Damage_Fee/Damaged_CarsPerC))*INDEX(TRit[], $AN$4,$AP$8)/100,
SUM(INDEX(Birmingham_PerC, $AR$3, $AN$3)*(INDEX(Rental_Price[], $AR$3, 2)- Discount_Amount -(INDEX(Marginal_Cost[], $AR$3)) + Damage_Fee/Damaged_CarsPerC))*INDEX(TRit[], $AN$5,$AP$8)/100,
SUM(INDEX(Birmingham_PerC, $AR$3, $AN$4)*(INDEX(Rental_Price[], $AR$3, 2)- Discount_Amount -(INDEX(Marginal_Cost[], $AR$3)) + Damage_Fee/Damaged_CarsPerC))*INDEX(TRit[], $AN$5,$AP$8)/100,
SUM(INDEX(Birmingham_PerC, $AR$3, $AN$6)*(INDEX(Rental_Price[], $AR$3, 2)- Discount_Amount -(INDEX(Marginal_Cost[], $AR$3)) + Damage_Fee/Damaged_CarsPerC))*INDEX(TRit[], $AN$5,$AP$8)/100,
SUM(INDEX(Plymouth_PerC, $AR$3, $AN$3)*(INDEX(Rental_Price[], $AR$3, 2)- Discount_Amount -(INDEX(Marginal_Cost[], $AR$3)) + Damage_Fee/Damaged_CarsPerC))*INDEX(TRit[], $AN$6,$AP$8)/100,
SUM(INDEX(Plymouth_PerC, $AR$3, $AN$4)*(INDEX(Rental_Price[], $AR$3, 2)- Discount_Amount -(INDEX(Marginal_Cost[], $AR$3)) + Damage_Fee/Damaged_CarsPerC))*INDEX(TRit[], $AN$6,$AP$8)/100,
SUM(INDEX(Plymouth_PerC, $AR$3, $AN$5)*(INDEX(Rental_Price[], $AR$3, 2)- Discount_Amount -(INDEX(Marginal_Cost[], $AR$3)) + Damage_Fee/Damaged_CarsPerC))*INDEX(TRit[], $AN$6,$AP$8)/100,
)</f>
        <v>1394.4163816</v>
      </c>
      <c r="J2" s="138" cm="1">
        <f t="array" ref="J2">SUM(
INDEX(Glasgow_PerC, $AM$4:$AM$5, $AN$3)*(INDEX(Rental_Price[], $AM$4:$AM$5, 1) - (INDEX(Marginal_Cost[], $AM$4:$AM$5)) + Damage_Fee/Damaged_CarsPerC)*INDEX(TRit[], $AN$3, $AP$8)/100,
INDEX(Manchester_PerC, $AM$4:$AM$5, $AN$4)*(INDEX(Rental_Price[], $AM$4:$AM$5, 1) - (INDEX(Marginal_Cost[], $AM$4:$AM$5)) + Damage_Fee/Damaged_CarsPerC)*INDEX(TRit[], $AN$4, $AP$8)/100,
INDEX(Birmingham_PerC, $AM$4:$AM$5, $AN$5)*(INDEX(Rental_Price[], $AM$4:$AM$5, 1) - (INDEX(Marginal_Cost[], $AM$4:$AM$5)) + Damage_Fee/Damaged_CarsPerC)*INDEX(TRit[], $AN$5, $AP$8)/100,
INDEX(Plymouth_PerC, $AM$4:$AM$5, $AN$6)*(INDEX(Rental_Price[], $AM$4:$AM$5, 1) - (INDEX(Marginal_Cost[], $AM$4:$AM$5)) + Damage_Fee/Damaged_CarsPerC)*INDEX(TRit[], $AN$6, $AP$8)/100
)</f>
        <v>3364.8491447999995</v>
      </c>
      <c r="K2" s="138" cm="1">
        <f t="array" ref="K2">SUM(
SUM(INDEX(Glasgow_PerC, $AR$4:$AR$5, $AN$4)*(INDEX(Rental_Price[], $AR$4:$AR$5, 2)-(INDEX(Marginal_Cost[], $AR$4:$AR$5)) + Damage_Fee/Damaged_CarsPerC))*INDEX(TRit[], $AN$3,$AP$8)/100,
SUM(INDEX(Glasgow_PerC, $AR$4:$AR$5, $AN$5)*(INDEX(Rental_Price[], $AR$4:$AR$5, 2)-(INDEX(Marginal_Cost[], $AR$4:$AR$5)) + Damage_Fee/Damaged_CarsPerC))*INDEX(TRit[], $AN$3,$AP$8)/100,
SUM(INDEX(Glasgow_PerC, $AR$4:$AR$5, $AN$6)*(INDEX(Rental_Price[], $AR$4:$AR$5, 2)-(INDEX(Marginal_Cost[], $AR$4:$AR$5)) + Damage_Fee/Damaged_CarsPerC))*INDEX(TRit[], $AN$3,$AP$8)/100,
SUM(INDEX(Manchester_PerC, $AR$4:$AR$5, $AN$3)*(INDEX(Rental_Price[], $AR$4:$AR$5, 2)-(INDEX(Marginal_Cost[], $AR$4:$AR$5)) + Damage_Fee/Damaged_CarsPerC))*INDEX(TRit[], $AN$4,$AP$8)/100,
SUM(INDEX(Manchester_PerC, $AR$4:$AR$5, $AN$5)*(INDEX(Rental_Price[], $AR$4:$AR$5, 2)-(INDEX(Marginal_Cost[], $AR$4:$AR$5)) + Damage_Fee/Damaged_CarsPerC))*INDEX(TRit[], $AN$4,$AP$8)/100,
SUM(INDEX(Manchester_PerC, $AR$4:$AR$5, $AN$6)*(INDEX(Rental_Price[], $AR$4:$AR$5, 2)-(INDEX(Marginal_Cost[], $AR$4:$AR$5)) + Damage_Fee/Damaged_CarsPerC))*INDEX(TRit[], $AN$4,$AP$8)/100,
SUM(INDEX(Birmingham_PerC, $AR$4:$AR$5, $AN$3)*(INDEX(Rental_Price[], $AR$4:$AR$5, 2)-(INDEX(Marginal_Cost[], $AR$4:$AR$5)) + Damage_Fee/Damaged_CarsPerC))*INDEX(TRit[], $AN$5,$AP$8)/100,
SUM(INDEX(Birmingham_PerC, $AR$4:$AR$5, $AN$4)*(INDEX(Rental_Price[], $AR$4:$AR$5, 2)-(INDEX(Marginal_Cost[], $AR$4:$AR$5)) + Damage_Fee/Damaged_CarsPerC))*INDEX(TRit[], $AN$5,$AP$8)/100,
SUM(INDEX(Birmingham_PerC, $AR$4:$AR$5, $AN$6)*(INDEX(Rental_Price[], $AR$4:$AR$5, 2)-(INDEX(Marginal_Cost[], $AR$4:$AR$5)) + Damage_Fee/Damaged_CarsPerC))*INDEX(TRit[], $AN$5,$AP$8)/100,
SUM(INDEX(Plymouth_PerC, $AR$4:$AR$5, $AN$3)*(INDEX(Rental_Price[], $AR$4:$AR$5, 2)-(INDEX(Marginal_Cost[], $AR$4:$AR$5)) + Damage_Fee/Damaged_CarsPerC))*INDEX(TRit[], $AN$6,$AP$8)/100,
SUM(INDEX(Plymouth_PerC, $AR$4:$AR$5, $AN$4)*(INDEX(Rental_Price[], $AR$4:$AR$5, 2)-(INDEX(Marginal_Cost[], $AR$4:$AR$5)) + Damage_Fee/Damaged_CarsPerC))*INDEX(TRit[], $AN$6,$AP$8)/100,
SUM(INDEX(Plymouth_PerC, $AR$4:$AR$5, $AN$5)*(INDEX(Rental_Price[], $AR$4:$AR$5, 2)-(INDEX(Marginal_Cost[], $AR$4:$AR$5)) + Damage_Fee/Damaged_CarsPerC))*INDEX(TRit[], $AN$6,$AP$8)/100,
)</f>
        <v>3137.4368585999996</v>
      </c>
      <c r="L2" s="138" cm="1">
        <f t="array" ref="L2">SUM(
SUM(IF(INDEX(Transfer_Cost[], $AN$3, $AN$3:$AN$6)="-",999999999,INDEX(Transfer_Cost[], $AN$3, $AN$3:$AN$6))*(TU1jt[] + TD1jt[])),
SUM(IF(INDEX(Transfer_Cost[], $AN$4, $AN$3:$AN$6)="-",999999999,INDEX(Transfer_Cost[], $AN$4, $AN$3:$AN$6))*(TU2jt[] + TD2jt[])),
SUM(IF(INDEX(Transfer_Cost[], $AN$5, $AN$3:$AN$6)="-",999999999,INDEX(Transfer_Cost[], $AN$5, $AN$3:$AN$6))*(TU3jt[] + TD3jt[])),
SUM(IF(INDEX(Transfer_Cost[], $AN$6, $AN$3:$AN$6)="-",999999999,INDEX(Transfer_Cost[], $AN$6, $AN$3:$AN$6))*(TU4jt[] + TD4jt[]))
)</f>
        <v>1904.2207099999998</v>
      </c>
      <c r="M2" s="138">
        <f>Opportunity_Cost*Cars</f>
        <v>9135.6517500000009</v>
      </c>
      <c r="V2" s="27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N2" s="78" t="s">
        <v>35</v>
      </c>
      <c r="AO2" s="78" t="s">
        <v>36</v>
      </c>
      <c r="AP2" s="78" t="s">
        <v>52</v>
      </c>
      <c r="AQ2" s="78" t="s">
        <v>54</v>
      </c>
      <c r="AR2" s="78" t="s">
        <v>53</v>
      </c>
      <c r="BJ2" s="146"/>
      <c r="BK2" s="147"/>
      <c r="BL2" s="147"/>
      <c r="BM2" s="147"/>
      <c r="BN2" s="148"/>
    </row>
    <row r="3" spans="2:66" ht="15.75" customHeight="1" thickBot="1" x14ac:dyDescent="0.3">
      <c r="F3" s="138" t="s">
        <v>74</v>
      </c>
      <c r="G3" s="138" t="s">
        <v>75</v>
      </c>
      <c r="H3" s="138" t="s">
        <v>76</v>
      </c>
      <c r="I3" s="138" t="s">
        <v>73</v>
      </c>
      <c r="J3" s="138" t="s">
        <v>72</v>
      </c>
      <c r="K3" s="138" t="s">
        <v>71</v>
      </c>
      <c r="L3" s="138" t="s">
        <v>70</v>
      </c>
      <c r="M3" s="138" t="s">
        <v>69</v>
      </c>
      <c r="V3" s="32"/>
      <c r="W3" s="149" t="s">
        <v>41</v>
      </c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31"/>
      <c r="AN3" s="78">
        <v>1</v>
      </c>
      <c r="AO3" s="78">
        <v>1</v>
      </c>
      <c r="AP3" s="78">
        <v>1</v>
      </c>
      <c r="AQ3" s="78" t="s">
        <v>0</v>
      </c>
      <c r="AR3" s="78">
        <v>1</v>
      </c>
      <c r="BJ3" s="66" t="s">
        <v>17</v>
      </c>
      <c r="BK3" s="83" t="s">
        <v>6</v>
      </c>
      <c r="BL3" s="83" t="s">
        <v>9</v>
      </c>
      <c r="BM3" s="83" t="s">
        <v>7</v>
      </c>
      <c r="BN3" s="84" t="s">
        <v>8</v>
      </c>
    </row>
    <row r="4" spans="2:66" ht="26.25" customHeight="1" thickBot="1" x14ac:dyDescent="0.4">
      <c r="B4" s="140" t="s">
        <v>33</v>
      </c>
      <c r="C4" s="141"/>
      <c r="S4" s="18"/>
      <c r="V4" s="32"/>
      <c r="W4" s="135"/>
      <c r="AL4" s="31"/>
      <c r="AN4" s="78">
        <v>2</v>
      </c>
      <c r="AO4" s="78">
        <v>2</v>
      </c>
      <c r="AP4" s="78">
        <v>2</v>
      </c>
      <c r="AQ4" s="78" t="s">
        <v>1</v>
      </c>
      <c r="AR4" s="78">
        <v>2</v>
      </c>
      <c r="BJ4" s="35" t="s">
        <v>16</v>
      </c>
      <c r="BK4" s="60">
        <v>0</v>
      </c>
      <c r="BL4" s="61">
        <v>12</v>
      </c>
      <c r="BM4" s="62">
        <v>20</v>
      </c>
      <c r="BN4" s="60">
        <v>0</v>
      </c>
    </row>
    <row r="5" spans="2:66" ht="15.95" customHeight="1" thickBot="1" x14ac:dyDescent="0.3">
      <c r="V5" s="32"/>
      <c r="W5" s="150" t="s">
        <v>6</v>
      </c>
      <c r="X5" s="150"/>
      <c r="Y5" s="150"/>
      <c r="AA5" s="151" t="s">
        <v>9</v>
      </c>
      <c r="AB5" s="151"/>
      <c r="AC5" s="151"/>
      <c r="AE5" s="151" t="s">
        <v>7</v>
      </c>
      <c r="AF5" s="151"/>
      <c r="AG5" s="151"/>
      <c r="AI5" s="151" t="s">
        <v>8</v>
      </c>
      <c r="AJ5" s="151"/>
      <c r="AK5" s="151"/>
      <c r="AL5" s="31"/>
      <c r="AN5" s="78">
        <v>3</v>
      </c>
      <c r="AO5" s="78">
        <v>3</v>
      </c>
      <c r="AP5" s="78">
        <v>3</v>
      </c>
      <c r="AQ5" s="78" t="s">
        <v>2</v>
      </c>
      <c r="AR5" s="78">
        <v>3</v>
      </c>
    </row>
    <row r="6" spans="2:66" ht="15.95" customHeight="1" thickTop="1" thickBot="1" x14ac:dyDescent="0.3">
      <c r="B6" s="27"/>
      <c r="C6" s="28"/>
      <c r="D6" s="28"/>
      <c r="E6" s="29"/>
      <c r="V6" s="32" t="s">
        <v>0</v>
      </c>
      <c r="W6" s="75" cm="1">
        <f t="array" ref="W6">SUM(SUM(
SUMPRODUCT(INDEX(Glasgow_PerC, $AR$3:$AR$5, $AN$3)*INDEX(TRit[], $AN$3, IF($AP3-$AR$3:$AR$5 &lt;= 0,  ($AP3-$AR$3:$AR$5 + COUNT(variable_t)), $AP3-$AR$3:$AR$5))),
SUMPRODUCT(INDEX(Manchester_PerC, $AR$3:$AR$5, $AN$3)*INDEX(TRit[], $AN$4, IF($AP3-$AR$3:$AR$5 &lt;= 0,  ($AP3-$AR$3:$AR$5 + COUNT(variable_t)), $AP3-$AR$3:$AR$5))),
SUMPRODUCT(INDEX(Birmingham_PerC, $AR$3:$AR$5, $AN$3)*INDEX(TRit[], $AN$5, IF($AP3-$AR$3:$AR$5 &lt;= 0,  ($AP3-$AR$3:$AR$5 + COUNT(variable_t)), $AP3-$AR$3:$AR$5))),
SUMPRODUCT(INDEX(Plymouth_PerC, $AR$3:$AR$5, $AN$3)*INDEX(TRit[], $AN$6, IF($AP3-$AR$3:$AR$5 &lt;= 0,  ($AP3-$AR$3:$AR$5 + COUNT(variable_t)), $AP3-$AR$3:$AR$5))))/100*
Undamaged_CarsPerC/100,
SUM(
INDEX(TU1jt[],  $AN$3, IF($AP3-1 = 0,  ($AP3-1 + COUNT(variable_t)), $AP3-1)),
INDEX(TU2jt[],  $AN$3, IF($AP3-1 = 0,  ($AP3-1 + COUNT(variable_t)), $AP3-1)),
INDEX(TU3jt[],  $AN$3, IF($AP3-1 = 0,  ($AP3-1 + COUNT(variable_t)), $AP3-1)),
INDEX(TU4jt[],  $AN$3, IF($AP3-1 = 0,  ($AP3-1 + COUNT(variable_t)), $AP3-1))),
INDEX(RPit[], $AN$3, IF($AP3-1 = 0,  ($AP3-1 + COUNT(variable_t)), $AP3-1)),
INDEX(EUit[], $AN$3, IF($AP3-1 = 0,  ($AP3-1 + COUNT(varable_t)), $AP3-1)),
)</f>
        <v>100.00000040800001</v>
      </c>
      <c r="X6" s="76" t="s">
        <v>34</v>
      </c>
      <c r="Y6" s="77" cm="1">
        <f t="array" ref="Y6">INDEX(NUit[], $AN$3, $AP3)</f>
        <v>100</v>
      </c>
      <c r="Z6" s="76"/>
      <c r="AA6" s="75" cm="1">
        <f t="array" ref="AA6">SUM(SUM(
SUMPRODUCT(INDEX(Glasgow_PerC, $AR$3:$AR$5, $AN$4)*INDEX(TRit[], $AN$3, IF($AP3-$AR$3:$AR$5 &lt;= 0,  ($AP3-$AR$3:$AR$5 + COUNT(variable_t)), $AP3-$AR$3:$AR$5))),
SUMPRODUCT(INDEX(Manchester_PerC, $AR$3:$AR$5, $AN$4)*INDEX(TRit[], $AN$4, IF($AP3-$AR$3:$AR$5 &lt;= 0,  ($AP3-$AR$3:$AR$5 + COUNT(variable_t)), $AP3-$AR$3:$AR$5))),
SUMPRODUCT(INDEX(Birmingham_PerC, $AR$3:$AR$5, $AN$4)*INDEX(TRit[], $AN$5, IF($AP3-$AR$3:$AR$5 &lt;= 0,  ($AP3-$AR$3:$AR$5 + COUNT(variable_t)), $AP3-$AR$3:$AR$5))),
SUMPRODUCT(INDEX(Plymouth_PerC, $AR$3:$AR$5, $AN$4)*INDEX(TRit[], $AN$6, IF($AP3-$AR$3:$AR$5 &lt;= 0,  ($AP3-$AR$3:$AR$5 + COUNT(variable_t)), $AP3-$AR$3:$AR$5))))/100*
Undamaged_CarsPerC/100,
SUM(
INDEX(TU1jt[],  $AN$4, IF($AP3-1 = 0,  ($AP3-1 + COUNT(variable_t)), $AP3-1)),
INDEX(TU2jt[],  $AN$4, IF($AP3-1 = 0,  ($AP3-1 + COUNT(variable_t)), $AP3-1)),
INDEX(TU3jt[],  $AN$4, IF($AP3-1 = 0,  ($AP3-1 + COUNT(variable_t)), $AP3-1)),
INDEX(TU4jt[],  $AN$4, IF($AP3-1 = 0,  ($AP3-1 + COUNT(variable_t)), $AP3-1))),
INDEX(RPit[], $AN$4, IF($AP3-1 = 0,  ($AP3-1 + COUNT(variable_t)), $AP3-1)),
INDEX(EUit[], $AN$4, IF($AP3-1 = 0,  ($AP3-1 + COUNT(variable_t)), $AP3-1)),
)</f>
        <v>165.65248007500003</v>
      </c>
      <c r="AB6" s="76" t="s">
        <v>34</v>
      </c>
      <c r="AC6" s="77" cm="1">
        <f t="array" ref="AC6">INDEX(NUit[], $AN$4, $AP3)</f>
        <v>165.65248</v>
      </c>
      <c r="AD6" s="76"/>
      <c r="AE6" s="75" cm="1">
        <f t="array" ref="AE6">SUM(SUM(
SUMPRODUCT(INDEX(Glasgow_PerC, $AR$3:$AR$5, $AN$5)*INDEX(TRit[], $AN$3, IF($AP3-$AR$3:$AR$5 &lt;= 0,  ($AP3-$AR$3:$AR$5 + COUNT(variable_t)), $AP3-$AR$3:$AR$5))),
SUMPRODUCT(INDEX(Manchester_PerC, $AR$3:$AR$5, $AN$5)*INDEX(TRit[], $AN$4, IF($AP3-$AR$3:$AR$5 &lt;= 0,  ($AP3-$AR$3:$AR$5 + COUNT(variable_t)), $AP3-$AR$3:$AR$5))),
SUMPRODUCT(INDEX(Birmingham_PerC, $AR$3:$AR$5, $AN$5)*INDEX(TRit[], $AN$5, IF($AP3-$AR$3:$AR$5 &lt;= 0,  ($AP3-$AR$3:$AR$5 + COUNT(variable_t)), $AP3-$AR$3:$AR$5))),
SUMPRODUCT(INDEX(Plymouth_PerC, $AR$3:$AR$5, $AN$5)*INDEX(TRit[], $AN$6, IF($AP3-$AR$3:$AR$5 &lt;= 0,  ($AP3-$AR$3:$AR$5 + COUNT(variable_t)), $AP3-$AR$3:$AR$5))))/100*
Undamaged_CarsPerC/100,
SUM(
INDEX(TU1jt[],  $AN$5, IF($AP3-1 = 0,  ($AP3-1 + COUNT(variable_t)), $AP3-1)),
INDEX(TU2jt[],  $AN$5, IF($AP3-1 = 0,  ($AP3-1 + COUNT(variable_t)), $AP3-1)),
INDEX(TU3jt[],  $AN$5, IF($AP3-1 = 0,  ($AP3-1 + COUNT(variable_t)), $AP3-1)),
INDEX(TU4jt[],  $AN$5, IF($AP3-1 = 0,  ($AP3-1 + COUNT(variable_t)), $AP3-1))),
INDEX(RPit[], $AN$5, IF($AP3-1 = 0,  ($AP3-1 + COUNT(variable_t)), $AP3-1)),
INDEX(EUit[], $AN$5, IF($AP3-1 = 0,  ($AP3-1 + COUNT(variable_t)), $AP3-1)),
)</f>
        <v>139.91692116524999</v>
      </c>
      <c r="AF6" s="76" t="s">
        <v>34</v>
      </c>
      <c r="AG6" s="77" cm="1">
        <f t="array" ref="AG6">INDEX(NUit[], $AN$5, $AP3)</f>
        <v>139.91692</v>
      </c>
      <c r="AH6" s="76"/>
      <c r="AI6" s="75" cm="1">
        <f t="array" ref="AI6">SUM(SUM(
SUMPRODUCT(INDEX(Glasgow_PerC, $AR$3:$AR$5, $AN$6)*INDEX(TRit[], $AN$3, IF($AP3-$AR$3:$AR$5 &lt;= 0,  ($AP3-$AR$3:$AR$5 + COUNT(variable_t)), $AP3-$AR$3:$AR$5))),
SUMPRODUCT(INDEX(Manchester_PerC, $AR$3:$AR$5, $AN$6)*INDEX(TRit[], $AN$4, IF($AP3-$AR$3:$AR$5 &lt;= 0,  ($AP3-$AR$3:$AR$5 + COUNT(variable_t)), $AP3-$AR$3:$AR$5))),
SUMPRODUCT(INDEX(Birmingham_PerC, $AR$3:$AR$5, $AN$6)*INDEX(TRit[], $AN$5, IF($AP3-$AR$3:$AR$5 &lt;= 0,  ($AP3-$AR$3:$AR$5 + COUNT(variable_t)), $AP3-$AR$3:$AR$5))),
SUMPRODUCT(INDEX(Plymouth_PerC, $AR$3:$AR$5, $AN$6)*INDEX(TRit[], $AN$6, IF($AP3-$AR$3:$AR$5 &lt;= 0,  ($AP3-$AR$3:$AR$5 + COUNT(variable_t)), $AP3-$AR$3:$AR$5))))/100*
Undamaged_CarsPerC/100,
SUM(
INDEX(TU1jt[],  $AN$6, IF($AP3-1 = 0,  ($AP3-1 + COUNT(variable_t)), $AP3-1)),
INDEX(TU2jt[],  $AN$6, IF($AP3-1 = 0,  ($AP3-1 + COUNT(variable_t)), $AP3-1)),
INDEX(TU3jt[],  $AN$6, IF($AP3-1 = 0,  ($AP3-1 + COUNT(variable_t)), $AP3-1)),
INDEX(TU4jt[],  $AN$6, IF($AP3-1 = 0,  ($AP3-1 + COUNT(variable_t)), $AP3-1))),
INDEX(RPit[], $AN$6, IF($AP3-1 = 0,  ($AP3-1 + COUNT(variable_t)), $AP3-1)),
INDEX(EUit[], $AN$6, IF($AP3-1 = 0,  ($AP3-1 + COUNT(variable_t)), $AP3-1)),
)</f>
        <v>68.943404461749992</v>
      </c>
      <c r="AJ6" s="76" t="s">
        <v>34</v>
      </c>
      <c r="AK6" s="77" cm="1">
        <f t="array" ref="AK6">INDEX(NUit[], $AN$6, $AP3)</f>
        <v>68.943404000000001</v>
      </c>
      <c r="AL6" s="31"/>
      <c r="AN6" s="78">
        <v>4</v>
      </c>
      <c r="AO6" s="78">
        <v>4</v>
      </c>
      <c r="AP6" s="78">
        <v>4</v>
      </c>
      <c r="AQ6" s="78" t="s">
        <v>3</v>
      </c>
      <c r="AR6" s="79"/>
      <c r="BJ6" s="143" t="s">
        <v>14</v>
      </c>
      <c r="BK6" s="144"/>
      <c r="BL6" s="144"/>
      <c r="BM6" s="144"/>
      <c r="BN6" s="145"/>
    </row>
    <row r="7" spans="2:66" ht="15.95" customHeight="1" thickBot="1" x14ac:dyDescent="0.3">
      <c r="B7" s="32"/>
      <c r="C7" s="73" t="s">
        <v>82</v>
      </c>
      <c r="D7" s="74">
        <v>609.04345000000001</v>
      </c>
      <c r="E7" s="31"/>
      <c r="V7" s="32" t="s">
        <v>1</v>
      </c>
      <c r="W7" s="75" cm="1">
        <f t="array" ref="W7">SUM(SUM(
SUMPRODUCT(INDEX(Glasgow_PerC, $AR$3:$AR$5, $AN$3)*INDEX(TRit[], $AN$3, IF($AP4-$AR$3:$AR$5 &lt;= 0,  ($AP4-$AR$3:$AR$5 + COUNT(variable_t)), $AP4-$AR$3:$AR$5))),
SUMPRODUCT(INDEX(Manchester_PerC, $AR$3:$AR$5, $AN$3)*INDEX(TRit[], $AN$4, IF($AP4-$AR$3:$AR$5 &lt;= 0,  ($AP4-$AR$3:$AR$5 + COUNT(variable_t)), $AP4-$AR$3:$AR$5))),
SUMPRODUCT(INDEX(Birmingham_PerC, $AR$3:$AR$5, $AN$3)*INDEX(TRit[], $AN$5, IF($AP4-$AR$3:$AR$5 &lt;= 0,  ($AP4-$AR$3:$AR$5 + COUNT(variable_t)), $AP4-$AR$3:$AR$5))),
SUMPRODUCT(INDEX(Plymouth_PerC, $AR$3:$AR$5, $AN$3)*INDEX(TRit[], $AN$6, IF($AP4-$AR$3:$AR$5 &lt;= 0,  ($AP4-$AR$3:$AR$5 + COUNT(variable_t)), $AP4-$AR$3:$AR$5))))/100*
Undamaged_CarsPerC/100,
SUM(
INDEX(TU1jt[],  $AN$3, IF($AP4-1 = 0,  ($AP4-1 + COUNT(variable_t)), $AP4-1)),
INDEX(TU2jt[],  $AN$3, IF($AP4-1 = 0,  ($AP4-1 + COUNT(variable_t)), $AP4-1)),
INDEX(TU3jt[],  $AN$3, IF($AP4-1 = 0,  ($AP4-1 + COUNT(variable_t)), $AP4-1)),
INDEX(TU4jt[],  $AN$3, IF($AP4-1 = 0,  ($AP4-1 + COUNT(variable_t)), $AP4-1))),
INDEX(RPit[], $AN$3, IF($AP4-1 = 0,  ($AP4-1 + COUNT(variable_t)), $AP4-1)),
INDEX(EUit[], $AN$3, IF($AP4-1 = 0,  ($AP4-1 + COUNT(varable_t)), $AP4-1)),
)</f>
        <v>73.786255371900012</v>
      </c>
      <c r="X7" s="76" t="s">
        <v>34</v>
      </c>
      <c r="Y7" s="77" cm="1">
        <f t="array" ref="Y7">INDEX(NUit[], $AN$3, $AP4)</f>
        <v>73.786254999999997</v>
      </c>
      <c r="Z7" s="76"/>
      <c r="AA7" s="75" cm="1">
        <f t="array" ref="AA7">SUM(SUM(
SUMPRODUCT(INDEX(Glasgow_PerC, $AR$3:$AR$5, $AN$4)*INDEX(TRit[], $AN$3, IF($AP4-$AR$3:$AR$5 &lt;= 0,  ($AP4-$AR$3:$AR$5 + COUNT(variable_t)), $AP4-$AR$3:$AR$5))),
SUMPRODUCT(INDEX(Manchester_PerC, $AR$3:$AR$5, $AN$4)*INDEX(TRit[], $AN$4, IF($AP4-$AR$3:$AR$5 &lt;= 0,  ($AP4-$AR$3:$AR$5 + COUNT(variable_t)), $AP4-$AR$3:$AR$5))),
SUMPRODUCT(INDEX(Birmingham_PerC, $AR$3:$AR$5, $AN$4)*INDEX(TRit[], $AN$5, IF($AP4-$AR$3:$AR$5 &lt;= 0,  ($AP4-$AR$3:$AR$5 + COUNT(variable_t)), $AP4-$AR$3:$AR$5))),
SUMPRODUCT(INDEX(Plymouth_PerC, $AR$3:$AR$5, $AN$4)*INDEX(TRit[], $AN$6, IF($AP4-$AR$3:$AR$5 &lt;= 0,  ($AP4-$AR$3:$AR$5 + COUNT(variable_t)), $AP4-$AR$3:$AR$5))))/100*
Undamaged_CarsPerC/100,
SUM(
INDEX(TU1jt[],  $AN$4, IF($AP4-1 = 0,  ($AP4-1 + COUNT(variable_t)), $AP4-1)),
INDEX(TU2jt[],  $AN$4, IF($AP4-1 = 0,  ($AP4-1 + COUNT(variable_t)), $AP4-1)),
INDEX(TU3jt[],  $AN$4, IF($AP4-1 = 0,  ($AP4-1 + COUNT(variable_t)), $AP4-1)),
INDEX(TU4jt[],  $AN$4, IF($AP4-1 = 0,  ($AP4-1 + COUNT(variable_t)), $AP4-1))),
INDEX(RPit[], $AN$4, IF($AP4-1 = 0,  ($AP4-1 + COUNT(variable_t)), $AP4-1)),
INDEX(EUit[], $AN$4, IF($AP4-1 = 0,  ($AP4-1 + COUNT(variable_t)), $AP4-1)),
)</f>
        <v>106.59579597209999</v>
      </c>
      <c r="AB7" s="76" t="s">
        <v>34</v>
      </c>
      <c r="AC7" s="77" cm="1">
        <f t="array" ref="AC7">INDEX(NUit[], $AN$4, $AP4)</f>
        <v>106.5958</v>
      </c>
      <c r="AD7" s="76"/>
      <c r="AE7" s="75" cm="1">
        <f t="array" ref="AE7">SUM(SUM(
SUMPRODUCT(INDEX(Glasgow_PerC, $AR$3:$AR$5, $AN$5)*INDEX(TRit[], $AN$3, IF($AP4-$AR$3:$AR$5 &lt;= 0,  ($AP4-$AR$3:$AR$5 + COUNT(variable_t)), $AP4-$AR$3:$AR$5))),
SUMPRODUCT(INDEX(Manchester_PerC, $AR$3:$AR$5, $AN$5)*INDEX(TRit[], $AN$4, IF($AP4-$AR$3:$AR$5 &lt;= 0,  ($AP4-$AR$3:$AR$5 + COUNT(variable_t)), $AP4-$AR$3:$AR$5))),
SUMPRODUCT(INDEX(Birmingham_PerC, $AR$3:$AR$5, $AN$5)*INDEX(TRit[], $AN$5, IF($AP4-$AR$3:$AR$5 &lt;= 0,  ($AP4-$AR$3:$AR$5 + COUNT(variable_t)), $AP4-$AR$3:$AR$5))),
SUMPRODUCT(INDEX(Plymouth_PerC, $AR$3:$AR$5, $AN$5)*INDEX(TRit[], $AN$6, IF($AP4-$AR$3:$AR$5 &lt;= 0,  ($AP4-$AR$3:$AR$5 + COUNT(variable_t)), $AP4-$AR$3:$AR$5))))/100*
Undamaged_CarsPerC/100,
SUM(
INDEX(TU1jt[],  $AN$5, IF($AP4-1 = 0,  ($AP4-1 + COUNT(variable_t)), $AP4-1)),
INDEX(TU2jt[],  $AN$5, IF($AP4-1 = 0,  ($AP4-1 + COUNT(variable_t)), $AP4-1)),
INDEX(TU3jt[],  $AN$5, IF($AP4-1 = 0,  ($AP4-1 + COUNT(variable_t)), $AP4-1)),
INDEX(TU4jt[],  $AN$5, IF($AP4-1 = 0,  ($AP4-1 + COUNT(variable_t)), $AP4-1))),
INDEX(RPit[], $AN$5, IF($AP4-1 = 0,  ($AP4-1 + COUNT(variable_t)), $AP4-1)),
INDEX(EUit[], $AN$5, IF($AP4-1 = 0,  ($AP4-1 + COUNT(variable_t)), $AP4-1)),
)</f>
        <v>156.33130051685001</v>
      </c>
      <c r="AF7" s="76" t="s">
        <v>34</v>
      </c>
      <c r="AG7" s="77" cm="1">
        <f t="array" ref="AG7">INDEX(NUit[], $AN$5, $AP4)</f>
        <v>156.3313</v>
      </c>
      <c r="AH7" s="76"/>
      <c r="AI7" s="75" cm="1">
        <f t="array" ref="AI7">SUM(SUM(
SUMPRODUCT(INDEX(Glasgow_PerC, $AR$3:$AR$5, $AN$6)*INDEX(TRit[], $AN$3, IF($AP4-$AR$3:$AR$5 &lt;= 0,  ($AP4-$AR$3:$AR$5 + COUNT(variable_t)), $AP4-$AR$3:$AR$5))),
SUMPRODUCT(INDEX(Manchester_PerC, $AR$3:$AR$5, $AN$6)*INDEX(TRit[], $AN$4, IF($AP4-$AR$3:$AR$5 &lt;= 0,  ($AP4-$AR$3:$AR$5 + COUNT(variable_t)), $AP4-$AR$3:$AR$5))),
SUMPRODUCT(INDEX(Birmingham_PerC, $AR$3:$AR$5, $AN$6)*INDEX(TRit[], $AN$5, IF($AP4-$AR$3:$AR$5 &lt;= 0,  ($AP4-$AR$3:$AR$5 + COUNT(variable_t)), $AP4-$AR$3:$AR$5))),
SUMPRODUCT(INDEX(Plymouth_PerC, $AR$3:$AR$5, $AN$6)*INDEX(TRit[], $AN$6, IF($AP4-$AR$3:$AR$5 &lt;= 0,  ($AP4-$AR$3:$AR$5 + COUNT(variable_t)), $AP4-$AR$3:$AR$5))))/100*
Undamaged_CarsPerC/100,
SUM(
INDEX(TU1jt[],  $AN$6, IF($AP4-1 = 0,  ($AP4-1 + COUNT(variable_t)), $AP4-1)),
INDEX(TU2jt[],  $AN$6, IF($AP4-1 = 0,  ($AP4-1 + COUNT(variable_t)), $AP4-1)),
INDEX(TU3jt[],  $AN$6, IF($AP4-1 = 0,  ($AP4-1 + COUNT(variable_t)), $AP4-1)),
INDEX(TU4jt[],  $AN$6, IF($AP4-1 = 0,  ($AP4-1 + COUNT(variable_t)), $AP4-1))),
INDEX(RPit[], $AN$6, IF($AP4-1 = 0,  ($AP4-1 + COUNT(variable_t)), $AP4-1)),
INDEX(EUit[], $AN$6, IF($AP4-1 = 0,  ($AP4-1 + COUNT(variable_t)), $AP4-1)),
)</f>
        <v>45.138002754149994</v>
      </c>
      <c r="AJ7" s="76" t="s">
        <v>34</v>
      </c>
      <c r="AK7" s="77" cm="1">
        <f t="array" ref="AK7">INDEX(NUit[], $AN$6, $AP4)</f>
        <v>45.138002999999998</v>
      </c>
      <c r="AL7" s="31"/>
      <c r="AN7" s="79"/>
      <c r="AO7" s="79"/>
      <c r="AP7" s="78">
        <v>5</v>
      </c>
      <c r="AQ7" s="78" t="s">
        <v>4</v>
      </c>
      <c r="AR7" s="79"/>
      <c r="BJ7" s="146"/>
      <c r="BK7" s="147"/>
      <c r="BL7" s="147"/>
      <c r="BM7" s="147"/>
      <c r="BN7" s="148"/>
    </row>
    <row r="8" spans="2:66" ht="15.95" customHeight="1" thickBot="1" x14ac:dyDescent="0.3">
      <c r="B8" s="33"/>
      <c r="C8" s="26"/>
      <c r="D8" s="26"/>
      <c r="E8" s="34"/>
      <c r="V8" s="32" t="s">
        <v>2</v>
      </c>
      <c r="W8" s="75" cm="1">
        <f t="array" ref="W8">SUM(SUM(
SUMPRODUCT(INDEX(Glasgow_PerC, $AR$3:$AR$5, $AN$3)*INDEX(TRit[], $AN$3, IF($AP5-$AR$3:$AR$5 &lt;= 0,  ($AP5-$AR$3:$AR$5 + COUNT(variable_t)), $AP5-$AR$3:$AR$5))),
SUMPRODUCT(INDEX(Manchester_PerC, $AR$3:$AR$5, $AN$3)*INDEX(TRit[], $AN$4, IF($AP5-$AR$3:$AR$5 &lt;= 0,  ($AP5-$AR$3:$AR$5 + COUNT(variable_t)), $AP5-$AR$3:$AR$5))),
SUMPRODUCT(INDEX(Birmingham_PerC, $AR$3:$AR$5, $AN$3)*INDEX(TRit[], $AN$5, IF($AP5-$AR$3:$AR$5 &lt;= 0,  ($AP5-$AR$3:$AR$5 + COUNT(variable_t)), $AP5-$AR$3:$AR$5))),
SUMPRODUCT(INDEX(Plymouth_PerC, $AR$3:$AR$5, $AN$3)*INDEX(TRit[], $AN$6, IF($AP5-$AR$3:$AR$5 &lt;= 0,  ($AP5-$AR$3:$AR$5 + COUNT(variable_t)), $AP5-$AR$3:$AR$5))))/100*
Undamaged_CarsPerC/100,
SUM(
INDEX(TU1jt[],  $AN$3, IF($AP5-1 = 0,  ($AP5-1 + COUNT(variable_t)), $AP5-1)),
INDEX(TU2jt[],  $AN$3, IF($AP5-1 = 0,  ($AP5-1 + COUNT(variable_t)), $AP5-1)),
INDEX(TU3jt[],  $AN$3, IF($AP5-1 = 0,  ($AP5-1 + COUNT(variable_t)), $AP5-1)),
INDEX(TU4jt[],  $AN$3, IF($AP5-1 = 0,  ($AP5-1 + COUNT(variable_t)), $AP5-1))),
INDEX(RPit[], $AN$3, IF($AP5-1 = 0,  ($AP5-1 + COUNT(variable_t)), $AP5-1)),
INDEX(EUit[], $AN$3, IF($AP5-1 = 0,  ($AP5-1 + COUNT(varable_t)), $AP5-1)),
)</f>
        <v>68.380336751399994</v>
      </c>
      <c r="X8" s="76" t="s">
        <v>34</v>
      </c>
      <c r="Y8" s="77" cm="1">
        <f t="array" ref="Y8">INDEX(NUit[], $AN$3, $AP5)</f>
        <v>68.380336999999997</v>
      </c>
      <c r="Z8" s="76"/>
      <c r="AA8" s="75" cm="1">
        <f t="array" ref="AA8">SUM(SUM(
SUMPRODUCT(INDEX(Glasgow_PerC, $AR$3:$AR$5, $AN$4)*INDEX(TRit[], $AN$3, IF($AP5-$AR$3:$AR$5 &lt;= 0,  ($AP5-$AR$3:$AR$5 + COUNT(variable_t)), $AP5-$AR$3:$AR$5))),
SUMPRODUCT(INDEX(Manchester_PerC, $AR$3:$AR$5, $AN$4)*INDEX(TRit[], $AN$4, IF($AP5-$AR$3:$AR$5 &lt;= 0,  ($AP5-$AR$3:$AR$5 + COUNT(variable_t)), $AP5-$AR$3:$AR$5))),
SUMPRODUCT(INDEX(Birmingham_PerC, $AR$3:$AR$5, $AN$4)*INDEX(TRit[], $AN$5, IF($AP5-$AR$3:$AR$5 &lt;= 0,  ($AP5-$AR$3:$AR$5 + COUNT(variable_t)), $AP5-$AR$3:$AR$5))),
SUMPRODUCT(INDEX(Plymouth_PerC, $AR$3:$AR$5, $AN$4)*INDEX(TRit[], $AN$6, IF($AP5-$AR$3:$AR$5 &lt;= 0,  ($AP5-$AR$3:$AR$5 + COUNT(variable_t)), $AP5-$AR$3:$AR$5))))/100*
Undamaged_CarsPerC/100,
SUM(
INDEX(TU1jt[],  $AN$4, IF($AP5-1 = 0,  ($AP5-1 + COUNT(variable_t)), $AP5-1)),
INDEX(TU2jt[],  $AN$4, IF($AP5-1 = 0,  ($AP5-1 + COUNT(variable_t)), $AP5-1)),
INDEX(TU3jt[],  $AN$4, IF($AP5-1 = 0,  ($AP5-1 + COUNT(variable_t)), $AP5-1)),
INDEX(TU4jt[],  $AN$4, IF($AP5-1 = 0,  ($AP5-1 + COUNT(variable_t)), $AP5-1))),
INDEX(RPit[], $AN$4, IF($AP5-1 = 0,  ($AP5-1 + COUNT(variable_t)), $AP5-1)),
INDEX(EUit[], $AN$4, IF($AP5-1 = 0,  ($AP5-1 + COUNT(variable_t)), $AP5-1)),
)</f>
        <v>97.685853234599975</v>
      </c>
      <c r="AB8" s="76" t="s">
        <v>34</v>
      </c>
      <c r="AC8" s="77" cm="1">
        <f t="array" ref="AC8">INDEX(NUit[], $AN$4, $AP5)</f>
        <v>97.685851999999997</v>
      </c>
      <c r="AD8" s="76"/>
      <c r="AE8" s="75" cm="1">
        <f t="array" ref="AE8">SUM(SUM(
SUMPRODUCT(INDEX(Glasgow_PerC, $AR$3:$AR$5, $AN$5)*INDEX(TRit[], $AN$3, IF($AP5-$AR$3:$AR$5 &lt;= 0,  ($AP5-$AR$3:$AR$5 + COUNT(variable_t)), $AP5-$AR$3:$AR$5))),
SUMPRODUCT(INDEX(Manchester_PerC, $AR$3:$AR$5, $AN$5)*INDEX(TRit[], $AN$4, IF($AP5-$AR$3:$AR$5 &lt;= 0,  ($AP5-$AR$3:$AR$5 + COUNT(variable_t)), $AP5-$AR$3:$AR$5))),
SUMPRODUCT(INDEX(Birmingham_PerC, $AR$3:$AR$5, $AN$5)*INDEX(TRit[], $AN$5, IF($AP5-$AR$3:$AR$5 &lt;= 0,  ($AP5-$AR$3:$AR$5 + COUNT(variable_t)), $AP5-$AR$3:$AR$5))),
SUMPRODUCT(INDEX(Plymouth_PerC, $AR$3:$AR$5, $AN$5)*INDEX(TRit[], $AN$6, IF($AP5-$AR$3:$AR$5 &lt;= 0,  ($AP5-$AR$3:$AR$5 + COUNT(variable_t)), $AP5-$AR$3:$AR$5))))/100*
Undamaged_CarsPerC/100,
SUM(
INDEX(TU1jt[],  $AN$5, IF($AP5-1 = 0,  ($AP5-1 + COUNT(variable_t)), $AP5-1)),
INDEX(TU2jt[],  $AN$5, IF($AP5-1 = 0,  ($AP5-1 + COUNT(variable_t)), $AP5-1)),
INDEX(TU3jt[],  $AN$5, IF($AP5-1 = 0,  ($AP5-1 + COUNT(variable_t)), $AP5-1)),
INDEX(TU4jt[],  $AN$5, IF($AP5-1 = 0,  ($AP5-1 + COUNT(variable_t)), $AP5-1))),
INDEX(RPit[], $AN$5, IF($AP5-1 = 0,  ($AP5-1 + COUNT(variable_t)), $AP5-1)),
INDEX(EUit[], $AN$5, IF($AP5-1 = 0,  ($AP5-1 + COUNT(variable_t)), $AP5-1)),
)</f>
        <v>121.92548065535</v>
      </c>
      <c r="AF8" s="76" t="s">
        <v>34</v>
      </c>
      <c r="AG8" s="77" cm="1">
        <f t="array" ref="AG8">INDEX(NUit[], $AN$5, $AP5)</f>
        <v>121.92547999999999</v>
      </c>
      <c r="AH8" s="76"/>
      <c r="AI8" s="75" cm="1">
        <f t="array" ref="AI8">SUM(SUM(
SUMPRODUCT(INDEX(Glasgow_PerC, $AR$3:$AR$5, $AN$6)*INDEX(TRit[], $AN$3, IF($AP5-$AR$3:$AR$5 &lt;= 0,  ($AP5-$AR$3:$AR$5 + COUNT(variable_t)), $AP5-$AR$3:$AR$5))),
SUMPRODUCT(INDEX(Manchester_PerC, $AR$3:$AR$5, $AN$6)*INDEX(TRit[], $AN$4, IF($AP5-$AR$3:$AR$5 &lt;= 0,  ($AP5-$AR$3:$AR$5 + COUNT(variable_t)), $AP5-$AR$3:$AR$5))),
SUMPRODUCT(INDEX(Birmingham_PerC, $AR$3:$AR$5, $AN$6)*INDEX(TRit[], $AN$5, IF($AP5-$AR$3:$AR$5 &lt;= 0,  ($AP5-$AR$3:$AR$5 + COUNT(variable_t)), $AP5-$AR$3:$AR$5))),
SUMPRODUCT(INDEX(Plymouth_PerC, $AR$3:$AR$5, $AN$6)*INDEX(TRit[], $AN$6, IF($AP5-$AR$3:$AR$5 &lt;= 0,  ($AP5-$AR$3:$AR$5 + COUNT(variable_t)), $AP5-$AR$3:$AR$5))))/100*
Undamaged_CarsPerC/100,
SUM(
INDEX(TU1jt[],  $AN$6, IF($AP5-1 = 0,  ($AP5-1 + COUNT(variable_t)), $AP5-1)),
INDEX(TU2jt[],  $AN$6, IF($AP5-1 = 0,  ($AP5-1 + COUNT(variable_t)), $AP5-1)),
INDEX(TU3jt[],  $AN$6, IF($AP5-1 = 0,  ($AP5-1 + COUNT(variable_t)), $AP5-1)),
INDEX(TU4jt[],  $AN$6, IF($AP5-1 = 0,  ($AP5-1 + COUNT(variable_t)), $AP5-1))),
INDEX(RPit[], $AN$6, IF($AP5-1 = 0,  ($AP5-1 + COUNT(variable_t)), $AP5-1)),
INDEX(EUit[], $AN$6, IF($AP5-1 = 0,  ($AP5-1 + COUNT(variable_t)), $AP5-1)),
)</f>
        <v>41.819702263649994</v>
      </c>
      <c r="AJ8" s="76" t="s">
        <v>34</v>
      </c>
      <c r="AK8" s="77" cm="1">
        <f t="array" ref="AK8">INDEX(NUit[], $AN$6, $AP5)</f>
        <v>41.819701999999999</v>
      </c>
      <c r="AL8" s="31"/>
      <c r="AN8" s="79"/>
      <c r="AO8" s="79"/>
      <c r="AP8" s="78">
        <v>6</v>
      </c>
      <c r="AQ8" s="78" t="s">
        <v>5</v>
      </c>
      <c r="AR8" s="79"/>
      <c r="BJ8" s="63" t="s">
        <v>11</v>
      </c>
      <c r="BK8" s="80" t="s">
        <v>6</v>
      </c>
      <c r="BL8" s="81" t="s">
        <v>9</v>
      </c>
      <c r="BM8" s="81" t="s">
        <v>7</v>
      </c>
      <c r="BN8" s="82" t="s">
        <v>8</v>
      </c>
    </row>
    <row r="9" spans="2:66" ht="15.95" customHeight="1" thickTop="1" thickBot="1" x14ac:dyDescent="0.3">
      <c r="V9" s="32" t="s">
        <v>3</v>
      </c>
      <c r="W9" s="75" cm="1">
        <f t="array" ref="W9">SUM(SUM(
SUMPRODUCT(INDEX(Glasgow_PerC, $AR$3:$AR$5, $AN$3)*INDEX(TRit[], $AN$3, IF($AP6-$AR$3:$AR$5 &lt;= 0,  ($AP6-$AR$3:$AR$5 + COUNT(variable_t)), $AP6-$AR$3:$AR$5))),
SUMPRODUCT(INDEX(Manchester_PerC, $AR$3:$AR$5, $AN$3)*INDEX(TRit[], $AN$4, IF($AP6-$AR$3:$AR$5 &lt;= 0,  ($AP6-$AR$3:$AR$5 + COUNT(variable_t)), $AP6-$AR$3:$AR$5))),
SUMPRODUCT(INDEX(Birmingham_PerC, $AR$3:$AR$5, $AN$3)*INDEX(TRit[], $AN$5, IF($AP6-$AR$3:$AR$5 &lt;= 0,  ($AP6-$AR$3:$AR$5 + COUNT(variable_t)), $AP6-$AR$3:$AR$5))),
SUMPRODUCT(INDEX(Plymouth_PerC, $AR$3:$AR$5, $AN$3)*INDEX(TRit[], $AN$6, IF($AP6-$AR$3:$AR$5 &lt;= 0,  ($AP6-$AR$3:$AR$5 + COUNT(variable_t)), $AP6-$AR$3:$AR$5))))/100*
Undamaged_CarsPerC/100,
SUM(
INDEX(TU1jt[],  $AN$3, IF($AP6-1 = 0,  ($AP6-1 + COUNT(variable_t)), $AP6-1)),
INDEX(TU2jt[],  $AN$3, IF($AP6-1 = 0,  ($AP6-1 + COUNT(variable_t)), $AP6-1)),
INDEX(TU3jt[],  $AN$3, IF($AP6-1 = 0,  ($AP6-1 + COUNT(variable_t)), $AP6-1)),
INDEX(TU4jt[],  $AN$3, IF($AP6-1 = 0,  ($AP6-1 + COUNT(variable_t)), $AP6-1))),
INDEX(RPit[], $AN$3, IF($AP6-1 = 0,  ($AP6-1 + COUNT(variable_t)), $AP6-1)),
INDEX(EUit[], $AN$3, IF($AP6-1 = 0,  ($AP6-1 + COUNT(varable_t)), $AP6-1)),
)</f>
        <v>76.213924133399999</v>
      </c>
      <c r="X9" s="76" t="s">
        <v>34</v>
      </c>
      <c r="Y9" s="77" cm="1">
        <f t="array" ref="Y9">INDEX(NUit[], $AN$3, $AP6)</f>
        <v>76.213924000000006</v>
      </c>
      <c r="Z9" s="76"/>
      <c r="AA9" s="75" cm="1">
        <f t="array" ref="AA9">SUM(SUM(
SUMPRODUCT(INDEX(Glasgow_PerC, $AR$3:$AR$5, $AN$4)*INDEX(TRit[], $AN$3, IF($AP6-$AR$3:$AR$5 &lt;= 0,  ($AP6-$AR$3:$AR$5 + COUNT(variable_t)), $AP6-$AR$3:$AR$5))),
SUMPRODUCT(INDEX(Manchester_PerC, $AR$3:$AR$5, $AN$4)*INDEX(TRit[], $AN$4, IF($AP6-$AR$3:$AR$5 &lt;= 0,  ($AP6-$AR$3:$AR$5 + COUNT(variable_t)), $AP6-$AR$3:$AR$5))),
SUMPRODUCT(INDEX(Birmingham_PerC, $AR$3:$AR$5, $AN$4)*INDEX(TRit[], $AN$5, IF($AP6-$AR$3:$AR$5 &lt;= 0,  ($AP6-$AR$3:$AR$5 + COUNT(variable_t)), $AP6-$AR$3:$AR$5))),
SUMPRODUCT(INDEX(Plymouth_PerC, $AR$3:$AR$5, $AN$4)*INDEX(TRit[], $AN$6, IF($AP6-$AR$3:$AR$5 &lt;= 0,  ($AP6-$AR$3:$AR$5 + COUNT(variable_t)), $AP6-$AR$3:$AR$5))))/100*
Undamaged_CarsPerC/100,
SUM(
INDEX(TU1jt[],  $AN$4, IF($AP6-1 = 0,  ($AP6-1 + COUNT(variable_t)), $AP6-1)),
INDEX(TU2jt[],  $AN$4, IF($AP6-1 = 0,  ($AP6-1 + COUNT(variable_t)), $AP6-1)),
INDEX(TU3jt[],  $AN$4, IF($AP6-1 = 0,  ($AP6-1 + COUNT(variable_t)), $AP6-1)),
INDEX(TU4jt[],  $AN$4, IF($AP6-1 = 0,  ($AP6-1 + COUNT(variable_t)), $AP6-1))),
INDEX(RPit[], $AN$4, IF($AP6-1 = 0,  ($AP6-1 + COUNT(variable_t)), $AP6-1)),
INDEX(EUit[], $AN$4, IF($AP6-1 = 0,  ($AP6-1 + COUNT(variable_t)), $AP6-1)),
)</f>
        <v>123.73838153459998</v>
      </c>
      <c r="AB9" s="76" t="s">
        <v>34</v>
      </c>
      <c r="AC9" s="77" cm="1">
        <f t="array" ref="AC9">INDEX(NUit[], $AN$4, $AP6)</f>
        <v>123.73838000000001</v>
      </c>
      <c r="AD9" s="76"/>
      <c r="AE9" s="75" cm="1">
        <f t="array" ref="AE9">SUM(SUM(
SUMPRODUCT(INDEX(Glasgow_PerC, $AR$3:$AR$5, $AN$5)*INDEX(TRit[], $AN$3, IF($AP6-$AR$3:$AR$5 &lt;= 0,  ($AP6-$AR$3:$AR$5 + COUNT(variable_t)), $AP6-$AR$3:$AR$5))),
SUMPRODUCT(INDEX(Manchester_PerC, $AR$3:$AR$5, $AN$5)*INDEX(TRit[], $AN$4, IF($AP6-$AR$3:$AR$5 &lt;= 0,  ($AP6-$AR$3:$AR$5 + COUNT(variable_t)), $AP6-$AR$3:$AR$5))),
SUMPRODUCT(INDEX(Birmingham_PerC, $AR$3:$AR$5, $AN$5)*INDEX(TRit[], $AN$5, IF($AP6-$AR$3:$AR$5 &lt;= 0,  ($AP6-$AR$3:$AR$5 + COUNT(variable_t)), $AP6-$AR$3:$AR$5))),
SUMPRODUCT(INDEX(Plymouth_PerC, $AR$3:$AR$5, $AN$5)*INDEX(TRit[], $AN$6, IF($AP6-$AR$3:$AR$5 &lt;= 0,  ($AP6-$AR$3:$AR$5 + COUNT(variable_t)), $AP6-$AR$3:$AR$5))))/100*
Undamaged_CarsPerC/100,
SUM(
INDEX(TU1jt[],  $AN$5, IF($AP6-1 = 0,  ($AP6-1 + COUNT(variable_t)), $AP6-1)),
INDEX(TU2jt[],  $AN$5, IF($AP6-1 = 0,  ($AP6-1 + COUNT(variable_t)), $AP6-1)),
INDEX(TU3jt[],  $AN$5, IF($AP6-1 = 0,  ($AP6-1 + COUNT(variable_t)), $AP6-1)),
INDEX(TU4jt[],  $AN$5, IF($AP6-1 = 0,  ($AP6-1 + COUNT(variable_t)), $AP6-1))),
INDEX(RPit[], $AN$5, IF($AP6-1 = 0,  ($AP6-1 + COUNT(variable_t)), $AP6-1)),
INDEX(EUit[], $AN$5, IF($AP6-1 = 0,  ($AP6-1 + COUNT(variable_t)), $AP6-1)),
)</f>
        <v>122.27754734659999</v>
      </c>
      <c r="AF9" s="76" t="s">
        <v>34</v>
      </c>
      <c r="AG9" s="77" cm="1">
        <f t="array" ref="AG9">INDEX(NUit[], $AN$5, $AP6)</f>
        <v>122.27755000000001</v>
      </c>
      <c r="AH9" s="76"/>
      <c r="AI9" s="75" cm="1">
        <f t="array" ref="AI9">SUM(SUM(
SUMPRODUCT(INDEX(Glasgow_PerC, $AR$3:$AR$5, $AN$6)*INDEX(TRit[], $AN$3, IF($AP6-$AR$3:$AR$5 &lt;= 0,  ($AP6-$AR$3:$AR$5 + COUNT(variable_t)), $AP6-$AR$3:$AR$5))),
SUMPRODUCT(INDEX(Manchester_PerC, $AR$3:$AR$5, $AN$6)*INDEX(TRit[], $AN$4, IF($AP6-$AR$3:$AR$5 &lt;= 0,  ($AP6-$AR$3:$AR$5 + COUNT(variable_t)), $AP6-$AR$3:$AR$5))),
SUMPRODUCT(INDEX(Birmingham_PerC, $AR$3:$AR$5, $AN$6)*INDEX(TRit[], $AN$5, IF($AP6-$AR$3:$AR$5 &lt;= 0,  ($AP6-$AR$3:$AR$5 + COUNT(variable_t)), $AP6-$AR$3:$AR$5))),
SUMPRODUCT(INDEX(Plymouth_PerC, $AR$3:$AR$5, $AN$6)*INDEX(TRit[], $AN$6, IF($AP6-$AR$3:$AR$5 &lt;= 0,  ($AP6-$AR$3:$AR$5 + COUNT(variable_t)), $AP6-$AR$3:$AR$5))))/100*
Undamaged_CarsPerC/100,
SUM(
INDEX(TU1jt[],  $AN$6, IF($AP6-1 = 0,  ($AP6-1 + COUNT(variable_t)), $AP6-1)),
INDEX(TU2jt[],  $AN$6, IF($AP6-1 = 0,  ($AP6-1 + COUNT(variable_t)), $AP6-1)),
INDEX(TU3jt[],  $AN$6, IF($AP6-1 = 0,  ($AP6-1 + COUNT(variable_t)), $AP6-1)),
INDEX(TU4jt[],  $AN$6, IF($AP6-1 = 0,  ($AP6-1 + COUNT(variable_t)), $AP6-1))),
INDEX(RPit[], $AN$6, IF($AP6-1 = 0,  ($AP6-1 + COUNT(variable_t)), $AP6-1)),
INDEX(EUit[], $AN$6, IF($AP6-1 = 0,  ($AP6-1 + COUNT(variable_t)), $AP6-1)),
)</f>
        <v>47.350449230399988</v>
      </c>
      <c r="AJ9" s="76" t="s">
        <v>34</v>
      </c>
      <c r="AK9" s="77" cm="1">
        <f t="array" ref="AK9">INDEX(NUit[], $AN$6, $AP6)</f>
        <v>47.350448999999998</v>
      </c>
      <c r="AL9" s="31"/>
      <c r="BJ9" s="14" t="s">
        <v>0</v>
      </c>
      <c r="BK9" s="47">
        <v>100</v>
      </c>
      <c r="BL9" s="3">
        <v>250</v>
      </c>
      <c r="BM9" s="3">
        <v>95</v>
      </c>
      <c r="BN9" s="49">
        <v>160</v>
      </c>
    </row>
    <row r="10" spans="2:66" ht="15.95" customHeight="1" thickTop="1" thickBot="1" x14ac:dyDescent="0.3">
      <c r="B10" s="27"/>
      <c r="C10" s="28"/>
      <c r="D10" s="28"/>
      <c r="E10" s="28"/>
      <c r="F10" s="28"/>
      <c r="G10" s="28"/>
      <c r="H10" s="28"/>
      <c r="I10" s="28"/>
      <c r="J10" s="29"/>
      <c r="U10" s="5" t="s">
        <v>77</v>
      </c>
      <c r="V10" s="32" t="s">
        <v>4</v>
      </c>
      <c r="W10" s="75" cm="1">
        <f t="array" ref="W10">SUM(SUM(
SUMPRODUCT(INDEX(Glasgow_PerC, $AR$3:$AR$5, $AN$3)*INDEX(TRit[], $AN$3, IF($AP7-$AR$3:$AR$5 &lt;= 0,  ($AP7-$AR$3:$AR$5 + COUNT(variable_t)), $AP7-$AR$3:$AR$5))),
SUMPRODUCT(INDEX(Manchester_PerC, $AR$3:$AR$5, $AN$3)*INDEX(TRit[], $AN$4, IF($AP7-$AR$3:$AR$5 &lt;= 0,  ($AP7-$AR$3:$AR$5 + COUNT(variable_t)), $AP7-$AR$3:$AR$5))),
SUMPRODUCT(INDEX(Birmingham_PerC, $AR$3:$AR$5, $AN$3)*INDEX(TRit[], $AN$5, IF($AP7-$AR$3:$AR$5 &lt;= 0,  ($AP7-$AR$3:$AR$5 + COUNT(variable_t)), $AP7-$AR$3:$AR$5))),
SUMPRODUCT(INDEX(Plymouth_PerC, $AR$3:$AR$5, $AN$3)*INDEX(TRit[], $AN$6, IF($AP7-$AR$3:$AR$5 &lt;= 0,  ($AP7-$AR$3:$AR$5 + COUNT(variable_t)), $AP7-$AR$3:$AR$5))))/100*
Undamaged_CarsPerC/100,
SUM(
INDEX(TU1jt[],  $AN$3, IF($AP7-1 = 0,  ($AP7-1 + COUNT(variable_t)), $AP7-1)),
INDEX(TU2jt[],  $AN$3, IF($AP7-1 = 0,  ($AP7-1 + COUNT(variable_t)), $AP7-1)),
INDEX(TU3jt[],  $AN$3, IF($AP7-1 = 0,  ($AP7-1 + COUNT(variable_t)), $AP7-1)),
INDEX(TU4jt[],  $AN$3, IF($AP7-1 = 0,  ($AP7-1 + COUNT(variable_t)), $AP7-1))),
INDEX(RPit[], $AN$3, IF($AP7-1 = 0,  ($AP7-1 + COUNT(variable_t)), $AP7-1)),
INDEX(EUit[], $AN$3, IF($AP7-1 = 0,  ($AP7-1 + COUNT(varable_t)), $AP7-1)),
)</f>
        <v>75.026624092200009</v>
      </c>
      <c r="X10" s="76" t="s">
        <v>34</v>
      </c>
      <c r="Y10" s="77" cm="1">
        <f t="array" ref="Y10">INDEX(NUit[], $AN$3, $AP7)</f>
        <v>75.026623999999998</v>
      </c>
      <c r="Z10" s="76"/>
      <c r="AA10" s="75" cm="1">
        <f t="array" ref="AA10">SUM(SUM(
SUMPRODUCT(INDEX(Glasgow_PerC, $AR$3:$AR$5, $AN$4)*INDEX(TRit[], $AN$3, IF($AP7-$AR$3:$AR$5 &lt;= 0,  ($AP7-$AR$3:$AR$5 + COUNT(variable_t)), $AP7-$AR$3:$AR$5))),
SUMPRODUCT(INDEX(Manchester_PerC, $AR$3:$AR$5, $AN$4)*INDEX(TRit[], $AN$4, IF($AP7-$AR$3:$AR$5 &lt;= 0,  ($AP7-$AR$3:$AR$5 + COUNT(variable_t)), $AP7-$AR$3:$AR$5))),
SUMPRODUCT(INDEX(Birmingham_PerC, $AR$3:$AR$5, $AN$4)*INDEX(TRit[], $AN$5, IF($AP7-$AR$3:$AR$5 &lt;= 0,  ($AP7-$AR$3:$AR$5 + COUNT(variable_t)), $AP7-$AR$3:$AR$5))),
SUMPRODUCT(INDEX(Plymouth_PerC, $AR$3:$AR$5, $AN$4)*INDEX(TRit[], $AN$6, IF($AP7-$AR$3:$AR$5 &lt;= 0,  ($AP7-$AR$3:$AR$5 + COUNT(variable_t)), $AP7-$AR$3:$AR$5))))/100*
Undamaged_CarsPerC/100,
SUM(
INDEX(TU1jt[],  $AN$4, IF($AP7-1 = 0,  ($AP7-1 + COUNT(variable_t)), $AP7-1)),
INDEX(TU2jt[],  $AN$4, IF($AP7-1 = 0,  ($AP7-1 + COUNT(variable_t)), $AP7-1)),
INDEX(TU3jt[],  $AN$4, IF($AP7-1 = 0,  ($AP7-1 + COUNT(variable_t)), $AP7-1)),
INDEX(TU4jt[],  $AN$4, IF($AP7-1 = 0,  ($AP7-1 + COUNT(variable_t)), $AP7-1))),
INDEX(RPit[], $AN$4, IF($AP7-1 = 0,  ($AP7-1 + COUNT(variable_t)), $AP7-1)),
INDEX(EUit[], $AN$4, IF($AP7-1 = 0,  ($AP7-1 + COUNT(variable_t)), $AP7-1)),
)</f>
        <v>107.4741303828</v>
      </c>
      <c r="AB10" s="76" t="s">
        <v>34</v>
      </c>
      <c r="AC10" s="77" cm="1">
        <f t="array" ref="AC10">INDEX(NUit[], $AN$4, $AP7)</f>
        <v>107.47413</v>
      </c>
      <c r="AD10" s="76"/>
      <c r="AE10" s="75" cm="1">
        <f t="array" ref="AE10">SUM(SUM(
SUMPRODUCT(INDEX(Glasgow_PerC, $AR$3:$AR$5, $AN$5)*INDEX(TRit[], $AN$3, IF($AP7-$AR$3:$AR$5 &lt;= 0,  ($AP7-$AR$3:$AR$5 + COUNT(variable_t)), $AP7-$AR$3:$AR$5))),
SUMPRODUCT(INDEX(Manchester_PerC, $AR$3:$AR$5, $AN$5)*INDEX(TRit[], $AN$4, IF($AP7-$AR$3:$AR$5 &lt;= 0,  ($AP7-$AR$3:$AR$5 + COUNT(variable_t)), $AP7-$AR$3:$AR$5))),
SUMPRODUCT(INDEX(Birmingham_PerC, $AR$3:$AR$5, $AN$5)*INDEX(TRit[], $AN$5, IF($AP7-$AR$3:$AR$5 &lt;= 0,  ($AP7-$AR$3:$AR$5 + COUNT(variable_t)), $AP7-$AR$3:$AR$5))),
SUMPRODUCT(INDEX(Plymouth_PerC, $AR$3:$AR$5, $AN$5)*INDEX(TRit[], $AN$6, IF($AP7-$AR$3:$AR$5 &lt;= 0,  ($AP7-$AR$3:$AR$5 + COUNT(variable_t)), $AP7-$AR$3:$AR$5))))/100*
Undamaged_CarsPerC/100,
SUM(
INDEX(TU1jt[],  $AN$5, IF($AP7-1 = 0,  ($AP7-1 + COUNT(variable_t)), $AP7-1)),
INDEX(TU2jt[],  $AN$5, IF($AP7-1 = 0,  ($AP7-1 + COUNT(variable_t)), $AP7-1)),
INDEX(TU3jt[],  $AN$5, IF($AP7-1 = 0,  ($AP7-1 + COUNT(variable_t)), $AP7-1)),
INDEX(TU4jt[],  $AN$5, IF($AP7-1 = 0,  ($AP7-1 + COUNT(variable_t)), $AP7-1))),
INDEX(RPit[], $AN$5, IF($AP7-1 = 0,  ($AP7-1 + COUNT(variable_t)), $AP7-1)),
INDEX(EUit[], $AN$5, IF($AP7-1 = 0,  ($AP7-1 + COUNT(variable_t)), $AP7-1)),
)</f>
        <v>134.46847963079998</v>
      </c>
      <c r="AF10" s="76" t="s">
        <v>34</v>
      </c>
      <c r="AG10" s="77" cm="1">
        <f t="array" ref="AG10">INDEX(NUit[], $AN$5, $AP7)</f>
        <v>134.46848</v>
      </c>
      <c r="AH10" s="76"/>
      <c r="AI10" s="75" cm="1">
        <f t="array" ref="AI10">SUM(SUM(
SUMPRODUCT(INDEX(Glasgow_PerC, $AR$3:$AR$5, $AN$6)*INDEX(TRit[], $AN$3, IF($AP7-$AR$3:$AR$5 &lt;= 0,  ($AP7-$AR$3:$AR$5 + COUNT(variable_t)), $AP7-$AR$3:$AR$5))),
SUMPRODUCT(INDEX(Manchester_PerC, $AR$3:$AR$5, $AN$6)*INDEX(TRit[], $AN$4, IF($AP7-$AR$3:$AR$5 &lt;= 0,  ($AP7-$AR$3:$AR$5 + COUNT(variable_t)), $AP7-$AR$3:$AR$5))),
SUMPRODUCT(INDEX(Birmingham_PerC, $AR$3:$AR$5, $AN$6)*INDEX(TRit[], $AN$5, IF($AP7-$AR$3:$AR$5 &lt;= 0,  ($AP7-$AR$3:$AR$5 + COUNT(variable_t)), $AP7-$AR$3:$AR$5))),
SUMPRODUCT(INDEX(Plymouth_PerC, $AR$3:$AR$5, $AN$6)*INDEX(TRit[], $AN$6, IF($AP7-$AR$3:$AR$5 &lt;= 0,  ($AP7-$AR$3:$AR$5 + COUNT(variable_t)), $AP7-$AR$3:$AR$5))))/100*
Undamaged_CarsPerC/100,
SUM(
INDEX(TU1jt[],  $AN$6, IF($AP7-1 = 0,  ($AP7-1 + COUNT(variable_t)), $AP7-1)),
INDEX(TU2jt[],  $AN$6, IF($AP7-1 = 0,  ($AP7-1 + COUNT(variable_t)), $AP7-1)),
INDEX(TU3jt[],  $AN$6, IF($AP7-1 = 0,  ($AP7-1 + COUNT(variable_t)), $AP7-1)),
INDEX(TU4jt[],  $AN$6, IF($AP7-1 = 0,  ($AP7-1 + COUNT(variable_t)), $AP7-1))),
INDEX(RPit[], $AN$6, IF($AP7-1 = 0,  ($AP7-1 + COUNT(variable_t)), $AP7-1)),
INDEX(EUit[], $AN$6, IF($AP7-1 = 0,  ($AP7-1 + COUNT(variable_t)), $AP7-1)),
)</f>
        <v>45.767324599200002</v>
      </c>
      <c r="AJ10" s="76" t="s">
        <v>34</v>
      </c>
      <c r="AK10" s="77" cm="1">
        <f t="array" ref="AK10">INDEX(NUit[], $AN$6, $AP7)</f>
        <v>45.767325</v>
      </c>
      <c r="AL10" s="31"/>
      <c r="BJ10" s="14" t="s">
        <v>1</v>
      </c>
      <c r="BK10" s="48">
        <v>150</v>
      </c>
      <c r="BL10" s="4">
        <v>143</v>
      </c>
      <c r="BM10" s="4">
        <v>195</v>
      </c>
      <c r="BN10" s="50">
        <v>99</v>
      </c>
    </row>
    <row r="11" spans="2:66" ht="26.25" thickBot="1" x14ac:dyDescent="0.3">
      <c r="B11" s="30"/>
      <c r="C11" s="36" t="s">
        <v>44</v>
      </c>
      <c r="D11" s="45" t="s">
        <v>0</v>
      </c>
      <c r="E11" s="45" t="s">
        <v>1</v>
      </c>
      <c r="F11" s="45" t="s">
        <v>2</v>
      </c>
      <c r="G11" s="46" t="s">
        <v>3</v>
      </c>
      <c r="H11" s="45" t="s">
        <v>4</v>
      </c>
      <c r="I11" s="56" t="s">
        <v>5</v>
      </c>
      <c r="J11" s="31"/>
      <c r="V11" s="32" t="s">
        <v>5</v>
      </c>
      <c r="W11" s="75" cm="1">
        <f t="array" ref="W11">SUM(SUM(
SUMPRODUCT(INDEX(Glasgow_PerC, $AR$3:$AR$5, $AN$3)*INDEX(TRit[], $AN$3, IF($AP8-$AR$3:$AR$5 &lt;= 0,  ($AP8-$AR$3:$AR$5 + COUNT(variable_t)), $AP8-$AR$3:$AR$5))),
SUMPRODUCT(INDEX(Manchester_PerC, $AR$3:$AR$5, $AN$3)*INDEX(TRit[], $AN$4, IF($AP8-$AR$3:$AR$5 &lt;= 0,  ($AP8-$AR$3:$AR$5 + COUNT(variable_t)), $AP8-$AR$3:$AR$5))),
SUMPRODUCT(INDEX(Birmingham_PerC, $AR$3:$AR$5, $AN$3)*INDEX(TRit[], $AN$5, IF($AP8-$AR$3:$AR$5 &lt;= 0,  ($AP8-$AR$3:$AR$5 + COUNT(variable_t)), $AP8-$AR$3:$AR$5))),
SUMPRODUCT(INDEX(Plymouth_PerC, $AR$3:$AR$5, $AN$3)*INDEX(TRit[], $AN$6, IF($AP8-$AR$3:$AR$5 &lt;= 0,  ($AP8-$AR$3:$AR$5 + COUNT(variable_t)), $AP8-$AR$3:$AR$5))))/100*
Undamaged_CarsPerC/100,
SUM(
INDEX(TU1jt[],  $AN$3, IF($AP8-1 = 0,  ($AP8-1 + COUNT(variable_t)), $AP8-1)),
INDEX(TU2jt[],  $AN$3, IF($AP8-1 = 0,  ($AP8-1 + COUNT(variable_t)), $AP8-1)),
INDEX(TU3jt[],  $AN$3, IF($AP8-1 = 0,  ($AP8-1 + COUNT(variable_t)), $AP8-1)),
INDEX(TU4jt[],  $AN$3, IF($AP8-1 = 0,  ($AP8-1 + COUNT(variable_t)), $AP8-1))),
INDEX(RPit[], $AN$3, IF($AP8-1 = 0,  ($AP8-1 + COUNT(variable_t)), $AP8-1)),
INDEX(EUit[], $AN$3, IF($AP8-1 = 0,  ($AP8-1 + COUNT(varable_t)), $AP8-1)),
)</f>
        <v>69.322719149099981</v>
      </c>
      <c r="X11" s="76" t="s">
        <v>34</v>
      </c>
      <c r="Y11" s="77" cm="1">
        <f t="array" ref="Y11">INDEX(NUit[], $AN$3, $AP8)</f>
        <v>69.322719000000006</v>
      </c>
      <c r="Z11" s="76"/>
      <c r="AA11" s="75" cm="1">
        <f t="array" ref="AA11">SUM(SUM(
SUMPRODUCT(INDEX(Glasgow_PerC, $AR$3:$AR$5, $AN$4)*INDEX(TRit[], $AN$3, IF($AP8-$AR$3:$AR$5 &lt;= 0,  ($AP8-$AR$3:$AR$5 + COUNT(variable_t)), $AP8-$AR$3:$AR$5))),
SUMPRODUCT(INDEX(Manchester_PerC, $AR$3:$AR$5, $AN$4)*INDEX(TRit[], $AN$4, IF($AP8-$AR$3:$AR$5 &lt;= 0,  ($AP8-$AR$3:$AR$5 + COUNT(variable_t)), $AP8-$AR$3:$AR$5))),
SUMPRODUCT(INDEX(Birmingham_PerC, $AR$3:$AR$5, $AN$4)*INDEX(TRit[], $AN$5, IF($AP8-$AR$3:$AR$5 &lt;= 0,  ($AP8-$AR$3:$AR$5 + COUNT(variable_t)), $AP8-$AR$3:$AR$5))),
SUMPRODUCT(INDEX(Plymouth_PerC, $AR$3:$AR$5, $AN$4)*INDEX(TRit[], $AN$6, IF($AP8-$AR$3:$AR$5 &lt;= 0,  ($AP8-$AR$3:$AR$5 + COUNT(variable_t)), $AP8-$AR$3:$AR$5))))/100*
Undamaged_CarsPerC/100,
SUM(
INDEX(TU1jt[],  $AN$4, IF($AP8-1 = 0,  ($AP8-1 + COUNT(variable_t)), $AP8-1)),
INDEX(TU2jt[],  $AN$4, IF($AP8-1 = 0,  ($AP8-1 + COUNT(variable_t)), $AP8-1)),
INDEX(TU3jt[],  $AN$4, IF($AP8-1 = 0,  ($AP8-1 + COUNT(variable_t)), $AP8-1)),
INDEX(TU4jt[],  $AN$4, IF($AP8-1 = 0,  ($AP8-1 + COUNT(variable_t)), $AP8-1))),
INDEX(RPit[], $AN$4, IF($AP8-1 = 0,  ($AP8-1 + COUNT(variable_t)), $AP8-1)),
INDEX(EUit[], $AN$4, IF($AP8-1 = 0,  ($AP8-1 + COUNT(variable_t)), $AP8-1)),
)</f>
        <v>97.941511074900006</v>
      </c>
      <c r="AB11" s="76" t="s">
        <v>34</v>
      </c>
      <c r="AC11" s="77" cm="1">
        <f t="array" ref="AC11">INDEX(NUit[], $AN$4, $AP8)</f>
        <v>97.941511000000006</v>
      </c>
      <c r="AD11" s="76"/>
      <c r="AE11" s="75" cm="1">
        <f t="array" ref="AE11">SUM(SUM(
SUMPRODUCT(INDEX(Glasgow_PerC, $AR$3:$AR$5, $AN$5)*INDEX(TRit[], $AN$3, IF($AP8-$AR$3:$AR$5 &lt;= 0,  ($AP8-$AR$3:$AR$5 + COUNT(variable_t)), $AP8-$AR$3:$AR$5))),
SUMPRODUCT(INDEX(Manchester_PerC, $AR$3:$AR$5, $AN$5)*INDEX(TRit[], $AN$4, IF($AP8-$AR$3:$AR$5 &lt;= 0,  ($AP8-$AR$3:$AR$5 + COUNT(variable_t)), $AP8-$AR$3:$AR$5))),
SUMPRODUCT(INDEX(Birmingham_PerC, $AR$3:$AR$5, $AN$5)*INDEX(TRit[], $AN$5, IF($AP8-$AR$3:$AR$5 &lt;= 0,  ($AP8-$AR$3:$AR$5 + COUNT(variable_t)), $AP8-$AR$3:$AR$5))),
SUMPRODUCT(INDEX(Plymouth_PerC, $AR$3:$AR$5, $AN$5)*INDEX(TRit[], $AN$6, IF($AP8-$AR$3:$AR$5 &lt;= 0,  ($AP8-$AR$3:$AR$5 + COUNT(variable_t)), $AP8-$AR$3:$AR$5))))/100*
Undamaged_CarsPerC/100,
SUM(
INDEX(TU1jt[],  $AN$5, IF($AP8-1 = 0,  ($AP8-1 + COUNT(variable_t)), $AP8-1)),
INDEX(TU2jt[],  $AN$5, IF($AP8-1 = 0,  ($AP8-1 + COUNT(variable_t)), $AP8-1)),
INDEX(TU3jt[],  $AN$5, IF($AP8-1 = 0,  ($AP8-1 + COUNT(variable_t)), $AP8-1)),
INDEX(TU4jt[],  $AN$5, IF($AP8-1 = 0,  ($AP8-1 + COUNT(variable_t)), $AP8-1))),
INDEX(RPit[], $AN$5, IF($AP8-1 = 0,  ($AP8-1 + COUNT(variable_t)), $AP8-1)),
INDEX(EUit[], $AN$5, IF($AP8-1 = 0,  ($AP8-1 + COUNT(variable_t)), $AP8-1)),
)</f>
        <v>169.73358431414999</v>
      </c>
      <c r="AF11" s="76" t="s">
        <v>34</v>
      </c>
      <c r="AG11" s="77" cm="1">
        <f t="array" ref="AG11">INDEX(NUit[], $AN$5, $AP8)</f>
        <v>169.73357999999999</v>
      </c>
      <c r="AH11" s="76"/>
      <c r="AI11" s="75" cm="1">
        <f t="array" ref="AI11">SUM(SUM(
SUMPRODUCT(INDEX(Glasgow_PerC, $AR$3:$AR$5, $AN$6)*INDEX(TRit[], $AN$3, IF($AP8-$AR$3:$AR$5 &lt;= 0,  ($AP8-$AR$3:$AR$5 + COUNT(variable_t)), $AP8-$AR$3:$AR$5))),
SUMPRODUCT(INDEX(Manchester_PerC, $AR$3:$AR$5, $AN$6)*INDEX(TRit[], $AN$4, IF($AP8-$AR$3:$AR$5 &lt;= 0,  ($AP8-$AR$3:$AR$5 + COUNT(variable_t)), $AP8-$AR$3:$AR$5))),
SUMPRODUCT(INDEX(Birmingham_PerC, $AR$3:$AR$5, $AN$6)*INDEX(TRit[], $AN$5, IF($AP8-$AR$3:$AR$5 &lt;= 0,  ($AP8-$AR$3:$AR$5 + COUNT(variable_t)), $AP8-$AR$3:$AR$5))),
SUMPRODUCT(INDEX(Plymouth_PerC, $AR$3:$AR$5, $AN$6)*INDEX(TRit[], $AN$6, IF($AP8-$AR$3:$AR$5 &lt;= 0,  ($AP8-$AR$3:$AR$5 + COUNT(variable_t)), $AP8-$AR$3:$AR$5))))/100*
Undamaged_CarsPerC/100,
SUM(
INDEX(TU1jt[],  $AN$6, IF($AP8-1 = 0,  ($AP8-1 + COUNT(variable_t)), $AP8-1)),
INDEX(TU2jt[],  $AN$6, IF($AP8-1 = 0,  ($AP8-1 + COUNT(variable_t)), $AP8-1)),
INDEX(TU3jt[],  $AN$6, IF($AP8-1 = 0,  ($AP8-1 + COUNT(variable_t)), $AP8-1)),
INDEX(TU4jt[],  $AN$6, IF($AP8-1 = 0,  ($AP8-1 + COUNT(variable_t)), $AP8-1))),
INDEX(RPit[], $AN$6, IF($AP8-1 = 0,  ($AP8-1 + COUNT(variable_t)), $AP8-1)),
INDEX(EUit[], $AN$6, IF($AP8-1 = 0,  ($AP8-1 + COUNT(variable_t)), $AP8-1)),
)</f>
        <v>41.836101881849999</v>
      </c>
      <c r="AJ11" s="76" t="s">
        <v>34</v>
      </c>
      <c r="AK11" s="77" cm="1">
        <f t="array" ref="AK11">INDEX(NUit[], $AN$6, $AP8)</f>
        <v>41.836101999999997</v>
      </c>
      <c r="AL11" s="31"/>
      <c r="BJ11" s="14" t="s">
        <v>2</v>
      </c>
      <c r="BK11" s="48">
        <v>135</v>
      </c>
      <c r="BL11" s="4">
        <v>80</v>
      </c>
      <c r="BM11" s="4">
        <v>242</v>
      </c>
      <c r="BN11" s="50">
        <v>55</v>
      </c>
    </row>
    <row r="12" spans="2:66" ht="15.95" customHeight="1" thickBot="1" x14ac:dyDescent="0.3">
      <c r="B12" s="32"/>
      <c r="C12" s="23" t="s">
        <v>6</v>
      </c>
      <c r="D12" s="21">
        <v>100</v>
      </c>
      <c r="E12" s="21">
        <v>73.786254999999997</v>
      </c>
      <c r="F12" s="21">
        <v>68.380336999999997</v>
      </c>
      <c r="G12" s="20">
        <v>76.213924000000006</v>
      </c>
      <c r="H12" s="20">
        <v>75.026623999999998</v>
      </c>
      <c r="I12" s="54">
        <v>69.322719000000006</v>
      </c>
      <c r="J12" s="31"/>
      <c r="V12" s="33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34"/>
      <c r="BJ12" s="14" t="s">
        <v>3</v>
      </c>
      <c r="BK12" s="48">
        <v>83</v>
      </c>
      <c r="BL12" s="4">
        <v>225</v>
      </c>
      <c r="BM12" s="4">
        <v>111</v>
      </c>
      <c r="BN12" s="50">
        <v>96</v>
      </c>
    </row>
    <row r="13" spans="2:66" ht="15.95" customHeight="1" thickBot="1" x14ac:dyDescent="0.3">
      <c r="B13" s="32"/>
      <c r="C13" s="24" t="s">
        <v>9</v>
      </c>
      <c r="D13" s="22">
        <v>165.65248</v>
      </c>
      <c r="E13" s="22">
        <v>106.5958</v>
      </c>
      <c r="F13" s="22">
        <v>97.685851999999997</v>
      </c>
      <c r="G13" s="19">
        <v>123.73838000000001</v>
      </c>
      <c r="H13" s="19">
        <v>107.47413</v>
      </c>
      <c r="I13" s="55">
        <v>97.941511000000006</v>
      </c>
      <c r="J13" s="31"/>
      <c r="BJ13" s="14" t="s">
        <v>4</v>
      </c>
      <c r="BK13" s="48">
        <v>120</v>
      </c>
      <c r="BL13" s="4">
        <v>210</v>
      </c>
      <c r="BM13" s="4">
        <v>70</v>
      </c>
      <c r="BN13" s="50">
        <v>115</v>
      </c>
    </row>
    <row r="14" spans="2:66" ht="15.95" customHeight="1" thickTop="1" thickBot="1" x14ac:dyDescent="0.3">
      <c r="B14" s="32"/>
      <c r="C14" s="24" t="s">
        <v>7</v>
      </c>
      <c r="D14" s="22">
        <v>139.91692</v>
      </c>
      <c r="E14" s="22">
        <v>156.3313</v>
      </c>
      <c r="F14" s="22">
        <v>121.92547999999999</v>
      </c>
      <c r="G14" s="19">
        <v>122.27755000000001</v>
      </c>
      <c r="H14" s="19">
        <v>134.46848</v>
      </c>
      <c r="I14" s="55">
        <v>169.73357999999999</v>
      </c>
      <c r="J14" s="31"/>
      <c r="V14" s="27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9"/>
      <c r="BJ14" s="14" t="s">
        <v>5</v>
      </c>
      <c r="BK14" s="51">
        <v>230</v>
      </c>
      <c r="BL14" s="52">
        <v>98</v>
      </c>
      <c r="BM14" s="52">
        <v>124</v>
      </c>
      <c r="BN14" s="53">
        <v>80</v>
      </c>
    </row>
    <row r="15" spans="2:66" ht="15.95" customHeight="1" thickBot="1" x14ac:dyDescent="0.3">
      <c r="B15" s="32"/>
      <c r="C15" s="25" t="s">
        <v>8</v>
      </c>
      <c r="D15" s="57">
        <v>68.943404000000001</v>
      </c>
      <c r="E15" s="57">
        <v>45.138002999999998</v>
      </c>
      <c r="F15" s="57">
        <v>41.819701999999999</v>
      </c>
      <c r="G15" s="58">
        <v>47.350448999999998</v>
      </c>
      <c r="H15" s="58">
        <v>45.767325</v>
      </c>
      <c r="I15" s="59">
        <v>41.836101999999997</v>
      </c>
      <c r="J15" s="31"/>
      <c r="V15" s="32"/>
      <c r="W15" s="149" t="s">
        <v>42</v>
      </c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49"/>
      <c r="AL15" s="31"/>
    </row>
    <row r="16" spans="2:66" ht="15.95" customHeight="1" thickBot="1" x14ac:dyDescent="0.3">
      <c r="B16" s="33"/>
      <c r="C16" s="26"/>
      <c r="D16" s="26"/>
      <c r="E16" s="26"/>
      <c r="F16" s="26"/>
      <c r="G16" s="26"/>
      <c r="H16" s="26"/>
      <c r="I16" s="26"/>
      <c r="J16" s="34"/>
      <c r="V16" s="32"/>
      <c r="W16" s="135"/>
      <c r="AL16" s="31"/>
    </row>
    <row r="17" spans="2:38" ht="15.95" customHeight="1" thickTop="1" thickBot="1" x14ac:dyDescent="0.3">
      <c r="V17" s="32"/>
      <c r="W17" s="150" t="s">
        <v>6</v>
      </c>
      <c r="X17" s="150"/>
      <c r="Y17" s="150"/>
      <c r="AA17" s="151" t="s">
        <v>9</v>
      </c>
      <c r="AB17" s="151"/>
      <c r="AC17" s="151"/>
      <c r="AE17" s="151" t="s">
        <v>7</v>
      </c>
      <c r="AF17" s="151"/>
      <c r="AG17" s="151"/>
      <c r="AI17" s="151" t="s">
        <v>8</v>
      </c>
      <c r="AJ17" s="151"/>
      <c r="AK17" s="151"/>
      <c r="AL17" s="31"/>
    </row>
    <row r="18" spans="2:38" ht="15.95" customHeight="1" thickTop="1" thickBot="1" x14ac:dyDescent="0.3">
      <c r="B18" s="27"/>
      <c r="C18" s="28"/>
      <c r="D18" s="28"/>
      <c r="E18" s="28"/>
      <c r="F18" s="28"/>
      <c r="G18" s="28"/>
      <c r="H18" s="28"/>
      <c r="I18" s="28"/>
      <c r="J18" s="29"/>
      <c r="V18" s="32" t="s">
        <v>0</v>
      </c>
      <c r="W18" s="75" cm="1">
        <f t="array" ref="W18">SUM(SUM(
SUMPRODUCT(INDEX(Glasgow_PerC, $AR$3:$AR$5, $AN$3)*INDEX(TRit[], $AN$3, IF($AP3-$AR$3:$AR$5 &lt;= 0,  ($AP3-$AR$3:$AR$5 + COUNT(variable_t)), $AP3-$AR$3:$AR$5))),
SUMPRODUCT(INDEX(Manchester_PerC, $AR$3:$AR$5, $AN$3)*INDEX(TRit[], $AN$4, IF($AP3-$AR$3:$AR$5 &lt;= 0,  ($AP3-$AR$3:$AR$5 + COUNT(variable_t)), $AP3-$AR$3:$AR$5))),
SUMPRODUCT(INDEX(Birmingham_PerC, $AR$3:$AR$5, $AN$3)*INDEX(TRit[], $AN$5, IF($AP3-$AR$3:$AR$5 &lt;= 0,  ($AP3-$AR$3:$AR$5 + COUNT(variable_t)), $AP3-$AR$3:$AR$5))),
SUMPRODUCT(INDEX(Plymouth_PerC, $AR$3:$AR$5, $AN$3)*INDEX(TRit[], $AN$6, IF($AP3-$AR$3:$AR$5 &lt;= 0,  ($AP3-$AR$3:$AR$5 + COUNT(variable_t)), $AP3-$AR$3:$AR$5))))/100*
Damaged_CarsPerC/100,
SUM(
INDEX(TD1jt[],  $AN$3, IF($AP3-1 = 0,  ($AP3-1 + COUNT(variable_t)), $AP3-1)),
INDEX(TD2jt[],  $AN$3, IF($AP3-1 = 0,  ($AP3-1 + COUNT(variable_t)), $AP3-1)),
INDEX(TD3jt[],  $AN$3, IF($AP3-1 = 0,  ($AP3-1 + COUNT(variable_t)), $AP3-1)),
INDEX(TD4jt[],  $AN$3, IF($AP3-1 = 0,  ($AP3-1 + COUNT(variable_t)), $AP3-1))),
INDEX(EDit[], $AN$3, IF($AP3-1 = 0,  ($AP3-1 + COUNT(variable_t)), $AP3-1)),
)</f>
        <v>5.1704097120000005</v>
      </c>
      <c r="X18" s="76" t="s">
        <v>34</v>
      </c>
      <c r="Y18" s="77" cm="1">
        <f t="array" ref="Y18">INDEX(NDit[], $AN$3, $AP3)</f>
        <v>5.1704097000000004</v>
      </c>
      <c r="Z18" s="76"/>
      <c r="AA18" s="75" cm="1">
        <f t="array" ref="AA18">SUM(SUM(
SUMPRODUCT(INDEX(Glasgow_PerC, $AR$3:$AR$5, $AN$4)*INDEX(TRit[], $AN$3, IF($AP3-$AR$3:$AR$5 &lt;= 0,  ($AP3-$AR$3:$AR$5 + COUNT(variable_t)), $AP3-$AR$3:$AR$5))),
SUMPRODUCT(INDEX(Manchester_PerC, $AR$3:$AR$5, $AN$4)*INDEX(TRit[], $AN$4, IF($AP3-$AR$3:$AR$5 &lt;= 0,  ($AP3-$AR$3:$AR$5 + COUNT(variable_t)), $AP3-$AR$3:$AR$5))),
SUMPRODUCT(INDEX(Birmingham_PerC, $AR$3:$AR$5, $AN$4)*INDEX(TRit[], $AN$5, IF($AP3-$AR$3:$AR$5 &lt;= 0,  ($AP3-$AR$3:$AR$5 + COUNT(variable_t)), $AP3-$AR$3:$AR$5))),
SUMPRODUCT(INDEX(Plymouth_PerC, $AR$3:$AR$5, $AN$4)*INDEX(TRit[], $AN$6, IF($AP3-$AR$3:$AR$5 &lt;= 0,  ($AP3-$AR$3:$AR$5 + COUNT(variable_t)), $AP3-$AR$3:$AR$5))))/100*
Damaged_CarsPerC/100,
SUM(
INDEX(TD1jt[],  $AN$4, IF($AP3-1 = 0,  ($AP3-1 + COUNT(variable_t)), $AP3-1)),
INDEX(TD2jt[],  $AN$4, IF($AP3-1 = 0,  ($AP3-1 + COUNT(variable_t)), $AP3-1)),
INDEX(TD3jt[],  $AN$4, IF($AP3-1 = 0,  ($AP3-1 + COUNT(variable_t)), $AP3-1)),
INDEX(TD4jt[],  $AN$4, IF($AP3-1 = 0,  ($AP3-1 + COUNT(variable_t)), $AP3-1))),
INDEX(EDit[], $AN$4, IF($AP3-1 = 0,  ($AP3-1 + COUNT(variable_t)), $AP3-1)),
)</f>
        <v>13.489355975</v>
      </c>
      <c r="AB18" s="76" t="s">
        <v>34</v>
      </c>
      <c r="AC18" s="77" cm="1">
        <f t="array" ref="AC18">INDEX(NDit[], $AN$4, $AP3)</f>
        <v>13.489356000000001</v>
      </c>
      <c r="AD18" s="76"/>
      <c r="AE18" s="75" cm="1">
        <f t="array" ref="AE18">SUM(SUM(
SUMPRODUCT(INDEX(Glasgow_PerC, $AR$3:$AR$5, $AN$5)*INDEX(TRit[], $AN$3, IF($AP3-$AR$3:$AR$5 &lt;= 0,  ($AP3-$AR$3:$AR$5 + COUNT(variable_t)), $AP3-$AR$3:$AR$5))),
SUMPRODUCT(INDEX(Manchester_PerC, $AR$3:$AR$5, $AN$5)*INDEX(TRit[], $AN$4, IF($AP3-$AR$3:$AR$5 &lt;= 0,  ($AP3-$AR$3:$AR$5 + COUNT(variable_t)), $AP3-$AR$3:$AR$5))),
SUMPRODUCT(INDEX(Birmingham_PerC, $AR$3:$AR$5, $AN$5)*INDEX(TRit[], $AN$5, IF($AP3-$AR$3:$AR$5 &lt;= 0,  ($AP3-$AR$3:$AR$5 + COUNT(variable_t)), $AP3-$AR$3:$AR$5))),
SUMPRODUCT(INDEX(Plymouth_PerC, $AR$3:$AR$5, $AN$5)*INDEX(TRit[], $AN$6, IF($AP3-$AR$3:$AR$5 &lt;= 0,  ($AP3-$AR$3:$AR$5 + COUNT(variable_t)), $AP3-$AR$3:$AR$5))))/100*
Damaged_CarsPerC/100,
SUM(
INDEX(TD1jt[],  $AN$5, IF($AP3-1 = 0,  ($AP3-1 + COUNT(variable_t)), $AP3-1)),
INDEX(TD2jt[],  $AN$5, IF($AP3-1 = 0,  ($AP3-1 + COUNT(variable_t)), $AP3-1)),
INDEX(TD3jt[],  $AN$5, IF($AP3-1 = 0,  ($AP3-1 + COUNT(variable_t)), $AP3-1)),
INDEX(TD4jt[],  $AN$5, IF($AP3-1 = 0,  ($AP3-1 + COUNT(variable_t)), $AP3-1))),
INDEX(EDit[], $AN$5, IF($AP3-1 = 0,  ($AP3-1 + COUNT(variable_t)), $AP3-1)),
)</f>
        <v>21.660514507249999</v>
      </c>
      <c r="AF18" s="76" t="s">
        <v>34</v>
      </c>
      <c r="AG18" s="77" cm="1">
        <f t="array" ref="AG18">INDEX(NDit[], $AN$5, $AP3)</f>
        <v>21.660515</v>
      </c>
      <c r="AH18" s="76"/>
      <c r="AI18" s="75" cm="1">
        <f t="array" ref="AI18">SUM(SUM(
SUMPRODUCT(INDEX(Glasgow_PerC, $AR$3:$AR$5, $AN$6)*INDEX(TRit[], $AN$3, IF($AP3-$AR$3:$AR$5 &lt;= 0,  ($AP3-$AR$3:$AR$5 + COUNT(variable_t)), $AP3-$AR$3:$AR$5))),
SUMPRODUCT(INDEX(Manchester_PerC, $AR$3:$AR$5, $AN$6)*INDEX(TRit[], $AN$4, IF($AP3-$AR$3:$AR$5 &lt;= 0,  ($AP3-$AR$3:$AR$5 + COUNT(variable_t)), $AP3-$AR$3:$AR$5))),
SUMPRODUCT(INDEX(Birmingham_PerC, $AR$3:$AR$5, $AN$6)*INDEX(TRit[], $AN$5, IF($AP3-$AR$3:$AR$5 &lt;= 0,  ($AP3-$AR$3:$AR$5 + COUNT(variable_t)), $AP3-$AR$3:$AR$5))),
SUMPRODUCT(INDEX(Plymouth_PerC, $AR$3:$AR$5, $AN$6)*INDEX(TRit[], $AN$6, IF($AP3-$AR$3:$AR$5 &lt;= 0,  ($AP3-$AR$3:$AR$5 + COUNT(variable_t)), $AP3-$AR$3:$AR$5))))/100*
Damaged_CarsPerC/100,
SUM(
INDEX(TD1jt[],  $AN$6, IF($AP3-1 = 0,  ($AP3-1 + COUNT(variable_t)), $AP3-1)),
INDEX(TD2jt[],  $AN$6, IF($AP3-1 = 0,  ($AP3-1 + COUNT(variable_t)), $AP3-1)),
INDEX(TD3jt[],  $AN$6, IF($AP3-1 = 0,  ($AP3-1 + COUNT(variable_t)), $AP3-1)),
INDEX(TD4jt[],  $AN$6, IF($AP3-1 = 0,  ($AP3-1 + COUNT(variable_t)), $AP3-1))),
INDEX(EDit[], $AN$6, IF($AP3-1 = 0,  ($AP3-1 + COUNT(variable_t)), $AP3-1)),
)</f>
        <v>3.0119224957499999</v>
      </c>
      <c r="AJ18" s="76" t="s">
        <v>34</v>
      </c>
      <c r="AK18" s="77" cm="1">
        <f t="array" ref="AK18">INDEX(NDit[], $AN$6, $AP3)</f>
        <v>3.0119224999999998</v>
      </c>
      <c r="AL18" s="31"/>
    </row>
    <row r="19" spans="2:38" ht="26.25" thickBot="1" x14ac:dyDescent="0.3">
      <c r="B19" s="30"/>
      <c r="C19" s="36" t="s">
        <v>44</v>
      </c>
      <c r="D19" s="45" t="s">
        <v>0</v>
      </c>
      <c r="E19" s="45" t="s">
        <v>1</v>
      </c>
      <c r="F19" s="45" t="s">
        <v>2</v>
      </c>
      <c r="G19" s="46" t="s">
        <v>3</v>
      </c>
      <c r="H19" s="45" t="s">
        <v>4</v>
      </c>
      <c r="I19" s="56" t="s">
        <v>5</v>
      </c>
      <c r="J19" s="31"/>
      <c r="V19" s="32" t="s">
        <v>1</v>
      </c>
      <c r="W19" s="75" cm="1">
        <f t="array" ref="W19">SUM(SUM(
SUMPRODUCT(INDEX(Glasgow_PerC, $AR$3:$AR$5, $AN$3)*INDEX(TRit[], $AN$3, IF($AP4-$AR$3:$AR$5 &lt;= 0,  ($AP4-$AR$3:$AR$5 + COUNT(variable_t)), $AP4-$AR$3:$AR$5))),
SUMPRODUCT(INDEX(Manchester_PerC, $AR$3:$AR$5, $AN$3)*INDEX(TRit[], $AN$4, IF($AP4-$AR$3:$AR$5 &lt;= 0,  ($AP4-$AR$3:$AR$5 + COUNT(variable_t)), $AP4-$AR$3:$AR$5))),
SUMPRODUCT(INDEX(Birmingham_PerC, $AR$3:$AR$5, $AN$3)*INDEX(TRit[], $AN$5, IF($AP4-$AR$3:$AR$5 &lt;= 0,  ($AP4-$AR$3:$AR$5 + COUNT(variable_t)), $AP4-$AR$3:$AR$5))),
SUMPRODUCT(INDEX(Plymouth_PerC, $AR$3:$AR$5, $AN$3)*INDEX(TRit[], $AN$6, IF($AP4-$AR$3:$AR$5 &lt;= 0,  ($AP4-$AR$3:$AR$5 + COUNT(variable_t)), $AP4-$AR$3:$AR$5))))/100*
Damaged_CarsPerC/100,
SUM(
INDEX(TD1jt[],  $AN$3, IF($AP4-1 = 0,  ($AP4-1 + COUNT(variable_t)), $AP4-1)),
INDEX(TD2jt[],  $AN$3, IF($AP4-1 = 0,  ($AP4-1 + COUNT(variable_t)), $AP4-1)),
INDEX(TD3jt[],  $AN$3, IF($AP4-1 = 0,  ($AP4-1 + COUNT(variable_t)), $AP4-1)),
INDEX(TD4jt[],  $AN$3, IF($AP4-1 = 0,  ($AP4-1 + COUNT(variable_t)), $AP4-1))),
INDEX(EDit[], $AN$3, IF($AP4-1 = 0,  ($AP4-1 + COUNT(variable_t)), $AP4-1)),
)</f>
        <v>8.1984728191000027</v>
      </c>
      <c r="X19" s="76" t="s">
        <v>34</v>
      </c>
      <c r="Y19" s="77" cm="1">
        <f t="array" ref="Y19">INDEX(NDit[], $AN$3, $AP4)</f>
        <v>8.1984727999999993</v>
      </c>
      <c r="Z19" s="76"/>
      <c r="AA19" s="75" cm="1">
        <f t="array" ref="AA19">SUM(SUM(
SUMPRODUCT(INDEX(Glasgow_PerC, $AR$3:$AR$5, $AN$4)*INDEX(TRit[], $AN$3, IF($AP4-$AR$3:$AR$5 &lt;= 0,  ($AP4-$AR$3:$AR$5 + COUNT(variable_t)), $AP4-$AR$3:$AR$5))),
SUMPRODUCT(INDEX(Manchester_PerC, $AR$3:$AR$5, $AN$4)*INDEX(TRit[], $AN$4, IF($AP4-$AR$3:$AR$5 &lt;= 0,  ($AP4-$AR$3:$AR$5 + COUNT(variable_t)), $AP4-$AR$3:$AR$5))),
SUMPRODUCT(INDEX(Birmingham_PerC, $AR$3:$AR$5, $AN$4)*INDEX(TRit[], $AN$5, IF($AP4-$AR$3:$AR$5 &lt;= 0,  ($AP4-$AR$3:$AR$5 + COUNT(variable_t)), $AP4-$AR$3:$AR$5))),
SUMPRODUCT(INDEX(Plymouth_PerC, $AR$3:$AR$5, $AN$4)*INDEX(TRit[], $AN$6, IF($AP4-$AR$3:$AR$5 &lt;= 0,  ($AP4-$AR$3:$AR$5 + COUNT(variable_t)), $AP4-$AR$3:$AR$5))))/100*
Damaged_CarsPerC/100,
SUM(
INDEX(TD1jt[],  $AN$4, IF($AP4-1 = 0,  ($AP4-1 + COUNT(variable_t)), $AP4-1)),
INDEX(TD2jt[],  $AN$4, IF($AP4-1 = 0,  ($AP4-1 + COUNT(variable_t)), $AP4-1)),
INDEX(TD3jt[],  $AN$4, IF($AP4-1 = 0,  ($AP4-1 + COUNT(variable_t)), $AP4-1)),
INDEX(TD4jt[],  $AN$4, IF($AP4-1 = 0,  ($AP4-1 + COUNT(variable_t)), $AP4-1))),
INDEX(EDit[], $AN$4, IF($AP4-1 = 0,  ($AP4-1 + COUNT(variable_t)), $AP4-1)),
)</f>
        <v>11.999999996899998</v>
      </c>
      <c r="AB19" s="76" t="s">
        <v>34</v>
      </c>
      <c r="AC19" s="77" cm="1">
        <f t="array" ref="AC19">INDEX(NDit[], $AN$4, $AP4)</f>
        <v>12</v>
      </c>
      <c r="AD19" s="76"/>
      <c r="AE19" s="75" cm="1">
        <f t="array" ref="AE19">SUM(SUM(
SUMPRODUCT(INDEX(Glasgow_PerC, $AR$3:$AR$5, $AN$5)*INDEX(TRit[], $AN$3, IF($AP4-$AR$3:$AR$5 &lt;= 0,  ($AP4-$AR$3:$AR$5 + COUNT(variable_t)), $AP4-$AR$3:$AR$5))),
SUMPRODUCT(INDEX(Manchester_PerC, $AR$3:$AR$5, $AN$5)*INDEX(TRit[], $AN$4, IF($AP4-$AR$3:$AR$5 &lt;= 0,  ($AP4-$AR$3:$AR$5 + COUNT(variable_t)), $AP4-$AR$3:$AR$5))),
SUMPRODUCT(INDEX(Birmingham_PerC, $AR$3:$AR$5, $AN$5)*INDEX(TRit[], $AN$5, IF($AP4-$AR$3:$AR$5 &lt;= 0,  ($AP4-$AR$3:$AR$5 + COUNT(variable_t)), $AP4-$AR$3:$AR$5))),
SUMPRODUCT(INDEX(Plymouth_PerC, $AR$3:$AR$5, $AN$5)*INDEX(TRit[], $AN$6, IF($AP4-$AR$3:$AR$5 &lt;= 0,  ($AP4-$AR$3:$AR$5 + COUNT(variable_t)), $AP4-$AR$3:$AR$5))))/100*
Damaged_CarsPerC/100,
SUM(
INDEX(TD1jt[],  $AN$5, IF($AP4-1 = 0,  ($AP4-1 + COUNT(variable_t)), $AP4-1)),
INDEX(TD2jt[],  $AN$5, IF($AP4-1 = 0,  ($AP4-1 + COUNT(variable_t)), $AP4-1)),
INDEX(TD3jt[],  $AN$5, IF($AP4-1 = 0,  ($AP4-1 + COUNT(variable_t)), $AP4-1)),
INDEX(TD4jt[],  $AN$5, IF($AP4-1 = 0,  ($AP4-1 + COUNT(variable_t)), $AP4-1))),
INDEX(EDit[], $AN$5, IF($AP4-1 = 0,  ($AP4-1 + COUNT(variable_t)), $AP4-1)),
)</f>
        <v>19.999999979650003</v>
      </c>
      <c r="AF19" s="76" t="s">
        <v>34</v>
      </c>
      <c r="AG19" s="77" cm="1">
        <f t="array" ref="AG19">INDEX(NDit[], $AN$5, $AP4)</f>
        <v>20</v>
      </c>
      <c r="AH19" s="76"/>
      <c r="AI19" s="75" cm="1">
        <f t="array" ref="AI19">SUM(SUM(
SUMPRODUCT(INDEX(Glasgow_PerC, $AR$3:$AR$5, $AN$6)*INDEX(TRit[], $AN$3, IF($AP4-$AR$3:$AR$5 &lt;= 0,  ($AP4-$AR$3:$AR$5 + COUNT(variable_t)), $AP4-$AR$3:$AR$5))),
SUMPRODUCT(INDEX(Manchester_PerC, $AR$3:$AR$5, $AN$6)*INDEX(TRit[], $AN$4, IF($AP4-$AR$3:$AR$5 &lt;= 0,  ($AP4-$AR$3:$AR$5 + COUNT(variable_t)), $AP4-$AR$3:$AR$5))),
SUMPRODUCT(INDEX(Birmingham_PerC, $AR$3:$AR$5, $AN$6)*INDEX(TRit[], $AN$5, IF($AP4-$AR$3:$AR$5 &lt;= 0,  ($AP4-$AR$3:$AR$5 + COUNT(variable_t)), $AP4-$AR$3:$AR$5))),
SUMPRODUCT(INDEX(Plymouth_PerC, $AR$3:$AR$5, $AN$6)*INDEX(TRit[], $AN$6, IF($AP4-$AR$3:$AR$5 &lt;= 0,  ($AP4-$AR$3:$AR$5 + COUNT(variable_t)), $AP4-$AR$3:$AR$5))))/100*
Damaged_CarsPerC/100,
SUM(
INDEX(TD1jt[],  $AN$6, IF($AP4-1 = 0,  ($AP4-1 + COUNT(variable_t)), $AP4-1)),
INDEX(TD2jt[],  $AN$6, IF($AP4-1 = 0,  ($AP4-1 + COUNT(variable_t)), $AP4-1)),
INDEX(TD3jt[],  $AN$6, IF($AP4-1 = 0,  ($AP4-1 + COUNT(variable_t)), $AP4-1)),
INDEX(TD4jt[],  $AN$6, IF($AP4-1 = 0,  ($AP4-1 + COUNT(variable_t)), $AP4-1))),
INDEX(EDit[], $AN$6, IF($AP4-1 = 0,  ($AP4-1 + COUNT(variable_t)), $AP4-1)),
)</f>
        <v>5.0153336393499988</v>
      </c>
      <c r="AJ19" s="76" t="s">
        <v>34</v>
      </c>
      <c r="AK19" s="77" cm="1">
        <f t="array" ref="AK19">INDEX(NDit[], $AN$6, $AP4)</f>
        <v>5.0153335999999999</v>
      </c>
      <c r="AL19" s="31"/>
    </row>
    <row r="20" spans="2:38" ht="15.95" customHeight="1" thickBot="1" x14ac:dyDescent="0.3">
      <c r="B20" s="32"/>
      <c r="C20" s="23" t="s">
        <v>6</v>
      </c>
      <c r="D20" s="21">
        <v>5.1704097000000004</v>
      </c>
      <c r="E20" s="21">
        <v>8.1984727999999993</v>
      </c>
      <c r="F20" s="21">
        <v>7.5978152000000003</v>
      </c>
      <c r="G20" s="20">
        <v>8.4682137999999991</v>
      </c>
      <c r="H20" s="20">
        <v>8.3362915999999991</v>
      </c>
      <c r="I20" s="54">
        <v>7.7025243999999997</v>
      </c>
      <c r="J20" s="31"/>
      <c r="V20" s="32" t="s">
        <v>2</v>
      </c>
      <c r="W20" s="75" cm="1">
        <f t="array" ref="W20">SUM(SUM(
SUMPRODUCT(INDEX(Glasgow_PerC, $AR$3:$AR$5, $AN$3)*INDEX(TRit[], $AN$3, IF($AP5-$AR$3:$AR$5 &lt;= 0,  ($AP5-$AR$3:$AR$5 + COUNT(variable_t)), $AP5-$AR$3:$AR$5))),
SUMPRODUCT(INDEX(Manchester_PerC, $AR$3:$AR$5, $AN$3)*INDEX(TRit[], $AN$4, IF($AP5-$AR$3:$AR$5 &lt;= 0,  ($AP5-$AR$3:$AR$5 + COUNT(variable_t)), $AP5-$AR$3:$AR$5))),
SUMPRODUCT(INDEX(Birmingham_PerC, $AR$3:$AR$5, $AN$3)*INDEX(TRit[], $AN$5, IF($AP5-$AR$3:$AR$5 &lt;= 0,  ($AP5-$AR$3:$AR$5 + COUNT(variable_t)), $AP5-$AR$3:$AR$5))),
SUMPRODUCT(INDEX(Plymouth_PerC, $AR$3:$AR$5, $AN$3)*INDEX(TRit[], $AN$6, IF($AP5-$AR$3:$AR$5 &lt;= 0,  ($AP5-$AR$3:$AR$5 + COUNT(variable_t)), $AP5-$AR$3:$AR$5))))/100*
Damaged_CarsPerC/100,
SUM(
INDEX(TD1jt[],  $AN$3, IF($AP5-1 = 0,  ($AP5-1 + COUNT(variable_t)), $AP5-1)),
INDEX(TD2jt[],  $AN$3, IF($AP5-1 = 0,  ($AP5-1 + COUNT(variable_t)), $AP5-1)),
INDEX(TD3jt[],  $AN$3, IF($AP5-1 = 0,  ($AP5-1 + COUNT(variable_t)), $AP5-1)),
INDEX(TD4jt[],  $AN$3, IF($AP5-1 = 0,  ($AP5-1 + COUNT(variable_t)), $AP5-1))),
INDEX(EDit[], $AN$3, IF($AP5-1 = 0,  ($AP5-1 + COUNT(variable_t)), $AP5-1)),
)</f>
        <v>7.5978151945999999</v>
      </c>
      <c r="X20" s="76" t="s">
        <v>34</v>
      </c>
      <c r="Y20" s="77" cm="1">
        <f t="array" ref="Y20">INDEX(NDit[], $AN$3, $AP5)</f>
        <v>7.5978152000000003</v>
      </c>
      <c r="Z20" s="76"/>
      <c r="AA20" s="75" cm="1">
        <f t="array" ref="AA20">SUM(SUM(
SUMPRODUCT(INDEX(Glasgow_PerC, $AR$3:$AR$5, $AN$4)*INDEX(TRit[], $AN$3, IF($AP5-$AR$3:$AR$5 &lt;= 0,  ($AP5-$AR$3:$AR$5 + COUNT(variable_t)), $AP5-$AR$3:$AR$5))),
SUMPRODUCT(INDEX(Manchester_PerC, $AR$3:$AR$5, $AN$4)*INDEX(TRit[], $AN$4, IF($AP5-$AR$3:$AR$5 &lt;= 0,  ($AP5-$AR$3:$AR$5 + COUNT(variable_t)), $AP5-$AR$3:$AR$5))),
SUMPRODUCT(INDEX(Birmingham_PerC, $AR$3:$AR$5, $AN$4)*INDEX(TRit[], $AN$5, IF($AP5-$AR$3:$AR$5 &lt;= 0,  ($AP5-$AR$3:$AR$5 + COUNT(variable_t)), $AP5-$AR$3:$AR$5))),
SUMPRODUCT(INDEX(Plymouth_PerC, $AR$3:$AR$5, $AN$4)*INDEX(TRit[], $AN$6, IF($AP5-$AR$3:$AR$5 &lt;= 0,  ($AP5-$AR$3:$AR$5 + COUNT(variable_t)), $AP5-$AR$3:$AR$5))))/100*
Damaged_CarsPerC/100,
SUM(
INDEX(TD1jt[],  $AN$4, IF($AP5-1 = 0,  ($AP5-1 + COUNT(variable_t)), $AP5-1)),
INDEX(TD2jt[],  $AN$4, IF($AP5-1 = 0,  ($AP5-1 + COUNT(variable_t)), $AP5-1)),
INDEX(TD3jt[],  $AN$4, IF($AP5-1 = 0,  ($AP5-1 + COUNT(variable_t)), $AP5-1)),
INDEX(TD4jt[],  $AN$4, IF($AP5-1 = 0,  ($AP5-1 + COUNT(variable_t)), $AP5-1))),
INDEX(EDit[], $AN$4, IF($AP5-1 = 0,  ($AP5-1 + COUNT(variable_t)), $AP5-1)),
)</f>
        <v>12.000000059399998</v>
      </c>
      <c r="AB20" s="76" t="s">
        <v>34</v>
      </c>
      <c r="AC20" s="77" cm="1">
        <f t="array" ref="AC20">INDEX(NDit[], $AN$4, $AP5)</f>
        <v>12</v>
      </c>
      <c r="AD20" s="76"/>
      <c r="AE20" s="75" cm="1">
        <f t="array" ref="AE20">SUM(SUM(
SUMPRODUCT(INDEX(Glasgow_PerC, $AR$3:$AR$5, $AN$5)*INDEX(TRit[], $AN$3, IF($AP5-$AR$3:$AR$5 &lt;= 0,  ($AP5-$AR$3:$AR$5 + COUNT(variable_t)), $AP5-$AR$3:$AR$5))),
SUMPRODUCT(INDEX(Manchester_PerC, $AR$3:$AR$5, $AN$5)*INDEX(TRit[], $AN$4, IF($AP5-$AR$3:$AR$5 &lt;= 0,  ($AP5-$AR$3:$AR$5 + COUNT(variable_t)), $AP5-$AR$3:$AR$5))),
SUMPRODUCT(INDEX(Birmingham_PerC, $AR$3:$AR$5, $AN$5)*INDEX(TRit[], $AN$5, IF($AP5-$AR$3:$AR$5 &lt;= 0,  ($AP5-$AR$3:$AR$5 + COUNT(variable_t)), $AP5-$AR$3:$AR$5))),
SUMPRODUCT(INDEX(Plymouth_PerC, $AR$3:$AR$5, $AN$5)*INDEX(TRit[], $AN$6, IF($AP5-$AR$3:$AR$5 &lt;= 0,  ($AP5-$AR$3:$AR$5 + COUNT(variable_t)), $AP5-$AR$3:$AR$5))))/100*
Damaged_CarsPerC/100,
SUM(
INDEX(TD1jt[],  $AN$5, IF($AP5-1 = 0,  ($AP5-1 + COUNT(variable_t)), $AP5-1)),
INDEX(TD2jt[],  $AN$5, IF($AP5-1 = 0,  ($AP5-1 + COUNT(variable_t)), $AP5-1)),
INDEX(TD3jt[],  $AN$5, IF($AP5-1 = 0,  ($AP5-1 + COUNT(variable_t)), $AP5-1)),
INDEX(TD4jt[],  $AN$5, IF($AP5-1 = 0,  ($AP5-1 + COUNT(variable_t)), $AP5-1))),
INDEX(EDit[], $AN$5, IF($AP5-1 = 0,  ($AP5-1 + COUNT(variable_t)), $AP5-1)),
)</f>
        <v>22.05951010615</v>
      </c>
      <c r="AF20" s="76" t="s">
        <v>34</v>
      </c>
      <c r="AG20" s="77" cm="1">
        <f t="array" ref="AG20">INDEX(NDit[], $AN$5, $AP5)</f>
        <v>22.05951</v>
      </c>
      <c r="AH20" s="76"/>
      <c r="AI20" s="75" cm="1">
        <f t="array" ref="AI20">SUM(SUM(
SUMPRODUCT(INDEX(Glasgow_PerC, $AR$3:$AR$5, $AN$6)*INDEX(TRit[], $AN$3, IF($AP5-$AR$3:$AR$5 &lt;= 0,  ($AP5-$AR$3:$AR$5 + COUNT(variable_t)), $AP5-$AR$3:$AR$5))),
SUMPRODUCT(INDEX(Manchester_PerC, $AR$3:$AR$5, $AN$6)*INDEX(TRit[], $AN$4, IF($AP5-$AR$3:$AR$5 &lt;= 0,  ($AP5-$AR$3:$AR$5 + COUNT(variable_t)), $AP5-$AR$3:$AR$5))),
SUMPRODUCT(INDEX(Birmingham_PerC, $AR$3:$AR$5, $AN$6)*INDEX(TRit[], $AN$5, IF($AP5-$AR$3:$AR$5 &lt;= 0,  ($AP5-$AR$3:$AR$5 + COUNT(variable_t)), $AP5-$AR$3:$AR$5))),
SUMPRODUCT(INDEX(Plymouth_PerC, $AR$3:$AR$5, $AN$6)*INDEX(TRit[], $AN$6, IF($AP5-$AR$3:$AR$5 &lt;= 0,  ($AP5-$AR$3:$AR$5 + COUNT(variable_t)), $AP5-$AR$3:$AR$5))))/100*
Damaged_CarsPerC/100,
SUM(
INDEX(TD1jt[],  $AN$6, IF($AP5-1 = 0,  ($AP5-1 + COUNT(variable_t)), $AP5-1)),
INDEX(TD2jt[],  $AN$6, IF($AP5-1 = 0,  ($AP5-1 + COUNT(variable_t)), $AP5-1)),
INDEX(TD3jt[],  $AN$6, IF($AP5-1 = 0,  ($AP5-1 + COUNT(variable_t)), $AP5-1)),
INDEX(TD4jt[],  $AN$6, IF($AP5-1 = 0,  ($AP5-1 + COUNT(variable_t)), $AP5-1))),
INDEX(EDit[], $AN$6, IF($AP5-1 = 0,  ($AP5-1 + COUNT(variable_t)), $AP5-1)),
)</f>
        <v>4.6466335848499991</v>
      </c>
      <c r="AJ20" s="76" t="s">
        <v>34</v>
      </c>
      <c r="AK20" s="77" cm="1">
        <f t="array" ref="AK20">INDEX(NDit[], $AN$6, $AP5)</f>
        <v>4.6466336000000004</v>
      </c>
      <c r="AL20" s="31"/>
    </row>
    <row r="21" spans="2:38" ht="15.95" customHeight="1" thickBot="1" x14ac:dyDescent="0.3">
      <c r="B21" s="32"/>
      <c r="C21" s="24" t="s">
        <v>9</v>
      </c>
      <c r="D21" s="22">
        <v>13.489356000000001</v>
      </c>
      <c r="E21" s="22">
        <v>12</v>
      </c>
      <c r="F21" s="22">
        <v>12</v>
      </c>
      <c r="G21" s="19">
        <v>13.391762999999999</v>
      </c>
      <c r="H21" s="19">
        <v>12</v>
      </c>
      <c r="I21" s="55">
        <v>17.885348</v>
      </c>
      <c r="J21" s="31"/>
      <c r="V21" s="32" t="s">
        <v>3</v>
      </c>
      <c r="W21" s="75" cm="1">
        <f t="array" ref="W21">SUM(SUM(
SUMPRODUCT(INDEX(Glasgow_PerC, $AR$3:$AR$5, $AN$3)*INDEX(TRit[], $AN$3, IF($AP6-$AR$3:$AR$5 &lt;= 0,  ($AP6-$AR$3:$AR$5 + COUNT(variable_t)), $AP6-$AR$3:$AR$5))),
SUMPRODUCT(INDEX(Manchester_PerC, $AR$3:$AR$5, $AN$3)*INDEX(TRit[], $AN$4, IF($AP6-$AR$3:$AR$5 &lt;= 0,  ($AP6-$AR$3:$AR$5 + COUNT(variable_t)), $AP6-$AR$3:$AR$5))),
SUMPRODUCT(INDEX(Birmingham_PerC, $AR$3:$AR$5, $AN$3)*INDEX(TRit[], $AN$5, IF($AP6-$AR$3:$AR$5 &lt;= 0,  ($AP6-$AR$3:$AR$5 + COUNT(variable_t)), $AP6-$AR$3:$AR$5))),
SUMPRODUCT(INDEX(Plymouth_PerC, $AR$3:$AR$5, $AN$3)*INDEX(TRit[], $AN$6, IF($AP6-$AR$3:$AR$5 &lt;= 0,  ($AP6-$AR$3:$AR$5 + COUNT(variable_t)), $AP6-$AR$3:$AR$5))))/100*
Damaged_CarsPerC/100,
SUM(
INDEX(TD1jt[],  $AN$3, IF($AP6-1 = 0,  ($AP6-1 + COUNT(variable_t)), $AP6-1)),
INDEX(TD2jt[],  $AN$3, IF($AP6-1 = 0,  ($AP6-1 + COUNT(variable_t)), $AP6-1)),
INDEX(TD3jt[],  $AN$3, IF($AP6-1 = 0,  ($AP6-1 + COUNT(variable_t)), $AP6-1)),
INDEX(TD4jt[],  $AN$3, IF($AP6-1 = 0,  ($AP6-1 + COUNT(variable_t)), $AP6-1))),
INDEX(EDit[], $AN$3, IF($AP6-1 = 0,  ($AP6-1 + COUNT(variable_t)), $AP6-1)),
)</f>
        <v>8.4682137926000003</v>
      </c>
      <c r="X21" s="76" t="s">
        <v>34</v>
      </c>
      <c r="Y21" s="77" cm="1">
        <f t="array" ref="Y21">INDEX(NDit[], $AN$3, $AP6)</f>
        <v>8.4682137999999991</v>
      </c>
      <c r="Z21" s="76"/>
      <c r="AA21" s="75" cm="1">
        <f t="array" ref="AA21">SUM(SUM(
SUMPRODUCT(INDEX(Glasgow_PerC, $AR$3:$AR$5, $AN$4)*INDEX(TRit[], $AN$3, IF($AP6-$AR$3:$AR$5 &lt;= 0,  ($AP6-$AR$3:$AR$5 + COUNT(variable_t)), $AP6-$AR$3:$AR$5))),
SUMPRODUCT(INDEX(Manchester_PerC, $AR$3:$AR$5, $AN$4)*INDEX(TRit[], $AN$4, IF($AP6-$AR$3:$AR$5 &lt;= 0,  ($AP6-$AR$3:$AR$5 + COUNT(variable_t)), $AP6-$AR$3:$AR$5))),
SUMPRODUCT(INDEX(Birmingham_PerC, $AR$3:$AR$5, $AN$4)*INDEX(TRit[], $AN$5, IF($AP6-$AR$3:$AR$5 &lt;= 0,  ($AP6-$AR$3:$AR$5 + COUNT(variable_t)), $AP6-$AR$3:$AR$5))),
SUMPRODUCT(INDEX(Plymouth_PerC, $AR$3:$AR$5, $AN$4)*INDEX(TRit[], $AN$6, IF($AP6-$AR$3:$AR$5 &lt;= 0,  ($AP6-$AR$3:$AR$5 + COUNT(variable_t)), $AP6-$AR$3:$AR$5))))/100*
Damaged_CarsPerC/100,
SUM(
INDEX(TD1jt[],  $AN$4, IF($AP6-1 = 0,  ($AP6-1 + COUNT(variable_t)), $AP6-1)),
INDEX(TD2jt[],  $AN$4, IF($AP6-1 = 0,  ($AP6-1 + COUNT(variable_t)), $AP6-1)),
INDEX(TD3jt[],  $AN$4, IF($AP6-1 = 0,  ($AP6-1 + COUNT(variable_t)), $AP6-1)),
INDEX(TD4jt[],  $AN$4, IF($AP6-1 = 0,  ($AP6-1 + COUNT(variable_t)), $AP6-1))),
INDEX(EDit[], $AN$4, IF($AP6-1 = 0,  ($AP6-1 + COUNT(variable_t)), $AP6-1)),
)</f>
        <v>13.391763359400001</v>
      </c>
      <c r="AB21" s="76" t="s">
        <v>34</v>
      </c>
      <c r="AC21" s="77" cm="1">
        <f t="array" ref="AC21">INDEX(NDit[], $AN$4, $AP6)</f>
        <v>13.391762999999999</v>
      </c>
      <c r="AD21" s="76"/>
      <c r="AE21" s="75" cm="1">
        <f t="array" ref="AE21">SUM(SUM(
SUMPRODUCT(INDEX(Glasgow_PerC, $AR$3:$AR$5, $AN$5)*INDEX(TRit[], $AN$3, IF($AP6-$AR$3:$AR$5 &lt;= 0,  ($AP6-$AR$3:$AR$5 + COUNT(variable_t)), $AP6-$AR$3:$AR$5))),
SUMPRODUCT(INDEX(Manchester_PerC, $AR$3:$AR$5, $AN$5)*INDEX(TRit[], $AN$4, IF($AP6-$AR$3:$AR$5 &lt;= 0,  ($AP6-$AR$3:$AR$5 + COUNT(variable_t)), $AP6-$AR$3:$AR$5))),
SUMPRODUCT(INDEX(Birmingham_PerC, $AR$3:$AR$5, $AN$5)*INDEX(TRit[], $AN$5, IF($AP6-$AR$3:$AR$5 &lt;= 0,  ($AP6-$AR$3:$AR$5 + COUNT(variable_t)), $AP6-$AR$3:$AR$5))),
SUMPRODUCT(INDEX(Plymouth_PerC, $AR$3:$AR$5, $AN$5)*INDEX(TRit[], $AN$6, IF($AP6-$AR$3:$AR$5 &lt;= 0,  ($AP6-$AR$3:$AR$5 + COUNT(variable_t)), $AP6-$AR$3:$AR$5))))/100*
Damaged_CarsPerC/100,
SUM(
INDEX(TD1jt[],  $AN$5, IF($AP6-1 = 0,  ($AP6-1 + COUNT(variable_t)), $AP6-1)),
INDEX(TD2jt[],  $AN$5, IF($AP6-1 = 0,  ($AP6-1 + COUNT(variable_t)), $AP6-1)),
INDEX(TD3jt[],  $AN$5, IF($AP6-1 = 0,  ($AP6-1 + COUNT(variable_t)), $AP6-1)),
INDEX(TD4jt[],  $AN$5, IF($AP6-1 = 0,  ($AP6-1 + COUNT(variable_t)), $AP6-1))),
INDEX(EDit[], $AN$5, IF($AP6-1 = 0,  ($AP6-1 + COUNT(variable_t)), $AP6-1)),
)</f>
        <v>22.726648527399998</v>
      </c>
      <c r="AF21" s="76" t="s">
        <v>34</v>
      </c>
      <c r="AG21" s="77" cm="1">
        <f t="array" ref="AG21">INDEX(NDit[], $AN$5, $AP6)</f>
        <v>22.726648999999998</v>
      </c>
      <c r="AH21" s="76"/>
      <c r="AI21" s="75" cm="1">
        <f t="array" ref="AI21">SUM(SUM(
SUMPRODUCT(INDEX(Glasgow_PerC, $AR$3:$AR$5, $AN$6)*INDEX(TRit[], $AN$3, IF($AP6-$AR$3:$AR$5 &lt;= 0,  ($AP6-$AR$3:$AR$5 + COUNT(variable_t)), $AP6-$AR$3:$AR$5))),
SUMPRODUCT(INDEX(Manchester_PerC, $AR$3:$AR$5, $AN$6)*INDEX(TRit[], $AN$4, IF($AP6-$AR$3:$AR$5 &lt;= 0,  ($AP6-$AR$3:$AR$5 + COUNT(variable_t)), $AP6-$AR$3:$AR$5))),
SUMPRODUCT(INDEX(Birmingham_PerC, $AR$3:$AR$5, $AN$6)*INDEX(TRit[], $AN$5, IF($AP6-$AR$3:$AR$5 &lt;= 0,  ($AP6-$AR$3:$AR$5 + COUNT(variable_t)), $AP6-$AR$3:$AR$5))),
SUMPRODUCT(INDEX(Plymouth_PerC, $AR$3:$AR$5, $AN$6)*INDEX(TRit[], $AN$6, IF($AP6-$AR$3:$AR$5 &lt;= 0,  ($AP6-$AR$3:$AR$5 + COUNT(variable_t)), $AP6-$AR$3:$AR$5))))/100*
Damaged_CarsPerC/100,
SUM(
INDEX(TD1jt[],  $AN$6, IF($AP6-1 = 0,  ($AP6-1 + COUNT(variable_t)), $AP6-1)),
INDEX(TD2jt[],  $AN$6, IF($AP6-1 = 0,  ($AP6-1 + COUNT(variable_t)), $AP6-1)),
INDEX(TD3jt[],  $AN$6, IF($AP6-1 = 0,  ($AP6-1 + COUNT(variable_t)), $AP6-1)),
INDEX(TD4jt[],  $AN$6, IF($AP6-1 = 0,  ($AP6-1 + COUNT(variable_t)), $AP6-1))),
INDEX(EDit[], $AN$6, IF($AP6-1 = 0,  ($AP6-1 + COUNT(variable_t)), $AP6-1)),
)</f>
        <v>5.2611610255999999</v>
      </c>
      <c r="AJ21" s="76" t="s">
        <v>34</v>
      </c>
      <c r="AK21" s="77" cm="1">
        <f t="array" ref="AK21">INDEX(NDit[], $AN$6, $AP6)</f>
        <v>5.2611610000000004</v>
      </c>
      <c r="AL21" s="31"/>
    </row>
    <row r="22" spans="2:38" ht="15.95" customHeight="1" thickBot="1" x14ac:dyDescent="0.3">
      <c r="B22" s="32"/>
      <c r="C22" s="24" t="s">
        <v>7</v>
      </c>
      <c r="D22" s="22">
        <v>21.660515</v>
      </c>
      <c r="E22" s="22">
        <v>20</v>
      </c>
      <c r="F22" s="22">
        <v>22.05951</v>
      </c>
      <c r="G22" s="19">
        <v>22.726648999999998</v>
      </c>
      <c r="H22" s="19">
        <v>27.921683000000002</v>
      </c>
      <c r="I22" s="55">
        <v>20</v>
      </c>
      <c r="J22" s="31"/>
      <c r="V22" s="32" t="s">
        <v>4</v>
      </c>
      <c r="W22" s="75" cm="1">
        <f t="array" ref="W22">SUM(SUM(
SUMPRODUCT(INDEX(Glasgow_PerC, $AR$3:$AR$5, $AN$3)*INDEX(TRit[], $AN$3, IF($AP7-$AR$3:$AR$5 &lt;= 0,  ($AP7-$AR$3:$AR$5 + COUNT(variable_t)), $AP7-$AR$3:$AR$5))),
SUMPRODUCT(INDEX(Manchester_PerC, $AR$3:$AR$5, $AN$3)*INDEX(TRit[], $AN$4, IF($AP7-$AR$3:$AR$5 &lt;= 0,  ($AP7-$AR$3:$AR$5 + COUNT(variable_t)), $AP7-$AR$3:$AR$5))),
SUMPRODUCT(INDEX(Birmingham_PerC, $AR$3:$AR$5, $AN$3)*INDEX(TRit[], $AN$5, IF($AP7-$AR$3:$AR$5 &lt;= 0,  ($AP7-$AR$3:$AR$5 + COUNT(variable_t)), $AP7-$AR$3:$AR$5))),
SUMPRODUCT(INDEX(Plymouth_PerC, $AR$3:$AR$5, $AN$3)*INDEX(TRit[], $AN$6, IF($AP7-$AR$3:$AR$5 &lt;= 0,  ($AP7-$AR$3:$AR$5 + COUNT(variable_t)), $AP7-$AR$3:$AR$5))))/100*
Damaged_CarsPerC/100,
SUM(
INDEX(TD1jt[],  $AN$3, IF($AP7-1 = 0,  ($AP7-1 + COUNT(variable_t)), $AP7-1)),
INDEX(TD2jt[],  $AN$3, IF($AP7-1 = 0,  ($AP7-1 + COUNT(variable_t)), $AP7-1)),
INDEX(TD3jt[],  $AN$3, IF($AP7-1 = 0,  ($AP7-1 + COUNT(variable_t)), $AP7-1)),
INDEX(TD4jt[],  $AN$3, IF($AP7-1 = 0,  ($AP7-1 + COUNT(variable_t)), $AP7-1))),
INDEX(EDit[], $AN$3, IF($AP7-1 = 0,  ($AP7-1 + COUNT(variable_t)), $AP7-1)),
)</f>
        <v>8.3362915658000016</v>
      </c>
      <c r="X22" s="76" t="s">
        <v>34</v>
      </c>
      <c r="Y22" s="77" cm="1">
        <f t="array" ref="Y22">INDEX(NDit[], $AN$3, $AP7)</f>
        <v>8.3362915999999991</v>
      </c>
      <c r="Z22" s="76"/>
      <c r="AA22" s="75" cm="1">
        <f t="array" ref="AA22">SUM(SUM(
SUMPRODUCT(INDEX(Glasgow_PerC, $AR$3:$AR$5, $AN$4)*INDEX(TRit[], $AN$3, IF($AP7-$AR$3:$AR$5 &lt;= 0,  ($AP7-$AR$3:$AR$5 + COUNT(variable_t)), $AP7-$AR$3:$AR$5))),
SUMPRODUCT(INDEX(Manchester_PerC, $AR$3:$AR$5, $AN$4)*INDEX(TRit[], $AN$4, IF($AP7-$AR$3:$AR$5 &lt;= 0,  ($AP7-$AR$3:$AR$5 + COUNT(variable_t)), $AP7-$AR$3:$AR$5))),
SUMPRODUCT(INDEX(Birmingham_PerC, $AR$3:$AR$5, $AN$4)*INDEX(TRit[], $AN$5, IF($AP7-$AR$3:$AR$5 &lt;= 0,  ($AP7-$AR$3:$AR$5 + COUNT(variable_t)), $AP7-$AR$3:$AR$5))),
SUMPRODUCT(INDEX(Plymouth_PerC, $AR$3:$AR$5, $AN$4)*INDEX(TRit[], $AN$6, IF($AP7-$AR$3:$AR$5 &lt;= 0,  ($AP7-$AR$3:$AR$5 + COUNT(variable_t)), $AP7-$AR$3:$AR$5))))/100*
Damaged_CarsPerC/100,
SUM(
INDEX(TD1jt[],  $AN$4, IF($AP7-1 = 0,  ($AP7-1 + COUNT(variable_t)), $AP7-1)),
INDEX(TD2jt[],  $AN$4, IF($AP7-1 = 0,  ($AP7-1 + COUNT(variable_t)), $AP7-1)),
INDEX(TD3jt[],  $AN$4, IF($AP7-1 = 0,  ($AP7-1 + COUNT(variable_t)), $AP7-1)),
INDEX(TD4jt[],  $AN$4, IF($AP7-1 = 0,  ($AP7-1 + COUNT(variable_t)), $AP7-1))),
INDEX(EDit[], $AN$4, IF($AP7-1 = 0,  ($AP7-1 + COUNT(variable_t)), $AP7-1)),
)</f>
        <v>12.000000009200001</v>
      </c>
      <c r="AB22" s="76" t="s">
        <v>34</v>
      </c>
      <c r="AC22" s="77" cm="1">
        <f t="array" ref="AC22">INDEX(NDit[], $AN$4, $AP7)</f>
        <v>12</v>
      </c>
      <c r="AD22" s="76"/>
      <c r="AE22" s="75" cm="1">
        <f t="array" ref="AE22">SUM(SUM(
SUMPRODUCT(INDEX(Glasgow_PerC, $AR$3:$AR$5, $AN$5)*INDEX(TRit[], $AN$3, IF($AP7-$AR$3:$AR$5 &lt;= 0,  ($AP7-$AR$3:$AR$5 + COUNT(variable_t)), $AP7-$AR$3:$AR$5))),
SUMPRODUCT(INDEX(Manchester_PerC, $AR$3:$AR$5, $AN$5)*INDEX(TRit[], $AN$4, IF($AP7-$AR$3:$AR$5 &lt;= 0,  ($AP7-$AR$3:$AR$5 + COUNT(variable_t)), $AP7-$AR$3:$AR$5))),
SUMPRODUCT(INDEX(Birmingham_PerC, $AR$3:$AR$5, $AN$5)*INDEX(TRit[], $AN$5, IF($AP7-$AR$3:$AR$5 &lt;= 0,  ($AP7-$AR$3:$AR$5 + COUNT(variable_t)), $AP7-$AR$3:$AR$5))),
SUMPRODUCT(INDEX(Plymouth_PerC, $AR$3:$AR$5, $AN$5)*INDEX(TRit[], $AN$6, IF($AP7-$AR$3:$AR$5 &lt;= 0,  ($AP7-$AR$3:$AR$5 + COUNT(variable_t)), $AP7-$AR$3:$AR$5))))/100*
Damaged_CarsPerC/100,
SUM(
INDEX(TD1jt[],  $AN$5, IF($AP7-1 = 0,  ($AP7-1 + COUNT(variable_t)), $AP7-1)),
INDEX(TD2jt[],  $AN$5, IF($AP7-1 = 0,  ($AP7-1 + COUNT(variable_t)), $AP7-1)),
INDEX(TD3jt[],  $AN$5, IF($AP7-1 = 0,  ($AP7-1 + COUNT(variable_t)), $AP7-1)),
INDEX(TD4jt[],  $AN$5, IF($AP7-1 = 0,  ($AP7-1 + COUNT(variable_t)), $AP7-1))),
INDEX(EDit[], $AN$5, IF($AP7-1 = 0,  ($AP7-1 + COUNT(variable_t)), $AP7-1)),
)</f>
        <v>27.921682481199998</v>
      </c>
      <c r="AF22" s="76" t="s">
        <v>34</v>
      </c>
      <c r="AG22" s="77" cm="1">
        <f t="array" ref="AG22">INDEX(NDit[], $AN$5, $AP7)</f>
        <v>27.921683000000002</v>
      </c>
      <c r="AH22" s="76"/>
      <c r="AI22" s="75" cm="1">
        <f t="array" ref="AI22">SUM(SUM(
SUMPRODUCT(INDEX(Glasgow_PerC, $AR$3:$AR$5, $AN$6)*INDEX(TRit[], $AN$3, IF($AP7-$AR$3:$AR$5 &lt;= 0,  ($AP7-$AR$3:$AR$5 + COUNT(variable_t)), $AP7-$AR$3:$AR$5))),
SUMPRODUCT(INDEX(Manchester_PerC, $AR$3:$AR$5, $AN$6)*INDEX(TRit[], $AN$4, IF($AP7-$AR$3:$AR$5 &lt;= 0,  ($AP7-$AR$3:$AR$5 + COUNT(variable_t)), $AP7-$AR$3:$AR$5))),
SUMPRODUCT(INDEX(Birmingham_PerC, $AR$3:$AR$5, $AN$6)*INDEX(TRit[], $AN$5, IF($AP7-$AR$3:$AR$5 &lt;= 0,  ($AP7-$AR$3:$AR$5 + COUNT(variable_t)), $AP7-$AR$3:$AR$5))),
SUMPRODUCT(INDEX(Plymouth_PerC, $AR$3:$AR$5, $AN$6)*INDEX(TRit[], $AN$6, IF($AP7-$AR$3:$AR$5 &lt;= 0,  ($AP7-$AR$3:$AR$5 + COUNT(variable_t)), $AP7-$AR$3:$AR$5))))/100*
Damaged_CarsPerC/100,
SUM(
INDEX(TD1jt[],  $AN$6, IF($AP7-1 = 0,  ($AP7-1 + COUNT(variable_t)), $AP7-1)),
INDEX(TD2jt[],  $AN$6, IF($AP7-1 = 0,  ($AP7-1 + COUNT(variable_t)), $AP7-1)),
INDEX(TD3jt[],  $AN$6, IF($AP7-1 = 0,  ($AP7-1 + COUNT(variable_t)), $AP7-1)),
INDEX(TD4jt[],  $AN$6, IF($AP7-1 = 0,  ($AP7-1 + COUNT(variable_t)), $AP7-1))),
INDEX(EDit[], $AN$6, IF($AP7-1 = 0,  ($AP7-1 + COUNT(variable_t)), $AP7-1)),
)</f>
        <v>5.0852582888000004</v>
      </c>
      <c r="AJ22" s="76" t="s">
        <v>34</v>
      </c>
      <c r="AK22" s="77" cm="1">
        <f t="array" ref="AK22">INDEX(NDit[], $AN$6, $AP7)</f>
        <v>5.0852582999999996</v>
      </c>
      <c r="AL22" s="31"/>
    </row>
    <row r="23" spans="2:38" ht="15.95" customHeight="1" thickBot="1" x14ac:dyDescent="0.3">
      <c r="B23" s="32"/>
      <c r="C23" s="25" t="s">
        <v>8</v>
      </c>
      <c r="D23" s="57">
        <v>3.0119224999999998</v>
      </c>
      <c r="E23" s="57">
        <v>5.0153335999999999</v>
      </c>
      <c r="F23" s="57">
        <v>4.6466336000000004</v>
      </c>
      <c r="G23" s="58">
        <v>5.2611610000000004</v>
      </c>
      <c r="H23" s="58">
        <v>5.0852582999999996</v>
      </c>
      <c r="I23" s="59">
        <v>7.1292970999999996</v>
      </c>
      <c r="J23" s="31"/>
      <c r="V23" s="32" t="s">
        <v>5</v>
      </c>
      <c r="W23" s="75" cm="1">
        <f t="array" ref="W23">SUM(SUM(
SUMPRODUCT(INDEX(Glasgow_PerC, $AR$3:$AR$5, $AN$3)*INDEX(TRit[], $AN$3, IF($AP8-$AR$3:$AR$5 &lt;= 0,  ($AP8-$AR$3:$AR$5 + COUNT(variable_t)), $AP8-$AR$3:$AR$5))),
SUMPRODUCT(INDEX(Manchester_PerC, $AR$3:$AR$5, $AN$3)*INDEX(TRit[], $AN$4, IF($AP8-$AR$3:$AR$5 &lt;= 0,  ($AP8-$AR$3:$AR$5 + COUNT(variable_t)), $AP8-$AR$3:$AR$5))),
SUMPRODUCT(INDEX(Birmingham_PerC, $AR$3:$AR$5, $AN$3)*INDEX(TRit[], $AN$5, IF($AP8-$AR$3:$AR$5 &lt;= 0,  ($AP8-$AR$3:$AR$5 + COUNT(variable_t)), $AP8-$AR$3:$AR$5))),
SUMPRODUCT(INDEX(Plymouth_PerC, $AR$3:$AR$5, $AN$3)*INDEX(TRit[], $AN$6, IF($AP8-$AR$3:$AR$5 &lt;= 0,  ($AP8-$AR$3:$AR$5 + COUNT(variable_t)), $AP8-$AR$3:$AR$5))))/100*
Damaged_CarsPerC/100,
SUM(
INDEX(TD1jt[],  $AN$3, IF($AP8-1 = 0,  ($AP8-1 + COUNT(variable_t)), $AP8-1)),
INDEX(TD2jt[],  $AN$3, IF($AP8-1 = 0,  ($AP8-1 + COUNT(variable_t)), $AP8-1)),
INDEX(TD3jt[],  $AN$3, IF($AP8-1 = 0,  ($AP8-1 + COUNT(variable_t)), $AP8-1)),
INDEX(TD4jt[],  $AN$3, IF($AP8-1 = 0,  ($AP8-1 + COUNT(variable_t)), $AP8-1))),
INDEX(EDit[], $AN$3, IF($AP8-1 = 0,  ($AP8-1 + COUNT(variable_t)), $AP8-1)),
)</f>
        <v>7.7025243498999991</v>
      </c>
      <c r="X23" s="76" t="s">
        <v>34</v>
      </c>
      <c r="Y23" s="77" cm="1">
        <f t="array" ref="Y23">INDEX(NDit[], $AN$3, $AP8)</f>
        <v>7.7025243999999997</v>
      </c>
      <c r="Z23" s="76"/>
      <c r="AA23" s="75" cm="1">
        <f t="array" ref="AA23">SUM(SUM(
SUMPRODUCT(INDEX(Glasgow_PerC, $AR$3:$AR$5, $AN$4)*INDEX(TRit[], $AN$3, IF($AP8-$AR$3:$AR$5 &lt;= 0,  ($AP8-$AR$3:$AR$5 + COUNT(variable_t)), $AP8-$AR$3:$AR$5))),
SUMPRODUCT(INDEX(Manchester_PerC, $AR$3:$AR$5, $AN$4)*INDEX(TRit[], $AN$4, IF($AP8-$AR$3:$AR$5 &lt;= 0,  ($AP8-$AR$3:$AR$5 + COUNT(variable_t)), $AP8-$AR$3:$AR$5))),
SUMPRODUCT(INDEX(Birmingham_PerC, $AR$3:$AR$5, $AN$4)*INDEX(TRit[], $AN$5, IF($AP8-$AR$3:$AR$5 &lt;= 0,  ($AP8-$AR$3:$AR$5 + COUNT(variable_t)), $AP8-$AR$3:$AR$5))),
SUMPRODUCT(INDEX(Plymouth_PerC, $AR$3:$AR$5, $AN$4)*INDEX(TRit[], $AN$6, IF($AP8-$AR$3:$AR$5 &lt;= 0,  ($AP8-$AR$3:$AR$5 + COUNT(variable_t)), $AP8-$AR$3:$AR$5))))/100*
Damaged_CarsPerC/100,
SUM(
INDEX(TD1jt[],  $AN$4, IF($AP8-1 = 0,  ($AP8-1 + COUNT(variable_t)), $AP8-1)),
INDEX(TD2jt[],  $AN$4, IF($AP8-1 = 0,  ($AP8-1 + COUNT(variable_t)), $AP8-1)),
INDEX(TD3jt[],  $AN$4, IF($AP8-1 = 0,  ($AP8-1 + COUNT(variable_t)), $AP8-1)),
INDEX(TD4jt[],  $AN$4, IF($AP8-1 = 0,  ($AP8-1 + COUNT(variable_t)), $AP8-1))),
INDEX(EDit[], $AN$4, IF($AP8-1 = 0,  ($AP8-1 + COUNT(variable_t)), $AP8-1)),
)</f>
        <v>17.885348386099999</v>
      </c>
      <c r="AB23" s="76" t="s">
        <v>34</v>
      </c>
      <c r="AC23" s="77" cm="1">
        <f t="array" ref="AC23">INDEX(NDit[], $AN$4, $AP8)</f>
        <v>17.885348</v>
      </c>
      <c r="AD23" s="76"/>
      <c r="AE23" s="75" cm="1">
        <f t="array" ref="AE23">SUM(SUM(
SUMPRODUCT(INDEX(Glasgow_PerC, $AR$3:$AR$5, $AN$5)*INDEX(TRit[], $AN$3, IF($AP8-$AR$3:$AR$5 &lt;= 0,  ($AP8-$AR$3:$AR$5 + COUNT(variable_t)), $AP8-$AR$3:$AR$5))),
SUMPRODUCT(INDEX(Manchester_PerC, $AR$3:$AR$5, $AN$5)*INDEX(TRit[], $AN$4, IF($AP8-$AR$3:$AR$5 &lt;= 0,  ($AP8-$AR$3:$AR$5 + COUNT(variable_t)), $AP8-$AR$3:$AR$5))),
SUMPRODUCT(INDEX(Birmingham_PerC, $AR$3:$AR$5, $AN$5)*INDEX(TRit[], $AN$5, IF($AP8-$AR$3:$AR$5 &lt;= 0,  ($AP8-$AR$3:$AR$5 + COUNT(variable_t)), $AP8-$AR$3:$AR$5))),
SUMPRODUCT(INDEX(Plymouth_PerC, $AR$3:$AR$5, $AN$5)*INDEX(TRit[], $AN$6, IF($AP8-$AR$3:$AR$5 &lt;= 0,  ($AP8-$AR$3:$AR$5 + COUNT(variable_t)), $AP8-$AR$3:$AR$5))))/100*
Damaged_CarsPerC/100,
SUM(
INDEX(TD1jt[],  $AN$5, IF($AP8-1 = 0,  ($AP8-1 + COUNT(variable_t)), $AP8-1)),
INDEX(TD2jt[],  $AN$5, IF($AP8-1 = 0,  ($AP8-1 + COUNT(variable_t)), $AP8-1)),
INDEX(TD3jt[],  $AN$5, IF($AP8-1 = 0,  ($AP8-1 + COUNT(variable_t)), $AP8-1)),
INDEX(TD4jt[],  $AN$5, IF($AP8-1 = 0,  ($AP8-1 + COUNT(variable_t)), $AP8-1))),
INDEX(EDit[], $AN$5, IF($AP8-1 = 0,  ($AP8-1 + COUNT(variable_t)), $AP8-1)),
)</f>
        <v>20.000000079349999</v>
      </c>
      <c r="AF23" s="76" t="s">
        <v>34</v>
      </c>
      <c r="AG23" s="77" cm="1">
        <f t="array" ref="AG23">INDEX(NDit[], $AN$5, $AP8)</f>
        <v>20</v>
      </c>
      <c r="AH23" s="76"/>
      <c r="AI23" s="75" cm="1">
        <f t="array" ref="AI23">SUM(SUM(
SUMPRODUCT(INDEX(Glasgow_PerC, $AR$3:$AR$5, $AN$6)*INDEX(TRit[], $AN$3, IF($AP8-$AR$3:$AR$5 &lt;= 0,  ($AP8-$AR$3:$AR$5 + COUNT(variable_t)), $AP8-$AR$3:$AR$5))),
SUMPRODUCT(INDEX(Manchester_PerC, $AR$3:$AR$5, $AN$6)*INDEX(TRit[], $AN$4, IF($AP8-$AR$3:$AR$5 &lt;= 0,  ($AP8-$AR$3:$AR$5 + COUNT(variable_t)), $AP8-$AR$3:$AR$5))),
SUMPRODUCT(INDEX(Birmingham_PerC, $AR$3:$AR$5, $AN$6)*INDEX(TRit[], $AN$5, IF($AP8-$AR$3:$AR$5 &lt;= 0,  ($AP8-$AR$3:$AR$5 + COUNT(variable_t)), $AP8-$AR$3:$AR$5))),
SUMPRODUCT(INDEX(Plymouth_PerC, $AR$3:$AR$5, $AN$6)*INDEX(TRit[], $AN$6, IF($AP8-$AR$3:$AR$5 &lt;= 0,  ($AP8-$AR$3:$AR$5 + COUNT(variable_t)), $AP8-$AR$3:$AR$5))))/100*
Damaged_CarsPerC/100,
SUM(
INDEX(TD1jt[],  $AN$6, IF($AP8-1 = 0,  ($AP8-1 + COUNT(variable_t)), $AP8-1)),
INDEX(TD2jt[],  $AN$6, IF($AP8-1 = 0,  ($AP8-1 + COUNT(variable_t)), $AP8-1)),
INDEX(TD3jt[],  $AN$6, IF($AP8-1 = 0,  ($AP8-1 + COUNT(variable_t)), $AP8-1)),
INDEX(TD4jt[],  $AN$6, IF($AP8-1 = 0,  ($AP8-1 + COUNT(variable_t)), $AP8-1))),
INDEX(EDit[], $AN$6, IF($AP8-1 = 0,  ($AP8-1 + COUNT(variable_t)), $AP8-1)),
)</f>
        <v>7.1292970646500002</v>
      </c>
      <c r="AJ23" s="76" t="s">
        <v>34</v>
      </c>
      <c r="AK23" s="77" cm="1">
        <f t="array" ref="AK23">INDEX(NDit[], $AN$6, $AP8)</f>
        <v>7.1292970999999996</v>
      </c>
      <c r="AL23" s="31"/>
    </row>
    <row r="24" spans="2:38" ht="15.95" customHeight="1" thickBot="1" x14ac:dyDescent="0.3">
      <c r="B24" s="33"/>
      <c r="C24" s="26"/>
      <c r="D24" s="26"/>
      <c r="E24" s="26"/>
      <c r="F24" s="26"/>
      <c r="G24" s="26"/>
      <c r="H24" s="26"/>
      <c r="I24" s="26"/>
      <c r="J24" s="34"/>
      <c r="V24" s="33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34"/>
    </row>
    <row r="25" spans="2:38" ht="15.95" customHeight="1" thickTop="1" thickBot="1" x14ac:dyDescent="0.3"/>
    <row r="26" spans="2:38" ht="15.95" customHeight="1" thickTop="1" thickBot="1" x14ac:dyDescent="0.3">
      <c r="B26" s="27"/>
      <c r="C26" s="28"/>
      <c r="D26" s="28"/>
      <c r="E26" s="28"/>
      <c r="F26" s="28"/>
      <c r="G26" s="28"/>
      <c r="H26" s="28"/>
      <c r="I26" s="28"/>
      <c r="J26" s="29"/>
      <c r="V26" s="27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9"/>
    </row>
    <row r="27" spans="2:38" ht="26.25" thickBot="1" x14ac:dyDescent="0.3">
      <c r="B27" s="30"/>
      <c r="C27" s="36" t="s">
        <v>44</v>
      </c>
      <c r="D27" s="45" t="s">
        <v>0</v>
      </c>
      <c r="E27" s="45" t="s">
        <v>1</v>
      </c>
      <c r="F27" s="45" t="s">
        <v>2</v>
      </c>
      <c r="G27" s="46" t="s">
        <v>3</v>
      </c>
      <c r="H27" s="45" t="s">
        <v>4</v>
      </c>
      <c r="I27" s="56" t="s">
        <v>5</v>
      </c>
      <c r="J27" s="31"/>
      <c r="V27" s="32"/>
      <c r="W27" s="149" t="s">
        <v>43</v>
      </c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31"/>
    </row>
    <row r="28" spans="2:38" ht="15.95" customHeight="1" thickBot="1" x14ac:dyDescent="0.3">
      <c r="B28" s="32"/>
      <c r="C28" s="23" t="s">
        <v>6</v>
      </c>
      <c r="D28" s="21">
        <v>100</v>
      </c>
      <c r="E28" s="21">
        <v>73.786254999999997</v>
      </c>
      <c r="F28" s="21">
        <v>68.380336999999997</v>
      </c>
      <c r="G28" s="20">
        <v>76.213924000000006</v>
      </c>
      <c r="H28" s="20">
        <v>75.026623999999998</v>
      </c>
      <c r="I28" s="54">
        <v>15.856407000000001</v>
      </c>
      <c r="J28" s="31"/>
      <c r="V28" s="32"/>
      <c r="W28" s="135"/>
      <c r="AL28" s="31"/>
    </row>
    <row r="29" spans="2:38" ht="15.95" customHeight="1" thickBot="1" x14ac:dyDescent="0.3">
      <c r="B29" s="32"/>
      <c r="C29" s="24" t="s">
        <v>9</v>
      </c>
      <c r="D29" s="22">
        <v>165.65248</v>
      </c>
      <c r="E29" s="22">
        <v>106.5958</v>
      </c>
      <c r="F29" s="22">
        <v>80</v>
      </c>
      <c r="G29" s="19">
        <v>123.73838000000001</v>
      </c>
      <c r="H29" s="19">
        <v>107.47413</v>
      </c>
      <c r="I29" s="55">
        <v>0</v>
      </c>
      <c r="J29" s="31"/>
      <c r="V29" s="32"/>
      <c r="W29" s="150" t="s">
        <v>6</v>
      </c>
      <c r="X29" s="150"/>
      <c r="Y29" s="150"/>
      <c r="AA29" s="151" t="s">
        <v>9</v>
      </c>
      <c r="AB29" s="151"/>
      <c r="AC29" s="151"/>
      <c r="AE29" s="151" t="s">
        <v>7</v>
      </c>
      <c r="AF29" s="151"/>
      <c r="AG29" s="151"/>
      <c r="AI29" s="151" t="s">
        <v>8</v>
      </c>
      <c r="AJ29" s="151"/>
      <c r="AK29" s="151"/>
      <c r="AL29" s="31"/>
    </row>
    <row r="30" spans="2:38" ht="15.95" customHeight="1" thickBot="1" x14ac:dyDescent="0.3">
      <c r="B30" s="32"/>
      <c r="C30" s="24" t="s">
        <v>7</v>
      </c>
      <c r="D30" s="22">
        <v>95</v>
      </c>
      <c r="E30" s="22">
        <v>156.3313</v>
      </c>
      <c r="F30" s="22">
        <v>121.92547999999999</v>
      </c>
      <c r="G30" s="19">
        <v>111</v>
      </c>
      <c r="H30" s="19">
        <v>70</v>
      </c>
      <c r="I30" s="55">
        <v>124</v>
      </c>
      <c r="J30" s="31"/>
      <c r="V30" s="32" t="s">
        <v>0</v>
      </c>
      <c r="W30" s="75" cm="1">
        <f t="array" ref="W30">SUM(INDEX(TRit[], $AN$3, $AP3), SUM(INDEX(TU1jt[], $AN$3:$AN$6, $AP3)), INDEX(EUit[], $AN$3, $AP3))</f>
        <v>100</v>
      </c>
      <c r="X30" s="76" t="s">
        <v>34</v>
      </c>
      <c r="Y30" s="77" cm="1">
        <f t="array" ref="Y30">INDEX(NUit[], $AN$3, $AP3)</f>
        <v>100</v>
      </c>
      <c r="Z30" s="76"/>
      <c r="AA30" s="75" cm="1">
        <f t="array" ref="AA30">SUM(INDEX(TRit[], $AN$4, $AP3), SUM(INDEX(TU2jt[], $AN$3:$AN$6, $AP3)), INDEX(EUit[], $AN$4, $AP3))</f>
        <v>165.65248</v>
      </c>
      <c r="AB30" s="76" t="s">
        <v>34</v>
      </c>
      <c r="AC30" s="77" cm="1">
        <f t="array" ref="AC30">INDEX(NUit[], $AN$4, $AP3)</f>
        <v>165.65248</v>
      </c>
      <c r="AD30" s="76"/>
      <c r="AE30" s="75" cm="1">
        <f t="array" ref="AE30">SUM(INDEX(TRit[], $AN$5, $AP3), SUM(INDEX(TU3jt[], $AN$3:$AN$6, $AP3)), INDEX(EUit[], $AN$5, $AP3))</f>
        <v>139.916921</v>
      </c>
      <c r="AF30" s="76" t="s">
        <v>34</v>
      </c>
      <c r="AG30" s="77" cm="1">
        <f t="array" ref="AG30">INDEX(NUit[], $AN$5, $AP3)</f>
        <v>139.91692</v>
      </c>
      <c r="AH30" s="76"/>
      <c r="AI30" s="75" cm="1">
        <f t="array" ref="AI30">SUM(INDEX(TRit[], $AN$6, $AP3), SUM(INDEX(TU4jt[], $AN$3:$AN$6, $AP3)), INDEX(EUit[], $AN$6, $AP3))</f>
        <v>68.943404000000001</v>
      </c>
      <c r="AJ30" s="76" t="s">
        <v>34</v>
      </c>
      <c r="AK30" s="77" cm="1">
        <f t="array" ref="AK30">INDEX(NUit[], $AN$6, $AP3)</f>
        <v>68.943404000000001</v>
      </c>
      <c r="AL30" s="31"/>
    </row>
    <row r="31" spans="2:38" ht="15.95" customHeight="1" thickBot="1" x14ac:dyDescent="0.3">
      <c r="B31" s="32"/>
      <c r="C31" s="25" t="s">
        <v>8</v>
      </c>
      <c r="D31" s="57">
        <v>68.943404000000001</v>
      </c>
      <c r="E31" s="57">
        <v>45.138002999999998</v>
      </c>
      <c r="F31" s="57">
        <v>41.819701999999999</v>
      </c>
      <c r="G31" s="58">
        <v>47.350448999999998</v>
      </c>
      <c r="H31" s="58">
        <v>45.767325</v>
      </c>
      <c r="I31" s="59">
        <v>0</v>
      </c>
      <c r="J31" s="31"/>
      <c r="V31" s="32" t="s">
        <v>1</v>
      </c>
      <c r="W31" s="75" cm="1">
        <f t="array" ref="W31">SUM(INDEX(TRit[], $AN$3, $AP4), SUM(INDEX(TU1jt[], $AN$3:$AN$6, $AP4)), INDEX(EUit[], $AN$3, $AP4))</f>
        <v>73.786254999999997</v>
      </c>
      <c r="X31" s="76" t="s">
        <v>34</v>
      </c>
      <c r="Y31" s="77" cm="1">
        <f t="array" ref="Y31">INDEX(NUit[], $AN$3, $AP4)</f>
        <v>73.786254999999997</v>
      </c>
      <c r="Z31" s="76"/>
      <c r="AA31" s="75" cm="1">
        <f t="array" ref="AA31">SUM(INDEX(TRit[], $AN$4, $AP4), SUM(INDEX(TU2jt[], $AN$3:$AN$6, $AP4)), INDEX(EUit[], $AN$4, $AP4))</f>
        <v>106.5958</v>
      </c>
      <c r="AB31" s="76" t="s">
        <v>34</v>
      </c>
      <c r="AC31" s="77" cm="1">
        <f t="array" ref="AC31">INDEX(NUit[], $AN$4, $AP4)</f>
        <v>106.5958</v>
      </c>
      <c r="AD31" s="76"/>
      <c r="AE31" s="75" cm="1">
        <f t="array" ref="AE31">SUM(INDEX(TRit[], $AN$5, $AP4), SUM(INDEX(TU3jt[], $AN$3:$AN$6, $AP4)), INDEX(EUit[], $AN$5, $AP4))</f>
        <v>156.3313</v>
      </c>
      <c r="AF31" s="76" t="s">
        <v>34</v>
      </c>
      <c r="AG31" s="77" cm="1">
        <f t="array" ref="AG31">INDEX(NUit[], $AN$5, $AP4)</f>
        <v>156.3313</v>
      </c>
      <c r="AH31" s="76"/>
      <c r="AI31" s="75" cm="1">
        <f t="array" ref="AI31">SUM(INDEX(TRit[], $AN$6, $AP4), SUM(INDEX(TU4jt[], $AN$3:$AN$6, $AP4)), INDEX(EUit[], $AN$6, $AP4))</f>
        <v>45.138002999999998</v>
      </c>
      <c r="AJ31" s="76" t="s">
        <v>34</v>
      </c>
      <c r="AK31" s="77" cm="1">
        <f t="array" ref="AK31">INDEX(NUit[], $AN$6, $AP4)</f>
        <v>45.138002999999998</v>
      </c>
      <c r="AL31" s="31"/>
    </row>
    <row r="32" spans="2:38" ht="15.95" customHeight="1" thickBot="1" x14ac:dyDescent="0.3">
      <c r="B32" s="33"/>
      <c r="C32" s="26"/>
      <c r="D32" s="26"/>
      <c r="E32" s="26"/>
      <c r="F32" s="26"/>
      <c r="G32" s="26"/>
      <c r="H32" s="26"/>
      <c r="I32" s="26"/>
      <c r="J32" s="34"/>
      <c r="V32" s="32" t="s">
        <v>2</v>
      </c>
      <c r="W32" s="75" cm="1">
        <f t="array" ref="W32">SUM(INDEX(TRit[], $AN$3, $AP5), SUM(INDEX(TU1jt[], $AN$3:$AN$6, $AP5)), INDEX(EUit[], $AN$3, $AP5))</f>
        <v>68.380336999999997</v>
      </c>
      <c r="X32" s="76" t="s">
        <v>34</v>
      </c>
      <c r="Y32" s="77" cm="1">
        <f t="array" ref="Y32">INDEX(NUit[], $AN$3, $AP5)</f>
        <v>68.380336999999997</v>
      </c>
      <c r="Z32" s="76"/>
      <c r="AA32" s="75" cm="1">
        <f t="array" ref="AA32">SUM(INDEX(TRit[], $AN$4, $AP5), SUM(INDEX(TU2jt[], $AN$3:$AN$6, $AP5)), INDEX(EUit[], $AN$4, $AP5))</f>
        <v>97.685851999999997</v>
      </c>
      <c r="AB32" s="76" t="s">
        <v>34</v>
      </c>
      <c r="AC32" s="77" cm="1">
        <f t="array" ref="AC32">INDEX(NUit[], $AN$4, $AP5)</f>
        <v>97.685851999999997</v>
      </c>
      <c r="AD32" s="76"/>
      <c r="AE32" s="75" cm="1">
        <f t="array" ref="AE32">SUM(INDEX(TRit[], $AN$5, $AP5), SUM(INDEX(TU3jt[], $AN$3:$AN$6, $AP5)), INDEX(EUit[], $AN$5, $AP5))</f>
        <v>121.92547999999999</v>
      </c>
      <c r="AF32" s="76" t="s">
        <v>34</v>
      </c>
      <c r="AG32" s="77" cm="1">
        <f t="array" ref="AG32">INDEX(NUit[], $AN$5, $AP5)</f>
        <v>121.92547999999999</v>
      </c>
      <c r="AH32" s="76"/>
      <c r="AI32" s="75" cm="1">
        <f t="array" ref="AI32">SUM(INDEX(TRit[], $AN$6, $AP5), SUM(INDEX(TU4jt[], $AN$3:$AN$6, $AP5)), INDEX(EUit[], $AN$6, $AP5))</f>
        <v>41.819701999999999</v>
      </c>
      <c r="AJ32" s="76" t="s">
        <v>34</v>
      </c>
      <c r="AK32" s="77" cm="1">
        <f t="array" ref="AK32">INDEX(NUit[], $AN$6, $AP5)</f>
        <v>41.819701999999999</v>
      </c>
      <c r="AL32" s="31"/>
    </row>
    <row r="33" spans="2:38" ht="15.95" customHeight="1" thickTop="1" thickBot="1" x14ac:dyDescent="0.3">
      <c r="V33" s="32" t="s">
        <v>3</v>
      </c>
      <c r="W33" s="75" cm="1">
        <f t="array" ref="W33">SUM(INDEX(TRit[], $AN$3, $AP6), SUM(INDEX(TU1jt[], $AN$3:$AN$6, $AP6)), INDEX(EUit[], $AN$3, $AP6))</f>
        <v>76.213924000000006</v>
      </c>
      <c r="X33" s="76" t="s">
        <v>34</v>
      </c>
      <c r="Y33" s="77" cm="1">
        <f t="array" ref="Y33">INDEX(NUit[], $AN$3, $AP6)</f>
        <v>76.213924000000006</v>
      </c>
      <c r="Z33" s="76"/>
      <c r="AA33" s="75" cm="1">
        <f t="array" ref="AA33">SUM(INDEX(TRit[], $AN$4, $AP6), SUM(INDEX(TU2jt[], $AN$3:$AN$6, $AP6)), INDEX(EUit[], $AN$4, $AP6))</f>
        <v>123.73838000000001</v>
      </c>
      <c r="AB33" s="76" t="s">
        <v>34</v>
      </c>
      <c r="AC33" s="77" cm="1">
        <f t="array" ref="AC33">INDEX(NUit[], $AN$4, $AP6)</f>
        <v>123.73838000000001</v>
      </c>
      <c r="AD33" s="76"/>
      <c r="AE33" s="75" cm="1">
        <f t="array" ref="AE33">SUM(INDEX(TRit[], $AN$5, $AP6), SUM(INDEX(TU3jt[], $AN$3:$AN$6, $AP6)), INDEX(EUit[], $AN$5, $AP6))</f>
        <v>122.277547</v>
      </c>
      <c r="AF33" s="76" t="s">
        <v>34</v>
      </c>
      <c r="AG33" s="77" cm="1">
        <f t="array" ref="AG33">INDEX(NUit[], $AN$5, $AP6)</f>
        <v>122.27755000000001</v>
      </c>
      <c r="AH33" s="76"/>
      <c r="AI33" s="75" cm="1">
        <f t="array" ref="AI33">SUM(INDEX(TRit[], $AN$6, $AP6), SUM(INDEX(TU4jt[], $AN$3:$AN$6, $AP6)), INDEX(EUit[], $AN$6, $AP6))</f>
        <v>47.350448999999998</v>
      </c>
      <c r="AJ33" s="76" t="s">
        <v>34</v>
      </c>
      <c r="AK33" s="77" cm="1">
        <f t="array" ref="AK33">INDEX(NUit[], $AN$6, $AP6)</f>
        <v>47.350448999999998</v>
      </c>
      <c r="AL33" s="31"/>
    </row>
    <row r="34" spans="2:38" ht="15.95" customHeight="1" thickTop="1" thickBot="1" x14ac:dyDescent="0.3">
      <c r="B34" s="27"/>
      <c r="C34" s="28"/>
      <c r="D34" s="28"/>
      <c r="E34" s="28"/>
      <c r="F34" s="28"/>
      <c r="G34" s="28"/>
      <c r="H34" s="28"/>
      <c r="I34" s="28"/>
      <c r="J34" s="29"/>
      <c r="V34" s="32" t="s">
        <v>4</v>
      </c>
      <c r="W34" s="75" cm="1">
        <f t="array" ref="W34">SUM(INDEX(TRit[], $AN$3, $AP7), SUM(INDEX(TU1jt[], $AN$3:$AN$6, $AP7)), INDEX(EUit[], $AN$3, $AP7))</f>
        <v>75.026623999999998</v>
      </c>
      <c r="X34" s="76" t="s">
        <v>34</v>
      </c>
      <c r="Y34" s="77" cm="1">
        <f t="array" ref="Y34">INDEX(NUit[], $AN$3, $AP7)</f>
        <v>75.026623999999998</v>
      </c>
      <c r="Z34" s="76"/>
      <c r="AA34" s="75" cm="1">
        <f t="array" ref="AA34">SUM(INDEX(TRit[], $AN$4, $AP7), SUM(INDEX(TU2jt[], $AN$3:$AN$6, $AP7)), INDEX(EUit[], $AN$4, $AP7))</f>
        <v>107.47413</v>
      </c>
      <c r="AB34" s="76" t="s">
        <v>34</v>
      </c>
      <c r="AC34" s="77" cm="1">
        <f t="array" ref="AC34">INDEX(NUit[], $AN$4, $AP7)</f>
        <v>107.47413</v>
      </c>
      <c r="AD34" s="76"/>
      <c r="AE34" s="75" cm="1">
        <f t="array" ref="AE34">SUM(INDEX(TRit[], $AN$5, $AP7), SUM(INDEX(TU3jt[], $AN$3:$AN$6, $AP7)), INDEX(EUit[], $AN$5, $AP7))</f>
        <v>134.46848</v>
      </c>
      <c r="AF34" s="76" t="s">
        <v>34</v>
      </c>
      <c r="AG34" s="77" cm="1">
        <f t="array" ref="AG34">INDEX(NUit[], $AN$5, $AP7)</f>
        <v>134.46848</v>
      </c>
      <c r="AH34" s="76"/>
      <c r="AI34" s="75" cm="1">
        <f t="array" ref="AI34">SUM(INDEX(TRit[], $AN$6, $AP7), SUM(INDEX(TU4jt[], $AN$3:$AN$6, $AP7)), INDEX(EUit[], $AN$6, $AP7))</f>
        <v>45.767325</v>
      </c>
      <c r="AJ34" s="76" t="s">
        <v>34</v>
      </c>
      <c r="AK34" s="77" cm="1">
        <f t="array" ref="AK34">INDEX(NUit[], $AN$6, $AP7)</f>
        <v>45.767325</v>
      </c>
      <c r="AL34" s="31"/>
    </row>
    <row r="35" spans="2:38" ht="26.25" thickBot="1" x14ac:dyDescent="0.3">
      <c r="B35" s="30"/>
      <c r="C35" s="36" t="s">
        <v>44</v>
      </c>
      <c r="D35" s="45" t="s">
        <v>0</v>
      </c>
      <c r="E35" s="45" t="s">
        <v>1</v>
      </c>
      <c r="F35" s="45" t="s">
        <v>2</v>
      </c>
      <c r="G35" s="46" t="s">
        <v>3</v>
      </c>
      <c r="H35" s="45" t="s">
        <v>4</v>
      </c>
      <c r="I35" s="56" t="s">
        <v>5</v>
      </c>
      <c r="J35" s="31"/>
      <c r="V35" s="32" t="s">
        <v>5</v>
      </c>
      <c r="W35" s="75" cm="1">
        <f t="array" ref="W35">SUM(INDEX(TRit[], $AN$3, $AP8), SUM(INDEX(TU1jt[], $AN$3:$AN$6, $AP8)), INDEX(EUit[], $AN$3, $AP8))</f>
        <v>69.322720000000004</v>
      </c>
      <c r="X35" s="76" t="s">
        <v>34</v>
      </c>
      <c r="Y35" s="77" cm="1">
        <f t="array" ref="Y35">INDEX(NUit[], $AN$3, $AP8)</f>
        <v>69.322719000000006</v>
      </c>
      <c r="Z35" s="76"/>
      <c r="AA35" s="75" cm="1">
        <f t="array" ref="AA35">SUM(INDEX(TRit[], $AN$4, $AP8), SUM(INDEX(TU2jt[], $AN$3:$AN$6, $AP8)), INDEX(EUit[], $AN$4, $AP8))</f>
        <v>97.941511000000006</v>
      </c>
      <c r="AB35" s="76" t="s">
        <v>34</v>
      </c>
      <c r="AC35" s="77" cm="1">
        <f t="array" ref="AC35">INDEX(NUit[], $AN$4, $AP8)</f>
        <v>97.941511000000006</v>
      </c>
      <c r="AD35" s="76"/>
      <c r="AE35" s="75" cm="1">
        <f t="array" ref="AE35">SUM(INDEX(TRit[], $AN$5, $AP8), SUM(INDEX(TU3jt[], $AN$3:$AN$6, $AP8)), INDEX(EUit[], $AN$5, $AP8))</f>
        <v>169.73358500000001</v>
      </c>
      <c r="AF35" s="76" t="s">
        <v>34</v>
      </c>
      <c r="AG35" s="77" cm="1">
        <f t="array" ref="AG35">INDEX(NUit[], $AN$5, $AP8)</f>
        <v>169.73357999999999</v>
      </c>
      <c r="AH35" s="76"/>
      <c r="AI35" s="75" cm="1">
        <f t="array" ref="AI35">SUM(INDEX(TRit[], $AN$6, $AP8), SUM(INDEX(TU4jt[], $AN$3:$AN$6, $AP8)), INDEX(EUit[], $AN$6, $AP8))</f>
        <v>41.836101999999997</v>
      </c>
      <c r="AJ35" s="76" t="s">
        <v>34</v>
      </c>
      <c r="AK35" s="77" cm="1">
        <f t="array" ref="AK35">INDEX(NUit[], $AN$6, $AP8)</f>
        <v>41.836101999999997</v>
      </c>
      <c r="AL35" s="31"/>
    </row>
    <row r="36" spans="2:38" ht="15.95" customHeight="1" thickBot="1" x14ac:dyDescent="0.3">
      <c r="B36" s="32"/>
      <c r="C36" s="23" t="s">
        <v>6</v>
      </c>
      <c r="D36" s="21">
        <v>0</v>
      </c>
      <c r="E36" s="21">
        <v>0</v>
      </c>
      <c r="F36" s="21">
        <v>0</v>
      </c>
      <c r="G36" s="20">
        <v>0</v>
      </c>
      <c r="H36" s="20">
        <v>0</v>
      </c>
      <c r="I36" s="54">
        <v>53.466313</v>
      </c>
      <c r="J36" s="31"/>
      <c r="V36" s="33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34"/>
    </row>
    <row r="37" spans="2:38" ht="15.95" customHeight="1" thickBot="1" x14ac:dyDescent="0.3">
      <c r="B37" s="32"/>
      <c r="C37" s="24" t="s">
        <v>9</v>
      </c>
      <c r="D37" s="22">
        <v>0</v>
      </c>
      <c r="E37" s="22">
        <v>0</v>
      </c>
      <c r="F37" s="22">
        <v>17.685852000000001</v>
      </c>
      <c r="G37" s="19">
        <v>0</v>
      </c>
      <c r="H37" s="19">
        <v>0</v>
      </c>
      <c r="I37" s="55">
        <v>97.941511000000006</v>
      </c>
      <c r="J37" s="31"/>
    </row>
    <row r="38" spans="2:38" ht="15.95" customHeight="1" thickTop="1" thickBot="1" x14ac:dyDescent="0.3">
      <c r="B38" s="32"/>
      <c r="C38" s="24" t="s">
        <v>7</v>
      </c>
      <c r="D38" s="22">
        <v>44.916921000000002</v>
      </c>
      <c r="E38" s="22">
        <v>0</v>
      </c>
      <c r="F38" s="22">
        <v>0</v>
      </c>
      <c r="G38" s="19">
        <v>11.277547</v>
      </c>
      <c r="H38" s="19">
        <v>64.46848</v>
      </c>
      <c r="I38" s="55">
        <v>45.733584999999998</v>
      </c>
      <c r="J38" s="31"/>
      <c r="V38" s="27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9"/>
    </row>
    <row r="39" spans="2:38" ht="15.95" customHeight="1" thickBot="1" x14ac:dyDescent="0.3">
      <c r="B39" s="32"/>
      <c r="C39" s="25" t="s">
        <v>8</v>
      </c>
      <c r="D39" s="57">
        <v>0</v>
      </c>
      <c r="E39" s="57">
        <v>0</v>
      </c>
      <c r="F39" s="57">
        <v>0</v>
      </c>
      <c r="G39" s="58">
        <v>0</v>
      </c>
      <c r="H39" s="58">
        <v>0</v>
      </c>
      <c r="I39" s="59">
        <v>41.836101999999997</v>
      </c>
      <c r="J39" s="31"/>
      <c r="V39" s="32"/>
      <c r="W39" s="149" t="s">
        <v>40</v>
      </c>
      <c r="X39" s="149"/>
      <c r="Y39" s="149"/>
      <c r="Z39" s="149"/>
      <c r="AA39" s="149"/>
      <c r="AB39" s="149"/>
      <c r="AC39" s="149"/>
      <c r="AD39" s="149"/>
      <c r="AE39" s="149"/>
      <c r="AF39" s="149"/>
      <c r="AG39" s="149"/>
      <c r="AH39" s="149"/>
      <c r="AI39" s="149"/>
      <c r="AJ39" s="149"/>
      <c r="AK39" s="149"/>
      <c r="AL39" s="31"/>
    </row>
    <row r="40" spans="2:38" ht="15.95" customHeight="1" thickBot="1" x14ac:dyDescent="0.3">
      <c r="B40" s="33"/>
      <c r="C40" s="26"/>
      <c r="D40" s="26"/>
      <c r="E40" s="26"/>
      <c r="F40" s="26"/>
      <c r="G40" s="26"/>
      <c r="H40" s="26"/>
      <c r="I40" s="26"/>
      <c r="J40" s="34"/>
      <c r="S40"/>
      <c r="V40" s="32"/>
      <c r="W40" s="135"/>
      <c r="AL40" s="31"/>
    </row>
    <row r="41" spans="2:38" ht="15.95" customHeight="1" thickTop="1" thickBot="1" x14ac:dyDescent="0.3">
      <c r="B41" s="28"/>
      <c r="C41" s="28"/>
      <c r="D41" s="28"/>
      <c r="E41" s="28"/>
      <c r="F41" s="28"/>
      <c r="G41" s="28"/>
      <c r="H41" s="28"/>
      <c r="I41" s="28"/>
      <c r="J41" s="28"/>
      <c r="V41" s="32"/>
      <c r="W41" s="150" t="s">
        <v>6</v>
      </c>
      <c r="X41" s="150"/>
      <c r="Y41" s="150"/>
      <c r="AA41" s="151" t="s">
        <v>9</v>
      </c>
      <c r="AB41" s="151"/>
      <c r="AC41" s="151"/>
      <c r="AE41" s="151" t="s">
        <v>7</v>
      </c>
      <c r="AF41" s="151"/>
      <c r="AG41" s="151"/>
      <c r="AI41" s="151" t="s">
        <v>8</v>
      </c>
      <c r="AJ41" s="151"/>
      <c r="AK41" s="151"/>
      <c r="AL41" s="31"/>
    </row>
    <row r="42" spans="2:38" ht="15.95" customHeight="1" thickTop="1" thickBot="1" x14ac:dyDescent="0.3">
      <c r="B42" s="27"/>
      <c r="C42" s="28"/>
      <c r="D42" s="28"/>
      <c r="E42" s="28"/>
      <c r="F42" s="28"/>
      <c r="G42" s="28"/>
      <c r="H42" s="28"/>
      <c r="I42" s="28"/>
      <c r="J42" s="29"/>
      <c r="V42" s="32" t="s">
        <v>0</v>
      </c>
      <c r="W42" s="75" cm="1">
        <f t="array" ref="W42">SUM(INDEX(RPit[], $AN$3, $AP3), SUM(INDEX(TD1jt[], $AN$3:$AN$6, $AP3)), INDEX(EDit[], $AN$3, $AP3))</f>
        <v>5.1704097000000004</v>
      </c>
      <c r="X42" s="76" t="s">
        <v>34</v>
      </c>
      <c r="Y42" s="77" cm="1">
        <f t="array" ref="Y42">INDEX(NDit[], $AN$3, $AP3)</f>
        <v>5.1704097000000004</v>
      </c>
      <c r="Z42" s="76"/>
      <c r="AA42" s="75" cm="1">
        <f t="array" ref="AA42">SUM(INDEX(RPit[], $AN$4, $AP3), SUM(INDEX(TD2jt[], $AN$3:$AN$6, $AP3)), INDEX(EDit[], $AN$4, $AP3))</f>
        <v>13.489356000000001</v>
      </c>
      <c r="AB42" s="76" t="s">
        <v>34</v>
      </c>
      <c r="AC42" s="77" cm="1">
        <f t="array" ref="AC42">INDEX(NDit[], $AN$4, $AP3)</f>
        <v>13.489356000000001</v>
      </c>
      <c r="AD42" s="76"/>
      <c r="AE42" s="75" cm="1">
        <f t="array" ref="AE42">SUM(INDEX(RPit[], $AN$5, $AP3), SUM(INDEX(TD3jt[], $AN$3:$AN$6, $AP3)), INDEX(EDit[], $AN$5, $AP3))</f>
        <v>21.660514500000001</v>
      </c>
      <c r="AF42" s="76" t="s">
        <v>34</v>
      </c>
      <c r="AG42" s="77" cm="1">
        <f t="array" ref="AG42">INDEX(NDit[], $AN$5, $AP3)</f>
        <v>21.660515</v>
      </c>
      <c r="AH42" s="76"/>
      <c r="AI42" s="75" cm="1">
        <f t="array" ref="AI42">SUM(INDEX(RPit[], $AN$6, $AP3), SUM(INDEX(TD4jt[], $AN$3:$AN$6, $AP3)), INDEX(EDit[], $AN$6, $AP3))</f>
        <v>3.0119224999999998</v>
      </c>
      <c r="AJ42" s="76" t="s">
        <v>34</v>
      </c>
      <c r="AK42" s="77" cm="1">
        <f t="array" ref="AK42">INDEX(NDit[], $AN$6, $AP3)</f>
        <v>3.0119224999999998</v>
      </c>
      <c r="AL42" s="31"/>
    </row>
    <row r="43" spans="2:38" ht="15.95" customHeight="1" thickBot="1" x14ac:dyDescent="0.3">
      <c r="B43" s="30"/>
      <c r="C43" s="36" t="s">
        <v>44</v>
      </c>
      <c r="D43" s="45" t="s">
        <v>0</v>
      </c>
      <c r="E43" s="45" t="s">
        <v>1</v>
      </c>
      <c r="F43" s="45" t="s">
        <v>2</v>
      </c>
      <c r="G43" s="46" t="s">
        <v>3</v>
      </c>
      <c r="H43" s="45" t="s">
        <v>4</v>
      </c>
      <c r="I43" s="56" t="s">
        <v>5</v>
      </c>
      <c r="J43" s="31"/>
      <c r="V43" s="32" t="s">
        <v>1</v>
      </c>
      <c r="W43" s="75" cm="1">
        <f t="array" ref="W43">SUM(INDEX(RPit[], $AN$3, $AP4), SUM(INDEX(TD1jt[], $AN$3:$AN$6, $AP4)), INDEX(EDit[], $AN$3, $AP4))</f>
        <v>8.1984728000000011</v>
      </c>
      <c r="X43" s="76" t="s">
        <v>34</v>
      </c>
      <c r="Y43" s="77" cm="1">
        <f t="array" ref="Y43">INDEX(NDit[], $AN$3, $AP4)</f>
        <v>8.1984727999999993</v>
      </c>
      <c r="Z43" s="76"/>
      <c r="AA43" s="75" cm="1">
        <f t="array" ref="AA43">SUM(INDEX(RPit[], $AN$4, $AP4), SUM(INDEX(TD2jt[], $AN$3:$AN$6, $AP4)), INDEX(EDit[], $AN$4, $AP4))</f>
        <v>12</v>
      </c>
      <c r="AB43" s="76" t="s">
        <v>34</v>
      </c>
      <c r="AC43" s="77" cm="1">
        <f t="array" ref="AC43">INDEX(NDit[], $AN$4, $AP4)</f>
        <v>12</v>
      </c>
      <c r="AD43" s="76"/>
      <c r="AE43" s="75" cm="1">
        <f t="array" ref="AE43">SUM(INDEX(RPit[], $AN$5, $AP4), SUM(INDEX(TD3jt[], $AN$3:$AN$6, $AP4)), INDEX(EDit[], $AN$5, $AP4))</f>
        <v>20</v>
      </c>
      <c r="AF43" s="76" t="s">
        <v>34</v>
      </c>
      <c r="AG43" s="77" cm="1">
        <f t="array" ref="AG43">INDEX(NDit[], $AN$5, $AP4)</f>
        <v>20</v>
      </c>
      <c r="AH43" s="76"/>
      <c r="AI43" s="75" cm="1">
        <f t="array" ref="AI43">SUM(INDEX(RPit[], $AN$6, $AP4), SUM(INDEX(TD4jt[], $AN$3:$AN$6, $AP4)), INDEX(EDit[], $AN$6, $AP4))</f>
        <v>5.0153335999999999</v>
      </c>
      <c r="AJ43" s="76" t="s">
        <v>34</v>
      </c>
      <c r="AK43" s="77" cm="1">
        <f t="array" ref="AK43">INDEX(NDit[], $AN$6, $AP4)</f>
        <v>5.0153335999999999</v>
      </c>
      <c r="AL43" s="31"/>
    </row>
    <row r="44" spans="2:38" ht="15.95" customHeight="1" thickBot="1" x14ac:dyDescent="0.3">
      <c r="B44" s="32"/>
      <c r="C44" s="23" t="s">
        <v>6</v>
      </c>
      <c r="D44" s="21">
        <v>0</v>
      </c>
      <c r="E44" s="21">
        <v>0</v>
      </c>
      <c r="F44" s="21">
        <v>0</v>
      </c>
      <c r="G44" s="20">
        <v>0</v>
      </c>
      <c r="H44" s="20">
        <v>0</v>
      </c>
      <c r="I44" s="54">
        <v>0</v>
      </c>
      <c r="J44" s="31"/>
      <c r="V44" s="32" t="s">
        <v>2</v>
      </c>
      <c r="W44" s="75" cm="1">
        <f t="array" ref="W44">SUM(INDEX(RPit[], $AN$3, $AP5), SUM(INDEX(TD1jt[], $AN$3:$AN$6, $AP5)), INDEX(EDit[], $AN$3, $AP5))</f>
        <v>7.5978151999999994</v>
      </c>
      <c r="X44" s="76" t="s">
        <v>34</v>
      </c>
      <c r="Y44" s="77" cm="1">
        <f t="array" ref="Y44">INDEX(NDit[], $AN$3, $AP5)</f>
        <v>7.5978152000000003</v>
      </c>
      <c r="Z44" s="76"/>
      <c r="AA44" s="75" cm="1">
        <f t="array" ref="AA44">SUM(INDEX(RPit[], $AN$4, $AP5), SUM(INDEX(TD2jt[], $AN$3:$AN$6, $AP5)), INDEX(EDit[], $AN$4, $AP5))</f>
        <v>12</v>
      </c>
      <c r="AB44" s="76" t="s">
        <v>34</v>
      </c>
      <c r="AC44" s="77" cm="1">
        <f t="array" ref="AC44">INDEX(NDit[], $AN$4, $AP5)</f>
        <v>12</v>
      </c>
      <c r="AD44" s="76"/>
      <c r="AE44" s="75" cm="1">
        <f t="array" ref="AE44">SUM(INDEX(RPit[], $AN$5, $AP5), SUM(INDEX(TD3jt[], $AN$3:$AN$6, $AP5)), INDEX(EDit[], $AN$5, $AP5))</f>
        <v>22.059510100000001</v>
      </c>
      <c r="AF44" s="76" t="s">
        <v>34</v>
      </c>
      <c r="AG44" s="77" cm="1">
        <f t="array" ref="AG44">INDEX(NDit[], $AN$5, $AP5)</f>
        <v>22.05951</v>
      </c>
      <c r="AH44" s="76"/>
      <c r="AI44" s="75" cm="1">
        <f t="array" ref="AI44">SUM(INDEX(RPit[], $AN$6, $AP5), SUM(INDEX(TD4jt[], $AN$3:$AN$6, $AP5)), INDEX(EDit[], $AN$6, $AP5))</f>
        <v>4.6466336000000004</v>
      </c>
      <c r="AJ44" s="76" t="s">
        <v>34</v>
      </c>
      <c r="AK44" s="77" cm="1">
        <f t="array" ref="AK44">INDEX(NDit[], $AN$6, $AP5)</f>
        <v>4.6466336000000004</v>
      </c>
      <c r="AL44" s="31"/>
    </row>
    <row r="45" spans="2:38" ht="15.95" customHeight="1" thickBot="1" x14ac:dyDescent="0.3">
      <c r="B45" s="32"/>
      <c r="C45" s="24" t="s">
        <v>9</v>
      </c>
      <c r="D45" s="22">
        <v>1.4893559999999999</v>
      </c>
      <c r="E45" s="22">
        <v>0</v>
      </c>
      <c r="F45" s="22">
        <v>0</v>
      </c>
      <c r="G45" s="19">
        <v>1.3917633</v>
      </c>
      <c r="H45" s="19">
        <v>0</v>
      </c>
      <c r="I45" s="55">
        <v>5.8853483999999998</v>
      </c>
      <c r="J45" s="31"/>
      <c r="S45" s="17"/>
      <c r="V45" s="32" t="s">
        <v>3</v>
      </c>
      <c r="W45" s="75" cm="1">
        <f t="array" ref="W45">SUM(INDEX(RPit[], $AN$3, $AP6), SUM(INDEX(TD1jt[], $AN$3:$AN$6, $AP6)), INDEX(EDit[], $AN$3, $AP6))</f>
        <v>8.4682137999999991</v>
      </c>
      <c r="X45" s="76" t="s">
        <v>34</v>
      </c>
      <c r="Y45" s="77" cm="1">
        <f t="array" ref="Y45">INDEX(NDit[], $AN$3, $AP6)</f>
        <v>8.4682137999999991</v>
      </c>
      <c r="Z45" s="76"/>
      <c r="AA45" s="75" cm="1">
        <f t="array" ref="AA45">SUM(INDEX(RPit[], $AN$4, $AP6), SUM(INDEX(TD2jt[], $AN$3:$AN$6, $AP6)), INDEX(EDit[], $AN$4, $AP6))</f>
        <v>13.391763300000001</v>
      </c>
      <c r="AB45" s="76" t="s">
        <v>34</v>
      </c>
      <c r="AC45" s="77" cm="1">
        <f t="array" ref="AC45">INDEX(NDit[], $AN$4, $AP6)</f>
        <v>13.391762999999999</v>
      </c>
      <c r="AD45" s="76"/>
      <c r="AE45" s="75" cm="1">
        <f t="array" ref="AE45">SUM(INDEX(RPit[], $AN$5, $AP6), SUM(INDEX(TD3jt[], $AN$3:$AN$6, $AP6)), INDEX(EDit[], $AN$5, $AP6))</f>
        <v>22.7266485</v>
      </c>
      <c r="AF45" s="76" t="s">
        <v>34</v>
      </c>
      <c r="AG45" s="77" cm="1">
        <f t="array" ref="AG45">INDEX(NDit[], $AN$5, $AP6)</f>
        <v>22.726648999999998</v>
      </c>
      <c r="AH45" s="76"/>
      <c r="AI45" s="75" cm="1">
        <f t="array" ref="AI45">SUM(INDEX(RPit[], $AN$6, $AP6), SUM(INDEX(TD4jt[], $AN$3:$AN$6, $AP6)), INDEX(EDit[], $AN$6, $AP6))</f>
        <v>5.2611610000000004</v>
      </c>
      <c r="AJ45" s="76" t="s">
        <v>34</v>
      </c>
      <c r="AK45" s="77" cm="1">
        <f t="array" ref="AK45">INDEX(NDit[], $AN$6, $AP6)</f>
        <v>5.2611610000000004</v>
      </c>
      <c r="AL45" s="31"/>
    </row>
    <row r="46" spans="2:38" ht="15.95" customHeight="1" thickBot="1" x14ac:dyDescent="0.3">
      <c r="B46" s="32"/>
      <c r="C46" s="24" t="s">
        <v>7</v>
      </c>
      <c r="D46" s="22">
        <v>1.6605144999999999</v>
      </c>
      <c r="E46" s="22">
        <v>0</v>
      </c>
      <c r="F46" s="22">
        <v>2.0595100999999998</v>
      </c>
      <c r="G46" s="19">
        <v>2.7266485</v>
      </c>
      <c r="H46" s="19">
        <v>7.9216825999999996</v>
      </c>
      <c r="I46" s="55">
        <v>0</v>
      </c>
      <c r="J46" s="31"/>
      <c r="V46" s="32" t="s">
        <v>4</v>
      </c>
      <c r="W46" s="75" cm="1">
        <f t="array" ref="W46">SUM(INDEX(RPit[], $AN$3, $AP7), SUM(INDEX(TD1jt[], $AN$3:$AN$6, $AP7)), INDEX(EDit[], $AN$3, $AP7))</f>
        <v>8.3362915999999991</v>
      </c>
      <c r="X46" s="76" t="s">
        <v>34</v>
      </c>
      <c r="Y46" s="77" cm="1">
        <f t="array" ref="Y46">INDEX(NDit[], $AN$3, $AP7)</f>
        <v>8.3362915999999991</v>
      </c>
      <c r="Z46" s="76"/>
      <c r="AA46" s="75" cm="1">
        <f t="array" ref="AA46">SUM(INDEX(RPit[], $AN$4, $AP7), SUM(INDEX(TD2jt[], $AN$3:$AN$6, $AP7)), INDEX(EDit[], $AN$4, $AP7))</f>
        <v>12</v>
      </c>
      <c r="AB46" s="76" t="s">
        <v>34</v>
      </c>
      <c r="AC46" s="77" cm="1">
        <f t="array" ref="AC46">INDEX(NDit[], $AN$4, $AP7)</f>
        <v>12</v>
      </c>
      <c r="AD46" s="76"/>
      <c r="AE46" s="75" cm="1">
        <f t="array" ref="AE46">SUM(INDEX(RPit[], $AN$5, $AP7), SUM(INDEX(TD3jt[], $AN$3:$AN$6, $AP7)), INDEX(EDit[], $AN$5, $AP7))</f>
        <v>27.9216826</v>
      </c>
      <c r="AF46" s="76" t="s">
        <v>34</v>
      </c>
      <c r="AG46" s="77" cm="1">
        <f t="array" ref="AG46">INDEX(NDit[], $AN$5, $AP7)</f>
        <v>27.921683000000002</v>
      </c>
      <c r="AH46" s="76"/>
      <c r="AI46" s="75" cm="1">
        <f t="array" ref="AI46">SUM(INDEX(RPit[], $AN$6, $AP7), SUM(INDEX(TD4jt[], $AN$3:$AN$6, $AP7)), INDEX(EDit[], $AN$6, $AP7))</f>
        <v>5.0852582999999996</v>
      </c>
      <c r="AJ46" s="76" t="s">
        <v>34</v>
      </c>
      <c r="AK46" s="77" cm="1">
        <f t="array" ref="AK46">INDEX(NDit[], $AN$6, $AP7)</f>
        <v>5.0852582999999996</v>
      </c>
      <c r="AL46" s="31"/>
    </row>
    <row r="47" spans="2:38" ht="15.95" customHeight="1" thickBot="1" x14ac:dyDescent="0.3">
      <c r="B47" s="32"/>
      <c r="C47" s="25" t="s">
        <v>8</v>
      </c>
      <c r="D47" s="57">
        <v>0</v>
      </c>
      <c r="E47" s="57">
        <v>0</v>
      </c>
      <c r="F47" s="57">
        <v>0</v>
      </c>
      <c r="G47" s="58">
        <v>0</v>
      </c>
      <c r="H47" s="58">
        <v>2.4808412999999998</v>
      </c>
      <c r="I47" s="59">
        <v>0</v>
      </c>
      <c r="J47" s="31"/>
      <c r="V47" s="32" t="s">
        <v>5</v>
      </c>
      <c r="W47" s="75" cm="1">
        <f t="array" ref="W47">SUM(INDEX(RPit[], $AN$3, $AP8), SUM(INDEX(TD1jt[], $AN$3:$AN$6, $AP8)), INDEX(EDit[], $AN$3, $AP8))</f>
        <v>7.7025243999999997</v>
      </c>
      <c r="X47" s="76" t="s">
        <v>34</v>
      </c>
      <c r="Y47" s="77" cm="1">
        <f t="array" ref="Y47">INDEX(NDit[], $AN$3, $AP8)</f>
        <v>7.7025243999999997</v>
      </c>
      <c r="Z47" s="76"/>
      <c r="AA47" s="75" cm="1">
        <f t="array" ref="AA47">SUM(INDEX(RPit[], $AN$4, $AP8), SUM(INDEX(TD2jt[], $AN$3:$AN$6, $AP8)), INDEX(EDit[], $AN$4, $AP8))</f>
        <v>17.885348399999998</v>
      </c>
      <c r="AB47" s="76" t="s">
        <v>34</v>
      </c>
      <c r="AC47" s="77" cm="1">
        <f t="array" ref="AC47">INDEX(NDit[], $AN$4, $AP8)</f>
        <v>17.885348</v>
      </c>
      <c r="AD47" s="76"/>
      <c r="AE47" s="75" cm="1">
        <f t="array" ref="AE47">SUM(INDEX(RPit[], $AN$5, $AP8), SUM(INDEX(TD3jt[], $AN$3:$AN$6, $AP8)), INDEX(EDit[], $AN$5, $AP8))</f>
        <v>20</v>
      </c>
      <c r="AF47" s="76" t="s">
        <v>34</v>
      </c>
      <c r="AG47" s="77" cm="1">
        <f t="array" ref="AG47">INDEX(NDit[], $AN$5, $AP8)</f>
        <v>20</v>
      </c>
      <c r="AH47" s="76"/>
      <c r="AI47" s="75" cm="1">
        <f t="array" ref="AI47">SUM(INDEX(RPit[], $AN$6, $AP8), SUM(INDEX(TD4jt[], $AN$3:$AN$6, $AP8)), INDEX(EDit[], $AN$6, $AP8))</f>
        <v>7.1292970999999996</v>
      </c>
      <c r="AJ47" s="76" t="s">
        <v>34</v>
      </c>
      <c r="AK47" s="77" cm="1">
        <f t="array" ref="AK47">INDEX(NDit[], $AN$6, $AP8)</f>
        <v>7.1292970999999996</v>
      </c>
      <c r="AL47" s="31"/>
    </row>
    <row r="48" spans="2:38" ht="15.95" customHeight="1" thickBot="1" x14ac:dyDescent="0.3">
      <c r="B48" s="33"/>
      <c r="C48" s="26"/>
      <c r="D48" s="26"/>
      <c r="E48" s="26"/>
      <c r="F48" s="26"/>
      <c r="G48" s="26"/>
      <c r="H48" s="26"/>
      <c r="I48" s="26"/>
      <c r="J48" s="34"/>
      <c r="V48" s="33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34"/>
    </row>
    <row r="49" spans="1:39" ht="15.95" customHeight="1" thickTop="1" thickBot="1" x14ac:dyDescent="0.3">
      <c r="B49" s="28"/>
      <c r="C49" s="28"/>
      <c r="D49" s="28"/>
      <c r="E49" s="28"/>
      <c r="F49" s="28"/>
      <c r="G49" s="28"/>
      <c r="H49" s="28"/>
      <c r="I49" s="28"/>
      <c r="J49" s="28"/>
      <c r="K49" s="40"/>
      <c r="L49" s="40"/>
      <c r="M49" s="40"/>
      <c r="N49" s="40"/>
      <c r="O49" s="40"/>
      <c r="P49" s="40"/>
      <c r="Q49" s="40"/>
      <c r="R49" s="40"/>
      <c r="S49" s="40"/>
    </row>
    <row r="50" spans="1:39" ht="15.95" customHeight="1" thickTop="1" thickBot="1" x14ac:dyDescent="0.3">
      <c r="B50" s="27"/>
      <c r="C50" s="28"/>
      <c r="D50" s="28"/>
      <c r="E50" s="28"/>
      <c r="F50" s="28"/>
      <c r="G50" s="28"/>
      <c r="H50" s="28"/>
      <c r="I50" s="28"/>
      <c r="J50" s="28"/>
      <c r="S50" s="41"/>
      <c r="V50" s="27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9"/>
    </row>
    <row r="51" spans="1:39" ht="63.75" thickBot="1" x14ac:dyDescent="0.3">
      <c r="B51" s="30"/>
      <c r="C51" s="37" t="s">
        <v>45</v>
      </c>
      <c r="D51" s="45" t="s">
        <v>0</v>
      </c>
      <c r="E51" s="45" t="s">
        <v>1</v>
      </c>
      <c r="F51" s="45" t="s">
        <v>2</v>
      </c>
      <c r="G51" s="46" t="s">
        <v>3</v>
      </c>
      <c r="H51" s="45" t="s">
        <v>4</v>
      </c>
      <c r="I51" s="56" t="s">
        <v>5</v>
      </c>
      <c r="L51" s="37" t="s">
        <v>45</v>
      </c>
      <c r="M51" s="45" t="s">
        <v>0</v>
      </c>
      <c r="N51" s="45" t="s">
        <v>1</v>
      </c>
      <c r="O51" s="45" t="s">
        <v>2</v>
      </c>
      <c r="P51" s="46" t="s">
        <v>3</v>
      </c>
      <c r="Q51" s="45" t="s">
        <v>4</v>
      </c>
      <c r="R51" s="56" t="s">
        <v>5</v>
      </c>
      <c r="S51" s="38"/>
      <c r="V51" s="32"/>
      <c r="W51" s="149" t="s">
        <v>39</v>
      </c>
      <c r="X51" s="149"/>
      <c r="Y51" s="149"/>
      <c r="Z51" s="149"/>
      <c r="AA51" s="149"/>
      <c r="AB51" s="149"/>
      <c r="AC51" s="149"/>
      <c r="AD51" s="149"/>
      <c r="AE51" s="149"/>
      <c r="AF51" s="149"/>
      <c r="AG51" s="149"/>
      <c r="AH51" s="149"/>
      <c r="AI51" s="149"/>
      <c r="AJ51" s="149"/>
      <c r="AK51" s="149"/>
      <c r="AL51" s="31"/>
    </row>
    <row r="52" spans="1:39" ht="15.95" customHeight="1" thickBot="1" x14ac:dyDescent="0.3">
      <c r="B52" s="32"/>
      <c r="C52" s="23" t="s">
        <v>6</v>
      </c>
      <c r="D52" s="21">
        <v>0</v>
      </c>
      <c r="E52" s="21">
        <v>0</v>
      </c>
      <c r="F52" s="21">
        <v>0</v>
      </c>
      <c r="G52" s="20">
        <v>0</v>
      </c>
      <c r="H52" s="20">
        <v>0</v>
      </c>
      <c r="I52" s="54">
        <v>0</v>
      </c>
      <c r="L52" s="23" t="s">
        <v>6</v>
      </c>
      <c r="M52" s="21">
        <v>0</v>
      </c>
      <c r="N52" s="21">
        <v>0</v>
      </c>
      <c r="O52" s="21">
        <v>0</v>
      </c>
      <c r="P52" s="20">
        <v>0</v>
      </c>
      <c r="Q52" s="20">
        <v>0</v>
      </c>
      <c r="R52" s="54">
        <v>0</v>
      </c>
      <c r="S52" s="38"/>
      <c r="V52" s="32"/>
      <c r="AL52" s="31"/>
    </row>
    <row r="53" spans="1:39" ht="15.95" customHeight="1" thickBot="1" x14ac:dyDescent="0.3">
      <c r="B53" s="32"/>
      <c r="C53" s="24" t="s">
        <v>9</v>
      </c>
      <c r="D53" s="22">
        <v>0</v>
      </c>
      <c r="E53" s="22">
        <v>0</v>
      </c>
      <c r="F53" s="22">
        <v>0</v>
      </c>
      <c r="G53" s="19">
        <v>0</v>
      </c>
      <c r="H53" s="19">
        <v>0</v>
      </c>
      <c r="I53" s="55">
        <v>0</v>
      </c>
      <c r="L53" s="24" t="s">
        <v>9</v>
      </c>
      <c r="M53" s="22">
        <v>0</v>
      </c>
      <c r="N53" s="22">
        <v>0</v>
      </c>
      <c r="O53" s="22">
        <v>0</v>
      </c>
      <c r="P53" s="19">
        <v>0</v>
      </c>
      <c r="Q53" s="19">
        <v>0</v>
      </c>
      <c r="R53" s="55">
        <v>0</v>
      </c>
      <c r="S53" s="38"/>
      <c r="V53" s="32"/>
      <c r="W53" s="150" t="s">
        <v>6</v>
      </c>
      <c r="X53" s="150"/>
      <c r="Y53" s="150"/>
      <c r="AA53" s="151" t="s">
        <v>9</v>
      </c>
      <c r="AB53" s="151"/>
      <c r="AC53" s="151"/>
      <c r="AE53" s="151" t="s">
        <v>7</v>
      </c>
      <c r="AF53" s="151"/>
      <c r="AG53" s="151"/>
      <c r="AI53" s="151" t="s">
        <v>8</v>
      </c>
      <c r="AJ53" s="151"/>
      <c r="AK53" s="151"/>
      <c r="AL53" s="31"/>
    </row>
    <row r="54" spans="1:39" ht="15.95" customHeight="1" thickBot="1" x14ac:dyDescent="0.3">
      <c r="B54" s="32"/>
      <c r="C54" s="24" t="s">
        <v>7</v>
      </c>
      <c r="D54" s="22">
        <v>0</v>
      </c>
      <c r="E54" s="22">
        <v>0</v>
      </c>
      <c r="F54" s="22">
        <v>0</v>
      </c>
      <c r="G54" s="19">
        <v>0</v>
      </c>
      <c r="H54" s="19">
        <v>0</v>
      </c>
      <c r="I54" s="55">
        <v>0</v>
      </c>
      <c r="L54" s="24" t="s">
        <v>7</v>
      </c>
      <c r="M54" s="22">
        <v>0</v>
      </c>
      <c r="N54" s="22">
        <v>0</v>
      </c>
      <c r="O54" s="22">
        <v>0</v>
      </c>
      <c r="P54" s="19">
        <v>0</v>
      </c>
      <c r="Q54" s="19">
        <v>0</v>
      </c>
      <c r="R54" s="55">
        <v>0</v>
      </c>
      <c r="S54" s="38"/>
      <c r="V54" s="32" t="s">
        <v>0</v>
      </c>
      <c r="W54" s="75" cm="1">
        <f t="array" ref="W54">INDEX(RPit[],$AN$3,$AP3)</f>
        <v>0</v>
      </c>
      <c r="Y54" s="77" cm="1">
        <f t="array" ref="Y54">INDEX(Repair_Capacity[],$AN$3)</f>
        <v>0</v>
      </c>
      <c r="Z54" s="76"/>
      <c r="AA54" s="75" cm="1">
        <f t="array" ref="AA54">INDEX(RPit[],$AN$4,$AP3)</f>
        <v>12</v>
      </c>
      <c r="AB54" s="76" t="s">
        <v>79</v>
      </c>
      <c r="AC54" s="77" cm="1">
        <f t="array" ref="AC54">INDEX(Repair_Capacity[],$AN$4)</f>
        <v>12</v>
      </c>
      <c r="AD54" s="76"/>
      <c r="AE54" s="75" cm="1">
        <f t="array" ref="AE54">INDEX(RPit[],$AN$5,$AP3)</f>
        <v>20</v>
      </c>
      <c r="AF54" s="76" t="s">
        <v>79</v>
      </c>
      <c r="AG54" s="77" cm="1">
        <f t="array" ref="AG54">INDEX(Repair_Capacity[],$AN$5)</f>
        <v>20</v>
      </c>
      <c r="AH54" s="76"/>
      <c r="AI54" s="75" cm="1">
        <f t="array" ref="AI54">INDEX(RPit[],$AN$6,$AP3)</f>
        <v>0</v>
      </c>
      <c r="AJ54" s="76" t="s">
        <v>79</v>
      </c>
      <c r="AK54" s="77" cm="1">
        <f t="array" ref="AK54">INDEX(Repair_Capacity[],$AN$6)</f>
        <v>0</v>
      </c>
      <c r="AL54" s="31"/>
      <c r="AM54" s="17"/>
    </row>
    <row r="55" spans="1:39" ht="15.95" customHeight="1" thickBot="1" x14ac:dyDescent="0.3">
      <c r="B55" s="32"/>
      <c r="C55" s="25" t="s">
        <v>8</v>
      </c>
      <c r="D55" s="57">
        <v>0</v>
      </c>
      <c r="E55" s="57">
        <v>0</v>
      </c>
      <c r="F55" s="57">
        <v>0</v>
      </c>
      <c r="G55" s="58">
        <v>0</v>
      </c>
      <c r="H55" s="58">
        <v>0</v>
      </c>
      <c r="I55" s="59">
        <v>0</v>
      </c>
      <c r="L55" s="25" t="s">
        <v>8</v>
      </c>
      <c r="M55" s="57">
        <v>0</v>
      </c>
      <c r="N55" s="57">
        <v>0</v>
      </c>
      <c r="O55" s="57">
        <v>0</v>
      </c>
      <c r="P55" s="58">
        <v>0</v>
      </c>
      <c r="Q55" s="58">
        <v>0</v>
      </c>
      <c r="R55" s="59">
        <v>0</v>
      </c>
      <c r="S55" s="38"/>
      <c r="V55" s="32" t="s">
        <v>1</v>
      </c>
      <c r="W55" s="75" cm="1">
        <f t="array" ref="W55">INDEX(RPit[],$AN$3,$AP4)</f>
        <v>0</v>
      </c>
      <c r="Y55" s="77" cm="1">
        <f t="array" ref="Y55">INDEX(Repair_Capacity[],$AN$3)</f>
        <v>0</v>
      </c>
      <c r="Z55" s="76"/>
      <c r="AA55" s="75" cm="1">
        <f t="array" ref="AA55">INDEX(RPit[],$AN$4,$AP4)</f>
        <v>12</v>
      </c>
      <c r="AB55" s="76" t="s">
        <v>79</v>
      </c>
      <c r="AC55" s="77" cm="1">
        <f t="array" ref="AC55">INDEX(Repair_Capacity[],$AN$4)</f>
        <v>12</v>
      </c>
      <c r="AD55" s="76"/>
      <c r="AE55" s="75" cm="1">
        <f t="array" ref="AE55">INDEX(RPit[],$AN$5,$AP4)</f>
        <v>20</v>
      </c>
      <c r="AF55" s="76" t="s">
        <v>79</v>
      </c>
      <c r="AG55" s="77" cm="1">
        <f t="array" ref="AG55">INDEX(Repair_Capacity[],$AN$5)</f>
        <v>20</v>
      </c>
      <c r="AH55" s="76"/>
      <c r="AI55" s="75" cm="1">
        <f t="array" ref="AI55">INDEX(RPit[],$AN$6,$AP4)</f>
        <v>0</v>
      </c>
      <c r="AJ55" s="76" t="s">
        <v>79</v>
      </c>
      <c r="AK55" s="77" cm="1">
        <f t="array" ref="AK55">INDEX(Repair_Capacity[],$AN$6)</f>
        <v>0</v>
      </c>
      <c r="AL55" s="31"/>
    </row>
    <row r="56" spans="1:39" ht="15.95" customHeight="1" thickBot="1" x14ac:dyDescent="0.3">
      <c r="B56" s="32"/>
      <c r="S56" s="38"/>
      <c r="V56" s="32" t="s">
        <v>2</v>
      </c>
      <c r="W56" s="75" cm="1">
        <f t="array" ref="W56">INDEX(RPit[],$AN$3,$AP5)</f>
        <v>0</v>
      </c>
      <c r="Y56" s="77" cm="1">
        <f t="array" ref="Y56">INDEX(Repair_Capacity[],$AN$3)</f>
        <v>0</v>
      </c>
      <c r="Z56" s="76"/>
      <c r="AA56" s="75" cm="1">
        <f t="array" ref="AA56">INDEX(RPit[],$AN$4,$AP5)</f>
        <v>12</v>
      </c>
      <c r="AB56" s="76" t="s">
        <v>79</v>
      </c>
      <c r="AC56" s="77" cm="1">
        <f t="array" ref="AC56">INDEX(Repair_Capacity[],$AN$4)</f>
        <v>12</v>
      </c>
      <c r="AD56" s="76"/>
      <c r="AE56" s="75" cm="1">
        <f t="array" ref="AE56">INDEX(RPit[],$AN$5,$AP5)</f>
        <v>20</v>
      </c>
      <c r="AF56" s="76" t="s">
        <v>79</v>
      </c>
      <c r="AG56" s="77" cm="1">
        <f t="array" ref="AG56">INDEX(Repair_Capacity[],$AN$5)</f>
        <v>20</v>
      </c>
      <c r="AH56" s="76"/>
      <c r="AI56" s="75" cm="1">
        <f t="array" ref="AI56">INDEX(RPit[],$AN$6,$AP5)</f>
        <v>0</v>
      </c>
      <c r="AJ56" s="76" t="s">
        <v>79</v>
      </c>
      <c r="AK56" s="77" cm="1">
        <f t="array" ref="AK56">INDEX(Repair_Capacity[],$AN$6)</f>
        <v>0</v>
      </c>
      <c r="AL56" s="31"/>
    </row>
    <row r="57" spans="1:39" ht="63.75" thickBot="1" x14ac:dyDescent="0.3">
      <c r="B57" s="32"/>
      <c r="C57" s="37" t="s">
        <v>45</v>
      </c>
      <c r="D57" s="45" t="s">
        <v>0</v>
      </c>
      <c r="E57" s="45" t="s">
        <v>1</v>
      </c>
      <c r="F57" s="45" t="s">
        <v>2</v>
      </c>
      <c r="G57" s="46" t="s">
        <v>3</v>
      </c>
      <c r="H57" s="45" t="s">
        <v>4</v>
      </c>
      <c r="I57" s="56" t="s">
        <v>5</v>
      </c>
      <c r="L57" s="37" t="s">
        <v>45</v>
      </c>
      <c r="M57" s="45" t="s">
        <v>0</v>
      </c>
      <c r="N57" s="45" t="s">
        <v>1</v>
      </c>
      <c r="O57" s="45" t="s">
        <v>2</v>
      </c>
      <c r="P57" s="46" t="s">
        <v>3</v>
      </c>
      <c r="Q57" s="45" t="s">
        <v>4</v>
      </c>
      <c r="R57" s="56" t="s">
        <v>5</v>
      </c>
      <c r="S57" s="38"/>
      <c r="V57" s="32" t="s">
        <v>3</v>
      </c>
      <c r="W57" s="75" cm="1">
        <f t="array" ref="W57">INDEX(RPit[],$AN$3,$AP6)</f>
        <v>0</v>
      </c>
      <c r="Y57" s="77" cm="1">
        <f t="array" ref="Y57">INDEX(Repair_Capacity[],$AN$3)</f>
        <v>0</v>
      </c>
      <c r="Z57" s="76"/>
      <c r="AA57" s="75" cm="1">
        <f t="array" ref="AA57">INDEX(RPit[],$AN$4,$AP6)</f>
        <v>12</v>
      </c>
      <c r="AB57" s="76" t="s">
        <v>79</v>
      </c>
      <c r="AC57" s="77" cm="1">
        <f t="array" ref="AC57">INDEX(Repair_Capacity[],$AN$4)</f>
        <v>12</v>
      </c>
      <c r="AD57" s="76"/>
      <c r="AE57" s="75" cm="1">
        <f t="array" ref="AE57">INDEX(RPit[],$AN$5,$AP6)</f>
        <v>20</v>
      </c>
      <c r="AF57" s="76" t="s">
        <v>79</v>
      </c>
      <c r="AG57" s="77" cm="1">
        <f t="array" ref="AG57">INDEX(Repair_Capacity[],$AN$5)</f>
        <v>20</v>
      </c>
      <c r="AH57" s="76"/>
      <c r="AI57" s="75" cm="1">
        <f t="array" ref="AI57">INDEX(RPit[],$AN$6,$AP6)</f>
        <v>0</v>
      </c>
      <c r="AJ57" s="76" t="s">
        <v>79</v>
      </c>
      <c r="AK57" s="77" cm="1">
        <f t="array" ref="AK57">INDEX(Repair_Capacity[],$AN$6)</f>
        <v>0</v>
      </c>
      <c r="AL57" s="31"/>
    </row>
    <row r="58" spans="1:39" ht="15.95" customHeight="1" thickBot="1" x14ac:dyDescent="0.3">
      <c r="B58" s="32"/>
      <c r="C58" s="23" t="s">
        <v>6</v>
      </c>
      <c r="D58" s="21">
        <v>0</v>
      </c>
      <c r="E58" s="21">
        <v>0</v>
      </c>
      <c r="F58" s="21">
        <v>0</v>
      </c>
      <c r="G58" s="20">
        <v>0</v>
      </c>
      <c r="H58" s="20">
        <v>0</v>
      </c>
      <c r="I58" s="54">
        <v>0</v>
      </c>
      <c r="L58" s="23" t="s">
        <v>6</v>
      </c>
      <c r="M58" s="21">
        <v>0</v>
      </c>
      <c r="N58" s="21">
        <v>0</v>
      </c>
      <c r="O58" s="21">
        <v>0</v>
      </c>
      <c r="P58" s="20">
        <v>0</v>
      </c>
      <c r="Q58" s="20">
        <v>0</v>
      </c>
      <c r="R58" s="54">
        <v>0</v>
      </c>
      <c r="S58" s="38"/>
      <c r="V58" s="32" t="s">
        <v>4</v>
      </c>
      <c r="W58" s="75" cm="1">
        <f t="array" ref="W58">INDEX(RPit[],$AN$3,$AP7)</f>
        <v>0</v>
      </c>
      <c r="Y58" s="77" cm="1">
        <f t="array" ref="Y58">INDEX(Repair_Capacity[],$AN$3)</f>
        <v>0</v>
      </c>
      <c r="Z58" s="76"/>
      <c r="AA58" s="75" cm="1">
        <f t="array" ref="AA58">INDEX(RPit[],$AN$4,$AP7)</f>
        <v>12</v>
      </c>
      <c r="AB58" s="76" t="s">
        <v>79</v>
      </c>
      <c r="AC58" s="77" cm="1">
        <f t="array" ref="AC58">INDEX(Repair_Capacity[],$AN$4)</f>
        <v>12</v>
      </c>
      <c r="AD58" s="76"/>
      <c r="AE58" s="75" cm="1">
        <f t="array" ref="AE58">INDEX(RPit[],$AN$5,$AP7)</f>
        <v>20</v>
      </c>
      <c r="AF58" s="76" t="s">
        <v>79</v>
      </c>
      <c r="AG58" s="77" cm="1">
        <f t="array" ref="AG58">INDEX(Repair_Capacity[],$AN$5)</f>
        <v>20</v>
      </c>
      <c r="AH58" s="76"/>
      <c r="AI58" s="75" cm="1">
        <f t="array" ref="AI58">INDEX(RPit[],$AN$6,$AP7)</f>
        <v>0</v>
      </c>
      <c r="AJ58" s="76" t="s">
        <v>79</v>
      </c>
      <c r="AK58" s="77" cm="1">
        <f t="array" ref="AK58">INDEX(Repair_Capacity[],$AN$6)</f>
        <v>0</v>
      </c>
      <c r="AL58" s="31"/>
    </row>
    <row r="59" spans="1:39" ht="15.95" customHeight="1" thickBot="1" x14ac:dyDescent="0.3">
      <c r="A59" s="38"/>
      <c r="C59" s="24" t="s">
        <v>9</v>
      </c>
      <c r="D59" s="22">
        <v>0</v>
      </c>
      <c r="E59" s="22">
        <v>0</v>
      </c>
      <c r="F59" s="22">
        <v>0</v>
      </c>
      <c r="G59" s="19">
        <v>0</v>
      </c>
      <c r="H59" s="19">
        <v>0</v>
      </c>
      <c r="I59" s="55">
        <v>0</v>
      </c>
      <c r="L59" s="24" t="s">
        <v>9</v>
      </c>
      <c r="M59" s="22">
        <v>0</v>
      </c>
      <c r="N59" s="22">
        <v>0</v>
      </c>
      <c r="O59" s="22">
        <v>0</v>
      </c>
      <c r="P59" s="19">
        <v>0</v>
      </c>
      <c r="Q59" s="19">
        <v>0</v>
      </c>
      <c r="R59" s="55">
        <v>0</v>
      </c>
      <c r="S59" s="38"/>
      <c r="V59" s="32" t="s">
        <v>5</v>
      </c>
      <c r="W59" s="75" cm="1">
        <f t="array" ref="W59">INDEX(RPit[],$AN$3,$AP8)</f>
        <v>0</v>
      </c>
      <c r="Y59" s="77" cm="1">
        <f t="array" ref="Y59">INDEX(Repair_Capacity[],$AN$3)</f>
        <v>0</v>
      </c>
      <c r="Z59" s="76"/>
      <c r="AA59" s="75" cm="1">
        <f t="array" ref="AA59">INDEX(RPit[],$AN$4,$AP8)</f>
        <v>12</v>
      </c>
      <c r="AB59" s="76" t="s">
        <v>79</v>
      </c>
      <c r="AC59" s="77" cm="1">
        <f t="array" ref="AC59">INDEX(Repair_Capacity[],$AN$4)</f>
        <v>12</v>
      </c>
      <c r="AD59" s="76"/>
      <c r="AE59" s="75" cm="1">
        <f t="array" ref="AE59">INDEX(RPit[],$AN$5,$AP8)</f>
        <v>20</v>
      </c>
      <c r="AF59" s="76" t="s">
        <v>79</v>
      </c>
      <c r="AG59" s="77" cm="1">
        <f t="array" ref="AG59">INDEX(Repair_Capacity[],$AN$5)</f>
        <v>20</v>
      </c>
      <c r="AH59" s="76"/>
      <c r="AI59" s="75" cm="1">
        <f t="array" ref="AI59">INDEX(RPit[],$AN$6,$AP8)</f>
        <v>0</v>
      </c>
      <c r="AJ59" s="76" t="s">
        <v>79</v>
      </c>
      <c r="AK59" s="77" cm="1">
        <f t="array" ref="AK59">INDEX(Repair_Capacity[],$AN$6)</f>
        <v>0</v>
      </c>
      <c r="AL59" s="31"/>
    </row>
    <row r="60" spans="1:39" ht="15.95" customHeight="1" thickBot="1" x14ac:dyDescent="0.3">
      <c r="A60" s="38"/>
      <c r="C60" s="24" t="s">
        <v>7</v>
      </c>
      <c r="D60" s="22">
        <v>0</v>
      </c>
      <c r="E60" s="22">
        <v>0</v>
      </c>
      <c r="F60" s="22">
        <v>0</v>
      </c>
      <c r="G60" s="19">
        <v>0</v>
      </c>
      <c r="H60" s="19">
        <v>0</v>
      </c>
      <c r="I60" s="55">
        <v>0</v>
      </c>
      <c r="L60" s="24" t="s">
        <v>7</v>
      </c>
      <c r="M60" s="22">
        <v>0</v>
      </c>
      <c r="N60" s="22">
        <v>0</v>
      </c>
      <c r="O60" s="22">
        <v>0</v>
      </c>
      <c r="P60" s="19">
        <v>0</v>
      </c>
      <c r="Q60" s="19">
        <v>0</v>
      </c>
      <c r="R60" s="55">
        <v>0</v>
      </c>
      <c r="S60" s="38"/>
      <c r="V60" s="33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34"/>
    </row>
    <row r="61" spans="1:39" ht="15.95" customHeight="1" thickBot="1" x14ac:dyDescent="0.3">
      <c r="A61" s="38"/>
      <c r="C61" s="25" t="s">
        <v>8</v>
      </c>
      <c r="D61" s="57">
        <v>0</v>
      </c>
      <c r="E61" s="57">
        <v>0</v>
      </c>
      <c r="F61" s="57">
        <v>0</v>
      </c>
      <c r="G61" s="58">
        <v>0</v>
      </c>
      <c r="H61" s="58">
        <v>0</v>
      </c>
      <c r="I61" s="59">
        <v>0</v>
      </c>
      <c r="L61" s="25" t="s">
        <v>8</v>
      </c>
      <c r="M61" s="57">
        <v>0</v>
      </c>
      <c r="N61" s="57">
        <v>0</v>
      </c>
      <c r="O61" s="57">
        <v>0</v>
      </c>
      <c r="P61" s="58">
        <v>0</v>
      </c>
      <c r="Q61" s="58">
        <v>0</v>
      </c>
      <c r="R61" s="59">
        <v>0</v>
      </c>
      <c r="S61" s="38"/>
    </row>
    <row r="62" spans="1:39" ht="15.95" customHeight="1" thickTop="1" x14ac:dyDescent="0.25">
      <c r="A62" s="38"/>
      <c r="S62" s="38"/>
      <c r="V62" s="27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9"/>
    </row>
    <row r="63" spans="1:39" ht="15.95" customHeight="1" thickBot="1" x14ac:dyDescent="0.3">
      <c r="A63" s="38"/>
      <c r="B63" s="39"/>
      <c r="C63" s="40"/>
      <c r="S63" s="42"/>
      <c r="V63" s="32"/>
      <c r="W63" s="149" t="s">
        <v>38</v>
      </c>
      <c r="X63" s="149"/>
      <c r="Y63" s="149"/>
      <c r="Z63" s="149"/>
      <c r="AA63" s="149"/>
      <c r="AB63" s="149"/>
      <c r="AC63" s="149"/>
      <c r="AD63" s="149"/>
      <c r="AE63" s="149"/>
      <c r="AF63" s="149"/>
      <c r="AG63" s="149"/>
      <c r="AH63" s="149"/>
      <c r="AI63" s="149"/>
      <c r="AJ63" s="149"/>
      <c r="AK63" s="149"/>
      <c r="AL63" s="31"/>
    </row>
    <row r="64" spans="1:39" ht="15.95" customHeight="1" thickTop="1" thickBot="1" x14ac:dyDescent="0.3"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V64" s="32"/>
      <c r="W64" s="135"/>
      <c r="AL64" s="31"/>
    </row>
    <row r="65" spans="1:38" ht="15.95" customHeight="1" thickTop="1" thickBot="1" x14ac:dyDescent="0.3">
      <c r="B65" s="27"/>
      <c r="C65" s="28"/>
      <c r="S65" s="41"/>
      <c r="V65" s="32" t="s">
        <v>0</v>
      </c>
      <c r="W65" s="150" t="s">
        <v>6</v>
      </c>
      <c r="X65" s="150"/>
      <c r="Y65" s="150"/>
      <c r="AA65" s="151" t="s">
        <v>9</v>
      </c>
      <c r="AB65" s="151"/>
      <c r="AC65" s="151"/>
      <c r="AE65" s="151" t="s">
        <v>7</v>
      </c>
      <c r="AF65" s="151"/>
      <c r="AG65" s="151"/>
      <c r="AI65" s="151" t="s">
        <v>8</v>
      </c>
      <c r="AJ65" s="151"/>
      <c r="AK65" s="151"/>
      <c r="AL65" s="31"/>
    </row>
    <row r="66" spans="1:38" ht="63.75" thickBot="1" x14ac:dyDescent="0.3">
      <c r="B66" s="30"/>
      <c r="C66" s="37" t="s">
        <v>45</v>
      </c>
      <c r="D66" s="45" t="s">
        <v>0</v>
      </c>
      <c r="E66" s="45" t="s">
        <v>1</v>
      </c>
      <c r="F66" s="45" t="s">
        <v>2</v>
      </c>
      <c r="G66" s="46" t="s">
        <v>3</v>
      </c>
      <c r="H66" s="45" t="s">
        <v>4</v>
      </c>
      <c r="I66" s="56" t="s">
        <v>5</v>
      </c>
      <c r="L66" s="37" t="s">
        <v>45</v>
      </c>
      <c r="M66" s="45" t="s">
        <v>0</v>
      </c>
      <c r="N66" s="45" t="s">
        <v>1</v>
      </c>
      <c r="O66" s="45" t="s">
        <v>2</v>
      </c>
      <c r="P66" s="46" t="s">
        <v>3</v>
      </c>
      <c r="Q66" s="45" t="s">
        <v>4</v>
      </c>
      <c r="R66" s="56" t="s">
        <v>5</v>
      </c>
      <c r="S66" s="38"/>
      <c r="V66" s="32" t="s">
        <v>1</v>
      </c>
      <c r="W66" s="75" cm="1">
        <f t="array" ref="W66">INDEX(TRit[],$AN$3,$AP3)</f>
        <v>100</v>
      </c>
      <c r="X66" s="76" t="s">
        <v>79</v>
      </c>
      <c r="Y66" s="77" cm="1">
        <f t="array" ref="Y66">INDEX(Demand[],$AP3, $AN$3)</f>
        <v>100</v>
      </c>
      <c r="Z66" s="76"/>
      <c r="AA66" s="75" cm="1">
        <f t="array" ref="AA66">INDEX(TRit[],$AN$4,$AP3)</f>
        <v>165.65248</v>
      </c>
      <c r="AB66" s="76" t="s">
        <v>79</v>
      </c>
      <c r="AC66" s="77" cm="1">
        <f t="array" ref="AC66">INDEX(Demand[],$AP3, $AN$4)</f>
        <v>250</v>
      </c>
      <c r="AD66" s="76"/>
      <c r="AE66" s="75" cm="1">
        <f t="array" ref="AE66">INDEX(TRit[],$AN$5,$AP3)</f>
        <v>95</v>
      </c>
      <c r="AF66" s="76" t="s">
        <v>79</v>
      </c>
      <c r="AG66" s="77" cm="1">
        <f t="array" ref="AG66">INDEX(Demand[],$AP3, $AN$5)</f>
        <v>95</v>
      </c>
      <c r="AH66" s="76"/>
      <c r="AI66" s="75" cm="1">
        <f t="array" ref="AI66">INDEX(TRit[],$AN$6,$AP3)</f>
        <v>68.943404000000001</v>
      </c>
      <c r="AJ66" s="76" t="s">
        <v>79</v>
      </c>
      <c r="AK66" s="77" cm="1">
        <f t="array" ref="AK66">INDEX(Demand[],$AP3, $AN$6)</f>
        <v>160</v>
      </c>
      <c r="AL66" s="31"/>
    </row>
    <row r="67" spans="1:38" ht="15.95" customHeight="1" thickBot="1" x14ac:dyDescent="0.3">
      <c r="B67" s="32"/>
      <c r="C67" s="23" t="s">
        <v>6</v>
      </c>
      <c r="D67" s="21">
        <v>0</v>
      </c>
      <c r="E67" s="21">
        <v>0</v>
      </c>
      <c r="F67" s="21">
        <v>0</v>
      </c>
      <c r="G67" s="20">
        <v>0</v>
      </c>
      <c r="H67" s="20">
        <v>0</v>
      </c>
      <c r="I67" s="54">
        <v>0</v>
      </c>
      <c r="L67" s="23" t="s">
        <v>6</v>
      </c>
      <c r="M67" s="21">
        <v>0</v>
      </c>
      <c r="N67" s="21">
        <v>0</v>
      </c>
      <c r="O67" s="21">
        <v>0</v>
      </c>
      <c r="P67" s="20">
        <v>0</v>
      </c>
      <c r="Q67" s="20">
        <v>0</v>
      </c>
      <c r="R67" s="54">
        <v>0</v>
      </c>
      <c r="S67" s="38"/>
      <c r="V67" s="32" t="s">
        <v>2</v>
      </c>
      <c r="W67" s="75" cm="1">
        <f t="array" ref="W67">INDEX(TRit[],$AN$3,$AP4)</f>
        <v>73.786254999999997</v>
      </c>
      <c r="X67" s="76" t="s">
        <v>79</v>
      </c>
      <c r="Y67" s="77" cm="1">
        <f t="array" ref="Y67">INDEX(Demand[],$AP4, $AN$3)</f>
        <v>150</v>
      </c>
      <c r="Z67" s="76"/>
      <c r="AA67" s="75" cm="1">
        <f t="array" ref="AA67">INDEX(TRit[],$AN$4,$AP4)</f>
        <v>106.5958</v>
      </c>
      <c r="AB67" s="76" t="s">
        <v>79</v>
      </c>
      <c r="AC67" s="77" cm="1">
        <f t="array" ref="AC67">INDEX(Demand[],$AP4, $AN$4)</f>
        <v>143</v>
      </c>
      <c r="AD67" s="76"/>
      <c r="AE67" s="75" cm="1">
        <f t="array" ref="AE67">INDEX(TRit[],$AN$5,$AP4)</f>
        <v>156.3313</v>
      </c>
      <c r="AF67" s="76" t="s">
        <v>79</v>
      </c>
      <c r="AG67" s="77" cm="1">
        <f t="array" ref="AG67">INDEX(Demand[],$AP4, $AN$5)</f>
        <v>195</v>
      </c>
      <c r="AH67" s="76"/>
      <c r="AI67" s="75" cm="1">
        <f t="array" ref="AI67">INDEX(TRit[],$AN$6,$AP4)</f>
        <v>45.138002999999998</v>
      </c>
      <c r="AJ67" s="76" t="s">
        <v>79</v>
      </c>
      <c r="AK67" s="77" cm="1">
        <f t="array" ref="AK67">INDEX(Demand[],$AP4, $AN$6)</f>
        <v>99</v>
      </c>
      <c r="AL67" s="31"/>
    </row>
    <row r="68" spans="1:38" ht="15.95" customHeight="1" thickBot="1" x14ac:dyDescent="0.3">
      <c r="B68" s="32"/>
      <c r="C68" s="24" t="s">
        <v>9</v>
      </c>
      <c r="D68" s="22">
        <v>0</v>
      </c>
      <c r="E68" s="22">
        <v>2.4793497000000002</v>
      </c>
      <c r="F68" s="22">
        <v>2.9414823000000001</v>
      </c>
      <c r="G68" s="19">
        <v>0</v>
      </c>
      <c r="H68" s="19">
        <v>8.3362915999999991</v>
      </c>
      <c r="I68" s="55">
        <v>1.4138999000000001</v>
      </c>
      <c r="L68" s="24" t="s">
        <v>9</v>
      </c>
      <c r="M68" s="22">
        <v>0</v>
      </c>
      <c r="N68" s="22">
        <v>0</v>
      </c>
      <c r="O68" s="22">
        <v>0</v>
      </c>
      <c r="P68" s="19">
        <v>0</v>
      </c>
      <c r="Q68" s="19">
        <v>0</v>
      </c>
      <c r="R68" s="55">
        <v>0</v>
      </c>
      <c r="S68" s="38"/>
      <c r="V68" s="32" t="s">
        <v>3</v>
      </c>
      <c r="W68" s="75" cm="1">
        <f t="array" ref="W68">INDEX(TRit[],$AN$3,$AP5)</f>
        <v>68.380336999999997</v>
      </c>
      <c r="X68" s="76" t="s">
        <v>79</v>
      </c>
      <c r="Y68" s="77" cm="1">
        <f t="array" ref="Y68">INDEX(Demand[],$AP5, $AN$3)</f>
        <v>135</v>
      </c>
      <c r="Z68" s="76"/>
      <c r="AA68" s="75" cm="1">
        <f t="array" ref="AA68">INDEX(TRit[],$AN$4,$AP5)</f>
        <v>80</v>
      </c>
      <c r="AB68" s="76" t="s">
        <v>79</v>
      </c>
      <c r="AC68" s="77" cm="1">
        <f t="array" ref="AC68">INDEX(Demand[],$AP5, $AN$4)</f>
        <v>80</v>
      </c>
      <c r="AD68" s="76"/>
      <c r="AE68" s="75" cm="1">
        <f t="array" ref="AE68">INDEX(TRit[],$AN$5,$AP5)</f>
        <v>121.92547999999999</v>
      </c>
      <c r="AF68" s="76" t="s">
        <v>79</v>
      </c>
      <c r="AG68" s="77" cm="1">
        <f t="array" ref="AG68">INDEX(Demand[],$AP5, $AN$5)</f>
        <v>242</v>
      </c>
      <c r="AH68" s="76"/>
      <c r="AI68" s="75" cm="1">
        <f t="array" ref="AI68">INDEX(TRit[],$AN$6,$AP5)</f>
        <v>41.819701999999999</v>
      </c>
      <c r="AJ68" s="76" t="s">
        <v>79</v>
      </c>
      <c r="AK68" s="77" cm="1">
        <f t="array" ref="AK68">INDEX(Demand[],$AP5, $AN$6)</f>
        <v>55</v>
      </c>
      <c r="AL68" s="31"/>
    </row>
    <row r="69" spans="1:38" ht="15.95" customHeight="1" thickBot="1" x14ac:dyDescent="0.3">
      <c r="B69" s="32"/>
      <c r="C69" s="24" t="s">
        <v>7</v>
      </c>
      <c r="D69" s="22">
        <v>5.1704097000000004</v>
      </c>
      <c r="E69" s="22">
        <v>5.7191231</v>
      </c>
      <c r="F69" s="22">
        <v>4.6563328999999998</v>
      </c>
      <c r="G69" s="19">
        <v>8.4682137999999991</v>
      </c>
      <c r="H69" s="19">
        <v>0</v>
      </c>
      <c r="I69" s="55">
        <v>6.2886245000000001</v>
      </c>
      <c r="L69" s="24" t="s">
        <v>7</v>
      </c>
      <c r="M69" s="22">
        <v>0</v>
      </c>
      <c r="N69" s="22">
        <v>0</v>
      </c>
      <c r="O69" s="22">
        <v>0</v>
      </c>
      <c r="P69" s="19">
        <v>0</v>
      </c>
      <c r="Q69" s="19">
        <v>0</v>
      </c>
      <c r="R69" s="55">
        <v>0</v>
      </c>
      <c r="S69" s="38"/>
      <c r="V69" s="32" t="s">
        <v>4</v>
      </c>
      <c r="W69" s="75" cm="1">
        <f t="array" ref="W69">INDEX(TRit[],$AN$3,$AP6)</f>
        <v>76.213924000000006</v>
      </c>
      <c r="X69" s="76" t="s">
        <v>79</v>
      </c>
      <c r="Y69" s="77" cm="1">
        <f t="array" ref="Y69">INDEX(Demand[],$AP6, $AN$3)</f>
        <v>83</v>
      </c>
      <c r="Z69" s="76"/>
      <c r="AA69" s="75" cm="1">
        <f t="array" ref="AA69">INDEX(TRit[],$AN$4,$AP6)</f>
        <v>123.73838000000001</v>
      </c>
      <c r="AB69" s="76" t="s">
        <v>79</v>
      </c>
      <c r="AC69" s="77" cm="1">
        <f t="array" ref="AC69">INDEX(Demand[],$AP6, $AN$4)</f>
        <v>225</v>
      </c>
      <c r="AD69" s="76"/>
      <c r="AE69" s="75" cm="1">
        <f t="array" ref="AE69">INDEX(TRit[],$AN$5,$AP6)</f>
        <v>111</v>
      </c>
      <c r="AF69" s="76" t="s">
        <v>79</v>
      </c>
      <c r="AG69" s="77" cm="1">
        <f t="array" ref="AG69">INDEX(Demand[],$AP6, $AN$5)</f>
        <v>111</v>
      </c>
      <c r="AH69" s="76"/>
      <c r="AI69" s="75" cm="1">
        <f t="array" ref="AI69">INDEX(TRit[],$AN$6,$AP6)</f>
        <v>47.350448999999998</v>
      </c>
      <c r="AJ69" s="76" t="s">
        <v>79</v>
      </c>
      <c r="AK69" s="77" cm="1">
        <f t="array" ref="AK69">INDEX(Demand[],$AP6, $AN$6)</f>
        <v>96</v>
      </c>
      <c r="AL69" s="31"/>
    </row>
    <row r="70" spans="1:38" ht="15.95" customHeight="1" thickBot="1" x14ac:dyDescent="0.3">
      <c r="B70" s="32"/>
      <c r="C70" s="25" t="s">
        <v>8</v>
      </c>
      <c r="D70" s="57">
        <v>0</v>
      </c>
      <c r="E70" s="57">
        <v>0</v>
      </c>
      <c r="F70" s="57">
        <v>0</v>
      </c>
      <c r="G70" s="58">
        <v>0</v>
      </c>
      <c r="H70" s="58">
        <v>0</v>
      </c>
      <c r="I70" s="59">
        <v>0</v>
      </c>
      <c r="L70" s="25" t="s">
        <v>8</v>
      </c>
      <c r="M70" s="57">
        <v>0</v>
      </c>
      <c r="N70" s="57">
        <v>0</v>
      </c>
      <c r="O70" s="57">
        <v>0</v>
      </c>
      <c r="P70" s="58">
        <v>0</v>
      </c>
      <c r="Q70" s="58">
        <v>0</v>
      </c>
      <c r="R70" s="59">
        <v>0</v>
      </c>
      <c r="S70" s="38"/>
      <c r="V70" s="32" t="s">
        <v>5</v>
      </c>
      <c r="W70" s="75" cm="1">
        <f t="array" ref="W70">INDEX(TRit[],$AN$3,$AP7)</f>
        <v>75.026623999999998</v>
      </c>
      <c r="X70" s="76" t="s">
        <v>79</v>
      </c>
      <c r="Y70" s="77" cm="1">
        <f t="array" ref="Y70">INDEX(Demand[],$AP7, $AN$3)</f>
        <v>120</v>
      </c>
      <c r="Z70" s="76"/>
      <c r="AA70" s="75" cm="1">
        <f t="array" ref="AA70">INDEX(TRit[],$AN$4,$AP7)</f>
        <v>107.47413</v>
      </c>
      <c r="AB70" s="76" t="s">
        <v>79</v>
      </c>
      <c r="AC70" s="77" cm="1">
        <f t="array" ref="AC70">INDEX(Demand[],$AP7, $AN$4)</f>
        <v>210</v>
      </c>
      <c r="AD70" s="76"/>
      <c r="AE70" s="75" cm="1">
        <f t="array" ref="AE70">INDEX(TRit[],$AN$5,$AP7)</f>
        <v>70</v>
      </c>
      <c r="AF70" s="76" t="s">
        <v>79</v>
      </c>
      <c r="AG70" s="77" cm="1">
        <f t="array" ref="AG70">INDEX(Demand[],$AP7, $AN$5)</f>
        <v>70</v>
      </c>
      <c r="AH70" s="76"/>
      <c r="AI70" s="75" cm="1">
        <f t="array" ref="AI70">INDEX(TRit[],$AN$6,$AP7)</f>
        <v>45.767325</v>
      </c>
      <c r="AJ70" s="76" t="s">
        <v>79</v>
      </c>
      <c r="AK70" s="77" cm="1">
        <f t="array" ref="AK70">INDEX(Demand[],$AP7, $AN$6)</f>
        <v>115</v>
      </c>
      <c r="AL70" s="31"/>
    </row>
    <row r="71" spans="1:38" ht="15.95" customHeight="1" thickBot="1" x14ac:dyDescent="0.3">
      <c r="B71" s="32"/>
      <c r="S71" s="38"/>
      <c r="V71" s="32"/>
      <c r="W71" s="75" cm="1">
        <f t="array" ref="W71">INDEX(TRit[],$AN$3,$AP8)</f>
        <v>15.856407000000001</v>
      </c>
      <c r="X71" s="76" t="s">
        <v>79</v>
      </c>
      <c r="Y71" s="77" cm="1">
        <f t="array" ref="Y71">INDEX(Demand[],$AP8, $AN$3)</f>
        <v>230</v>
      </c>
      <c r="Z71" s="76"/>
      <c r="AA71" s="75" cm="1">
        <f t="array" ref="AA71">INDEX(TRit[],$AN$4,$AP8)</f>
        <v>0</v>
      </c>
      <c r="AB71" s="76" t="s">
        <v>79</v>
      </c>
      <c r="AC71" s="77" cm="1">
        <f t="array" ref="AC71">INDEX(Demand[],$AP8, $AN$4)</f>
        <v>98</v>
      </c>
      <c r="AD71" s="76"/>
      <c r="AE71" s="75" cm="1">
        <f t="array" ref="AE71">INDEX(TRit[],$AN$5,$AP8)</f>
        <v>124</v>
      </c>
      <c r="AF71" s="76" t="s">
        <v>79</v>
      </c>
      <c r="AG71" s="77" cm="1">
        <f t="array" ref="AG71">INDEX(Demand[],$AP8, $AN$5)</f>
        <v>124</v>
      </c>
      <c r="AH71" s="76"/>
      <c r="AI71" s="75" cm="1">
        <f t="array" ref="AI71">INDEX(TRit[],$AN$6,$AP8)</f>
        <v>0</v>
      </c>
      <c r="AJ71" s="76" t="s">
        <v>79</v>
      </c>
      <c r="AK71" s="77" cm="1">
        <f t="array" ref="AK71">INDEX(Demand[],$AP8, $AN$6)</f>
        <v>80</v>
      </c>
      <c r="AL71" s="31"/>
    </row>
    <row r="72" spans="1:38" ht="63.75" thickBot="1" x14ac:dyDescent="0.3">
      <c r="B72" s="32"/>
      <c r="C72" s="37" t="s">
        <v>45</v>
      </c>
      <c r="D72" s="45" t="s">
        <v>0</v>
      </c>
      <c r="E72" s="45" t="s">
        <v>1</v>
      </c>
      <c r="F72" s="45" t="s">
        <v>2</v>
      </c>
      <c r="G72" s="46" t="s">
        <v>3</v>
      </c>
      <c r="H72" s="45" t="s">
        <v>4</v>
      </c>
      <c r="I72" s="56" t="s">
        <v>5</v>
      </c>
      <c r="L72" s="37" t="s">
        <v>45</v>
      </c>
      <c r="M72" s="45" t="s">
        <v>0</v>
      </c>
      <c r="N72" s="45" t="s">
        <v>1</v>
      </c>
      <c r="O72" s="45" t="s">
        <v>2</v>
      </c>
      <c r="P72" s="46" t="s">
        <v>3</v>
      </c>
      <c r="Q72" s="45" t="s">
        <v>4</v>
      </c>
      <c r="R72" s="56" t="s">
        <v>5</v>
      </c>
      <c r="S72" s="38"/>
      <c r="V72" s="33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34"/>
    </row>
    <row r="73" spans="1:38" ht="15.95" customHeight="1" thickBot="1" x14ac:dyDescent="0.3">
      <c r="B73" s="32"/>
      <c r="C73" s="23" t="s">
        <v>6</v>
      </c>
      <c r="D73" s="21">
        <v>0</v>
      </c>
      <c r="E73" s="21">
        <v>0</v>
      </c>
      <c r="F73" s="21">
        <v>0</v>
      </c>
      <c r="G73" s="20">
        <v>0</v>
      </c>
      <c r="H73" s="20">
        <v>0</v>
      </c>
      <c r="I73" s="54">
        <v>0</v>
      </c>
      <c r="L73" s="23" t="s">
        <v>6</v>
      </c>
      <c r="M73" s="21">
        <v>0</v>
      </c>
      <c r="N73" s="21">
        <v>0</v>
      </c>
      <c r="O73" s="21">
        <v>0</v>
      </c>
      <c r="P73" s="20">
        <v>0</v>
      </c>
      <c r="Q73" s="20">
        <v>0</v>
      </c>
      <c r="R73" s="54">
        <v>0</v>
      </c>
      <c r="S73" s="38"/>
    </row>
    <row r="74" spans="1:38" ht="15.95" customHeight="1" thickTop="1" thickBot="1" x14ac:dyDescent="0.3">
      <c r="A74" s="38"/>
      <c r="C74" s="24" t="s">
        <v>9</v>
      </c>
      <c r="D74" s="22">
        <v>0</v>
      </c>
      <c r="E74" s="22">
        <v>0</v>
      </c>
      <c r="F74" s="22">
        <v>0</v>
      </c>
      <c r="G74" s="19">
        <v>0</v>
      </c>
      <c r="H74" s="19">
        <v>0</v>
      </c>
      <c r="I74" s="55">
        <v>0</v>
      </c>
      <c r="L74" s="24" t="s">
        <v>9</v>
      </c>
      <c r="M74" s="22">
        <v>0</v>
      </c>
      <c r="N74" s="22">
        <v>0</v>
      </c>
      <c r="O74" s="22">
        <v>0</v>
      </c>
      <c r="P74" s="19">
        <v>0</v>
      </c>
      <c r="Q74" s="19">
        <v>0</v>
      </c>
      <c r="R74" s="55">
        <v>0</v>
      </c>
      <c r="S74" s="38"/>
      <c r="V74" s="27"/>
      <c r="W74" s="28"/>
      <c r="X74" s="28"/>
      <c r="Y74" s="28"/>
      <c r="Z74" s="29"/>
    </row>
    <row r="75" spans="1:38" ht="15.95" customHeight="1" thickBot="1" x14ac:dyDescent="0.3">
      <c r="A75" s="38"/>
      <c r="C75" s="24" t="s">
        <v>7</v>
      </c>
      <c r="D75" s="22">
        <v>0</v>
      </c>
      <c r="E75" s="22">
        <v>0</v>
      </c>
      <c r="F75" s="22">
        <v>0</v>
      </c>
      <c r="G75" s="19">
        <v>0</v>
      </c>
      <c r="H75" s="19">
        <v>0</v>
      </c>
      <c r="I75" s="55">
        <v>0</v>
      </c>
      <c r="L75" s="24" t="s">
        <v>7</v>
      </c>
      <c r="M75" s="22">
        <v>3.0119224999999998</v>
      </c>
      <c r="N75" s="22">
        <v>5.0153335999999999</v>
      </c>
      <c r="O75" s="22">
        <v>4.6466336000000004</v>
      </c>
      <c r="P75" s="19">
        <v>5.2611610000000004</v>
      </c>
      <c r="Q75" s="19">
        <v>2.6044170000000002</v>
      </c>
      <c r="R75" s="55">
        <v>7.1292970999999996</v>
      </c>
      <c r="S75" s="38"/>
      <c r="V75" s="32"/>
      <c r="W75" s="149" t="s">
        <v>37</v>
      </c>
      <c r="X75" s="149"/>
      <c r="Y75" s="149"/>
      <c r="Z75" s="31"/>
    </row>
    <row r="76" spans="1:38" ht="15.95" customHeight="1" thickBot="1" x14ac:dyDescent="0.3">
      <c r="A76" s="38"/>
      <c r="C76" s="25" t="s">
        <v>8</v>
      </c>
      <c r="D76" s="57">
        <v>0</v>
      </c>
      <c r="E76" s="57">
        <v>0</v>
      </c>
      <c r="F76" s="57">
        <v>0</v>
      </c>
      <c r="G76" s="58">
        <v>0</v>
      </c>
      <c r="H76" s="58">
        <v>0</v>
      </c>
      <c r="I76" s="59">
        <v>0</v>
      </c>
      <c r="L76" s="25" t="s">
        <v>8</v>
      </c>
      <c r="M76" s="57">
        <v>0</v>
      </c>
      <c r="N76" s="57">
        <v>0</v>
      </c>
      <c r="O76" s="57">
        <v>0</v>
      </c>
      <c r="P76" s="58">
        <v>0</v>
      </c>
      <c r="Q76" s="58">
        <v>0</v>
      </c>
      <c r="R76" s="59">
        <v>0</v>
      </c>
      <c r="S76" s="38"/>
      <c r="V76" s="32"/>
      <c r="Z76" s="31"/>
    </row>
    <row r="77" spans="1:38" ht="25.5" x14ac:dyDescent="0.25">
      <c r="A77" s="38"/>
      <c r="S77" s="38"/>
      <c r="V77" s="137" t="s">
        <v>80</v>
      </c>
      <c r="W77" s="75" cm="1">
        <f t="array" ref="W77">SUM(
SUM(Data!J31/100*(INDEX(TRit[],$AN$3:$AN$6,$AP$3))),
SUM(((Data!J30+Data!J31)/100)*(INDEX(TRit[],$AN$3:$AN$6,$AP$4))),(INDEX(NUit[],$AN$3:$AN$6,$AP$5)))</f>
        <v>609.04345310000008</v>
      </c>
      <c r="X77" s="76" t="s">
        <v>34</v>
      </c>
      <c r="Y77" s="77">
        <f>Cars</f>
        <v>609.04345000000001</v>
      </c>
      <c r="Z77" s="31"/>
    </row>
    <row r="78" spans="1:38" ht="15.95" customHeight="1" thickBot="1" x14ac:dyDescent="0.3">
      <c r="B78" s="39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2"/>
      <c r="V78" s="33"/>
      <c r="W78" s="26"/>
      <c r="X78" s="26"/>
      <c r="Y78" s="26"/>
      <c r="Z78" s="34"/>
    </row>
    <row r="79" spans="1:38" ht="15.95" customHeight="1" thickTop="1" thickBot="1" x14ac:dyDescent="0.3">
      <c r="B79" s="28"/>
      <c r="C79" s="28"/>
      <c r="D79" s="28"/>
      <c r="E79" s="28"/>
      <c r="F79" s="28"/>
      <c r="G79" s="28"/>
      <c r="H79" s="28"/>
      <c r="I79" s="28"/>
      <c r="J79" s="28"/>
      <c r="L79" s="44"/>
    </row>
    <row r="80" spans="1:38" ht="15.95" customHeight="1" thickTop="1" thickBot="1" x14ac:dyDescent="0.3">
      <c r="B80" s="27"/>
      <c r="C80" s="28"/>
      <c r="D80" s="28"/>
      <c r="E80" s="28"/>
      <c r="F80" s="28"/>
      <c r="G80" s="28"/>
      <c r="H80" s="28"/>
      <c r="I80" s="28"/>
      <c r="J80" s="29"/>
    </row>
    <row r="81" spans="2:10" ht="26.25" thickBot="1" x14ac:dyDescent="0.3">
      <c r="B81" s="30"/>
      <c r="C81" s="36" t="s">
        <v>44</v>
      </c>
      <c r="D81" s="45" t="s">
        <v>0</v>
      </c>
      <c r="E81" s="45" t="s">
        <v>1</v>
      </c>
      <c r="F81" s="45" t="s">
        <v>2</v>
      </c>
      <c r="G81" s="46" t="s">
        <v>3</v>
      </c>
      <c r="H81" s="45" t="s">
        <v>4</v>
      </c>
      <c r="I81" s="56" t="s">
        <v>5</v>
      </c>
      <c r="J81" s="31"/>
    </row>
    <row r="82" spans="2:10" ht="15.95" customHeight="1" thickBot="1" x14ac:dyDescent="0.3">
      <c r="B82" s="32"/>
      <c r="C82" s="23" t="s">
        <v>6</v>
      </c>
      <c r="D82" s="21">
        <v>0</v>
      </c>
      <c r="E82" s="21">
        <v>0</v>
      </c>
      <c r="F82" s="21">
        <v>0</v>
      </c>
      <c r="G82" s="20">
        <v>0</v>
      </c>
      <c r="H82" s="20">
        <v>0</v>
      </c>
      <c r="I82" s="54">
        <v>0</v>
      </c>
      <c r="J82" s="31"/>
    </row>
    <row r="83" spans="2:10" ht="15.95" customHeight="1" thickBot="1" x14ac:dyDescent="0.3">
      <c r="B83" s="32"/>
      <c r="C83" s="24" t="s">
        <v>9</v>
      </c>
      <c r="D83" s="22">
        <v>12</v>
      </c>
      <c r="E83" s="22">
        <v>12</v>
      </c>
      <c r="F83" s="22">
        <v>12</v>
      </c>
      <c r="G83" s="19">
        <v>12</v>
      </c>
      <c r="H83" s="19">
        <v>12</v>
      </c>
      <c r="I83" s="55">
        <v>12</v>
      </c>
      <c r="J83" s="31"/>
    </row>
    <row r="84" spans="2:10" ht="15.95" customHeight="1" thickBot="1" x14ac:dyDescent="0.3">
      <c r="B84" s="32"/>
      <c r="C84" s="24" t="s">
        <v>7</v>
      </c>
      <c r="D84" s="22">
        <v>20</v>
      </c>
      <c r="E84" s="22">
        <v>20</v>
      </c>
      <c r="F84" s="22">
        <v>20</v>
      </c>
      <c r="G84" s="19">
        <v>20</v>
      </c>
      <c r="H84" s="19">
        <v>20</v>
      </c>
      <c r="I84" s="55">
        <v>20</v>
      </c>
      <c r="J84" s="31"/>
    </row>
    <row r="85" spans="2:10" ht="15.95" customHeight="1" thickBot="1" x14ac:dyDescent="0.3">
      <c r="B85" s="32"/>
      <c r="C85" s="25" t="s">
        <v>8</v>
      </c>
      <c r="D85" s="57">
        <v>0</v>
      </c>
      <c r="E85" s="57">
        <v>0</v>
      </c>
      <c r="F85" s="57">
        <v>0</v>
      </c>
      <c r="G85" s="58">
        <v>0</v>
      </c>
      <c r="H85" s="58">
        <v>0</v>
      </c>
      <c r="I85" s="59">
        <v>0</v>
      </c>
      <c r="J85" s="31"/>
    </row>
    <row r="86" spans="2:10" ht="15.95" customHeight="1" thickBot="1" x14ac:dyDescent="0.3">
      <c r="B86" s="33"/>
      <c r="C86" s="26"/>
      <c r="D86" s="26"/>
      <c r="E86" s="26"/>
      <c r="F86" s="26"/>
      <c r="G86" s="26"/>
      <c r="H86" s="26"/>
      <c r="I86" s="26"/>
      <c r="J86" s="34"/>
    </row>
    <row r="87" spans="2:10" ht="15.95" customHeight="1" thickTop="1" x14ac:dyDescent="0.25">
      <c r="B87" s="28"/>
      <c r="C87" s="28"/>
      <c r="D87" s="28"/>
      <c r="E87" s="28"/>
      <c r="F87" s="28"/>
      <c r="G87" s="28"/>
      <c r="H87" s="28"/>
      <c r="I87" s="28"/>
      <c r="J87" s="28"/>
    </row>
  </sheetData>
  <mergeCells count="35">
    <mergeCell ref="F1:M1"/>
    <mergeCell ref="W51:AK51"/>
    <mergeCell ref="W27:AK27"/>
    <mergeCell ref="W39:AK39"/>
    <mergeCell ref="W15:AK15"/>
    <mergeCell ref="W3:AK3"/>
    <mergeCell ref="W17:Y17"/>
    <mergeCell ref="AA17:AC17"/>
    <mergeCell ref="AE17:AG17"/>
    <mergeCell ref="AI17:AK17"/>
    <mergeCell ref="W5:Y5"/>
    <mergeCell ref="AA5:AC5"/>
    <mergeCell ref="AE5:AG5"/>
    <mergeCell ref="AE65:AG65"/>
    <mergeCell ref="AI65:AK65"/>
    <mergeCell ref="W53:Y53"/>
    <mergeCell ref="BJ1:BN2"/>
    <mergeCell ref="BJ6:BN7"/>
    <mergeCell ref="AN1:AR1"/>
    <mergeCell ref="AA53:AC53"/>
    <mergeCell ref="AE53:AG53"/>
    <mergeCell ref="AI53:AK53"/>
    <mergeCell ref="AI5:AK5"/>
    <mergeCell ref="W75:Y75"/>
    <mergeCell ref="W63:AK63"/>
    <mergeCell ref="W29:Y29"/>
    <mergeCell ref="AA29:AC29"/>
    <mergeCell ref="AE29:AG29"/>
    <mergeCell ref="AI29:AK29"/>
    <mergeCell ref="W41:Y41"/>
    <mergeCell ref="AA41:AC41"/>
    <mergeCell ref="AE41:AG41"/>
    <mergeCell ref="AI41:AK41"/>
    <mergeCell ref="W65:Y65"/>
    <mergeCell ref="AA65:AC65"/>
  </mergeCells>
  <phoneticPr fontId="1" type="noConversion"/>
  <pageMargins left="0.7" right="0.7" top="0.75" bottom="0.75" header="0.3" footer="0.3"/>
  <drawing r:id="rId1"/>
  <legacyDrawing r:id="rId2"/>
  <tableParts count="16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E28D-529D-4090-956F-FFEF2231D51B}">
  <sheetPr>
    <tabColor rgb="FFFFFF00"/>
  </sheetPr>
  <dimension ref="A1:BN95"/>
  <sheetViews>
    <sheetView topLeftCell="A11" zoomScale="85" zoomScaleNormal="85" workbookViewId="0">
      <selection activeCell="W60" sqref="W60"/>
    </sheetView>
  </sheetViews>
  <sheetFormatPr defaultColWidth="9.7109375" defaultRowHeight="15.95" customHeight="1" x14ac:dyDescent="0.25"/>
  <cols>
    <col min="1" max="1" width="9.7109375" style="5"/>
    <col min="2" max="2" width="11.140625" style="5" customWidth="1"/>
    <col min="3" max="3" width="10.140625" style="5" bestFit="1" customWidth="1"/>
    <col min="4" max="4" width="11.42578125" style="5" bestFit="1" customWidth="1"/>
    <col min="5" max="7" width="4.7109375" style="5" customWidth="1"/>
    <col min="8" max="8" width="8.42578125" style="5" customWidth="1"/>
    <col min="9" max="11" width="4.7109375" style="5" customWidth="1"/>
    <col min="12" max="12" width="6.140625" style="5" customWidth="1"/>
    <col min="13" max="13" width="8.5703125" style="5" customWidth="1"/>
    <col min="14" max="16" width="4.7109375" style="5" customWidth="1"/>
    <col min="17" max="22" width="9.7109375" style="5"/>
    <col min="23" max="23" width="9.85546875" style="5" bestFit="1" customWidth="1"/>
    <col min="24" max="24" width="9.7109375" style="5"/>
    <col min="25" max="25" width="9.85546875" style="5" bestFit="1" customWidth="1"/>
    <col min="26" max="26" width="9.7109375" style="5"/>
    <col min="27" max="27" width="9.85546875" style="5" bestFit="1" customWidth="1"/>
    <col min="28" max="28" width="9.7109375" style="5"/>
    <col min="29" max="29" width="9.85546875" style="5" bestFit="1" customWidth="1"/>
    <col min="30" max="30" width="9.7109375" style="5" customWidth="1"/>
    <col min="31" max="31" width="7.85546875" style="5" bestFit="1" customWidth="1"/>
    <col min="32" max="32" width="9.7109375" style="5"/>
    <col min="33" max="33" width="9.85546875" style="5" bestFit="1" customWidth="1"/>
    <col min="34" max="34" width="9.7109375" style="5"/>
    <col min="35" max="35" width="9.85546875" style="5" bestFit="1" customWidth="1"/>
    <col min="36" max="16384" width="9.7109375" style="5"/>
  </cols>
  <sheetData>
    <row r="1" spans="2:66" ht="15.95" customHeight="1" thickBot="1" x14ac:dyDescent="0.3">
      <c r="F1" s="152" t="s">
        <v>81</v>
      </c>
      <c r="G1" s="152"/>
      <c r="H1" s="152"/>
      <c r="I1" s="152"/>
      <c r="J1" s="152"/>
      <c r="K1" s="152"/>
      <c r="L1" s="152"/>
      <c r="M1" s="152"/>
      <c r="AN1" s="142" t="s">
        <v>55</v>
      </c>
      <c r="AO1" s="142"/>
      <c r="AP1" s="142"/>
      <c r="AQ1" s="142"/>
      <c r="AR1" s="142"/>
      <c r="BJ1" s="143" t="s">
        <v>19</v>
      </c>
      <c r="BK1" s="144"/>
      <c r="BL1" s="144"/>
      <c r="BM1" s="144"/>
      <c r="BN1" s="145"/>
    </row>
    <row r="2" spans="2:66" ht="15.95" customHeight="1" thickTop="1" thickBot="1" x14ac:dyDescent="0.3">
      <c r="B2" s="134" t="s">
        <v>32</v>
      </c>
      <c r="C2" s="130">
        <f>SUM(F2:K2)-L2-M2-N2</f>
        <v>131918.94384784007</v>
      </c>
      <c r="F2" s="163" cm="1">
        <f t="array" ref="F2">SUM(
SUM(INDEX(Glasgow_PerC, $AR$3:$AR$5, $AN$3)*(INDEX(Rental_Price[], $AR$3:$AR$5, 1) - (INDEX(Marginal_Cost[], $AR$3:$AR$5)) + Damage_Fee/Damaged_CarsPerC))*INDEX(TRit24[], $AN$3, $AP$3:$AP$7)/100,
SUM(INDEX(Manchester_PerC, $AR$3:$AR$5, $AN$4)*(INDEX(Rental_Price[], $AR$3:$AR$5, 1) - (INDEX(Marginal_Cost[], $AR$3:$AR$5)) + Damage_Fee/Damaged_CarsPerC))*INDEX(TRit24[], $AN$4, $AP$3:$AP$7)/100,
SUM(INDEX(Birmingham_PerC, $AR$3:$AR$5, $AN$5)*(INDEX(Rental_Price[], $AR$3:$AR$5, 1) - (INDEX(Marginal_Cost[], $AR$3:$AR$5)) + Damage_Fee/Damaged_CarsPerC))*INDEX(TRit24[], $AN$5, $AP$3:$AP$7)/100,
SUM(INDEX(Plymouth_PerC, $AR$3:$AR$5, $AN$6)*(INDEX(Rental_Price[], $AR$3:$AR$5, 1) - (INDEX(Marginal_Cost[], $AR$3:$AR$5)) + Damage_Fee/Damaged_CarsPerC))*INDEX(TRit24[], $AN$6, $AP$3:$AP$7)/100
)</f>
        <v>75110.221193440011</v>
      </c>
      <c r="G2" s="163" cm="1">
        <f t="array" ref="G2">SUM(
SUM(INDEX(Glasgow_PerC, $AR$3:$AR$5, $AN$4)*(INDEX(Rental_Price[], $AR$3:$AR$5, 2) - (INDEX(Marginal_Cost[], $AR$3:$AR$5)) + Damage_Fee/Damaged_CarsPerC))*INDEX(TRit24[], $AN$3, $AP$3:$AP$7)/100,
SUM(INDEX(Glasgow_PerC, $AR$3:$AR$5, $AN$5)*(INDEX(Rental_Price[], $AR$3:$AR$5, 2) - (INDEX(Marginal_Cost[], $AR$3:$AR$5)) + Damage_Fee/Damaged_CarsPerC))*INDEX(TRit24[], $AN$3, $AP$3:$AP$7)/100,
SUM(INDEX(Glasgow_PerC, $AR$3:$AR$5, $AN$6)*(INDEX(Rental_Price[], $AR$3:$AR$5, 2) - (INDEX(Marginal_Cost[], $AR$3:$AR$5)) + Damage_Fee/Damaged_CarsPerC))*INDEX(TRit24[], $AN$3, $AP$3:$AP$7)/100,
SUM(INDEX(Manchester_PerC, $AR$3:$AR$5, $AN$3)*(INDEX(Rental_Price[], $AR$3:$AR$5, 2) - (INDEX(Marginal_Cost[], $AR$3:$AR$5)) + Damage_Fee/Damaged_CarsPerC))*INDEX(TRit24[], $AN$4, $AP$3:$AP$7)/100,
SUM(INDEX(Manchester_PerC, $AR$3:$AR$5, $AN$5)*(INDEX(Rental_Price[], $AR$3:$AR$5, 2) - (INDEX(Marginal_Cost[], $AR$3:$AR$5)) + Damage_Fee/Damaged_CarsPerC))*INDEX(TRit24[], $AN$4, $AP$3:$AP$7)/100,
SUM(INDEX(Manchester_PerC, $AR$3:$AR$5, $AN$6)*(INDEX(Rental_Price[], $AR$3:$AR$5, 2) - (INDEX(Marginal_Cost[], $AR$3:$AR$5)) + Damage_Fee/Damaged_CarsPerC))*INDEX(TRit24[], $AN$4, $AP$3:$AP$7)/100,
SUM(INDEX(Birmingham_PerC, $AR$3:$AR$5, $AN$3)*(INDEX(Rental_Price[], $AR$3:$AR$5, 2) - (INDEX(Marginal_Cost[], $AR$3:$AR$5)) + Damage_Fee/Damaged_CarsPerC))*INDEX(TRit24[], $AN$5, $AP$3:$AP$7)/100,
SUM(INDEX(Birmingham_PerC, $AR$3:$AR$5, $AN$4)*(INDEX(Rental_Price[], $AR$3:$AR$5, 2) - (INDEX(Marginal_Cost[], $AR$3:$AR$5)) + Damage_Fee/Damaged_CarsPerC))*INDEX(TRit24[], $AN$5, $AP$3:$AP$7)/100,
SUM(INDEX(Birmingham_PerC, $AR$3:$AR$5, $AN$6)*(INDEX(Rental_Price[], $AR$3:$AR$5, 2) - (INDEX(Marginal_Cost[], $AR$3:$AR$5)) + Damage_Fee/Damaged_CarsPerC))*INDEX(TRit24[], $AN$5, $AP$3:$AP$7)/100,
SUM(INDEX(Plymouth_PerC, $AR$3:$AR$5, $AN$3)*(INDEX(Rental_Price[], $AR$3:$AR$5, 2) - (INDEX(Marginal_Cost[], $AR$3:$AR$5)) + Damage_Fee/Damaged_CarsPerC))*INDEX(TRit24[], $AN$6, $AP$3:$AP$7)/100,
SUM(INDEX(Plymouth_PerC, $AR$3:$AR$5, $AN$4)*(INDEX(Rental_Price[], $AR$3:$AR$5, 2) - (INDEX(Marginal_Cost[], $AR$3:$AR$5)) + Damage_Fee/Damaged_CarsPerC))*INDEX(TRit24[], $AN$6, $AP$3:$AP$7)/100,
SUM(INDEX(Plymouth_PerC, $AR$3:$AR$5, $AN$5)*(INDEX(Rental_Price[], $AR$3:$AR$5, 2) - (INDEX(Marginal_Cost[], $AR$3:$AR$5)) + Damage_Fee/Damaged_CarsPerC))*INDEX(TRit24[], $AN$6, $AP$3:$AP$7)/100,
)</f>
        <v>85983.293411400053</v>
      </c>
      <c r="H2" s="163" cm="1">
        <f t="array" ref="H2">SUM(
INDEX(Glasgow_PerC, $AR$3, $AN$3)*(INDEX(Rental_Price[], $AR$3, 1) - Discount_Amount - (INDEX(Marginal_Cost[], $AR$3)) + Damage_Fee/Damaged_CarsPerC)*INDEX(TRit24[], $AN$3, $AP$8)/100,
INDEX(Manchester_PerC, $AR$3, $AN$4)*(INDEX(Rental_Price[], $AR$3, 1) - Discount_Amount - (INDEX(Marginal_Cost[], $AR$3)) + Damage_Fee/Damaged_CarsPerC)*INDEX(TRit24[], $AN$4, $AP$8)/100,
INDEX(Birmingham_PerC, $AR$3, $AN$5)*(INDEX(Rental_Price[], $AR$3, 1) - Discount_Amount - (INDEX(Marginal_Cost[], $AR$3)) + Damage_Fee/Damaged_CarsPerC)*INDEX(TRit24[], $AN$5, $AP$8)/100,
INDEX(Plymouth_PerC, $AR$3, $AN$6)*(INDEX(Rental_Price[], $AR$3, 1) - Discount_Amount - (INDEX(Marginal_Cost[], $AR$3)) + Damage_Fee/Damaged_CarsPerC)*INDEX(TRit24[], $AN$6, $AP$8)/100
)</f>
        <v>1124.4713369999999</v>
      </c>
      <c r="I2" s="164" cm="1">
        <f t="array" ref="I2">SUM(
SUM(INDEX(Glasgow_PerC, $AR$3, $AN$4)*(INDEX(Rental_Price[], $AR$3, 2)- Discount_Amount -(INDEX(Marginal_Cost[], $AR$3)) + Damage_Fee/Damaged_CarsPerC))*INDEX(TRit24[], $AN$3,$AP$8)/100,
SUM(INDEX(Glasgow_PerC, $AR$3, $AN$5)*(INDEX(Rental_Price[], $AR$3, 2)- Discount_Amount -(INDEX(Marginal_Cost[], $AR$3)) + Damage_Fee/Damaged_CarsPerC))*INDEX(TRit24[], $AN$3,$AP$8)/100,
SUM(INDEX(Glasgow_PerC, $AR$3, $AN$6)*(INDEX(Rental_Price[], $AR$3, 2)- Discount_Amount -(INDEX(Marginal_Cost[], $AR$3)) + Damage_Fee/Damaged_CarsPerC))*INDEX(TRit24[], $AN$3,$AP$8)/100,
SUM(INDEX(Manchester_PerC, $AR$3, $AN$3)*(INDEX(Rental_Price[], $AR$3, 2)- Discount_Amount -(INDEX(Marginal_Cost[], $AR$3)) + Damage_Fee/Damaged_CarsPerC))*INDEX(TRit24[], $AN$4,$AP$8)/100,
SUM(INDEX(Manchester_PerC, $AR$3, $AN$5)*(INDEX(Rental_Price[], $AR$3, 2)- Discount_Amount -(INDEX(Marginal_Cost[], $AR$3)) + Damage_Fee/Damaged_CarsPerC))*INDEX(TRit24[], $AN$4,$AP$8)/100,
SUM(INDEX(Manchester_PerC, $AR$3, $AN$6)*(INDEX(Rental_Price[], $AR$3, 2)- Discount_Amount -(INDEX(Marginal_Cost[], $AR$3)) + Damage_Fee/Damaged_CarsPerC))*INDEX(TRit24[], $AN$4,$AP$8)/100,
SUM(INDEX(Birmingham_PerC, $AR$3, $AN$3)*(INDEX(Rental_Price[], $AR$3, 2)- Discount_Amount -(INDEX(Marginal_Cost[], $AR$3)) + Damage_Fee/Damaged_CarsPerC))*INDEX(TRit24[], $AN$5,$AP$8)/100,
SUM(INDEX(Birmingham_PerC, $AR$3, $AN$4)*(INDEX(Rental_Price[], $AR$3, 2)- Discount_Amount -(INDEX(Marginal_Cost[], $AR$3)) + Damage_Fee/Damaged_CarsPerC))*INDEX(TRit24[], $AN$5,$AP$8)/100,
SUM(INDEX(Birmingham_PerC, $AR$3, $AN$6)*(INDEX(Rental_Price[], $AR$3, 2)- Discount_Amount -(INDEX(Marginal_Cost[], $AR$3)) + Damage_Fee/Damaged_CarsPerC))*INDEX(TRit24[], $AN$5,$AP$8)/100,
SUM(INDEX(Plymouth_PerC, $AR$3, $AN$3)*(INDEX(Rental_Price[], $AR$3, 2)- Discount_Amount -(INDEX(Marginal_Cost[], $AR$3)) + Damage_Fee/Damaged_CarsPerC))*INDEX(TRit24[], $AN$6,$AP$8)/100,
SUM(INDEX(Plymouth_PerC, $AR$3, $AN$4)*(INDEX(Rental_Price[], $AR$3, 2)- Discount_Amount -(INDEX(Marginal_Cost[], $AR$3)) + Damage_Fee/Damaged_CarsPerC))*INDEX(TRit24[], $AN$6,$AP$8)/100,
SUM(INDEX(Plymouth_PerC, $AR$3, $AN$5)*(INDEX(Rental_Price[], $AR$3, 2)- Discount_Amount -(INDEX(Marginal_Cost[], $AR$3)) + Damage_Fee/Damaged_CarsPerC))*INDEX(TRit24[], $AN$6,$AP$8)/100,
)</f>
        <v>1772.095116</v>
      </c>
      <c r="J2" s="163" cm="1">
        <f t="array" ref="J2">SUM(
INDEX(Glasgow_PerC, $AM$4:$AM$5, $AN$3)*(INDEX(Rental_Price[], $AM$4:$AM$5, 1) - (INDEX(Marginal_Cost[], $AM$4:$AM$5)) + Damage_Fee/Damaged_CarsPerC)*INDEX(TRit24[], $AN$3, $AP$8)/100,
INDEX(Manchester_PerC, $AM$4:$AM$5, $AN$4)*(INDEX(Rental_Price[], $AM$4:$AM$5, 1) - (INDEX(Marginal_Cost[], $AM$4:$AM$5)) + Damage_Fee/Damaged_CarsPerC)*INDEX(TRit24[], $AN$4, $AP$8)/100,
INDEX(Birmingham_PerC, $AM$4:$AM$5, $AN$5)*(INDEX(Rental_Price[], $AM$4:$AM$5, 1) - (INDEX(Marginal_Cost[], $AM$4:$AM$5)) + Damage_Fee/Damaged_CarsPerC)*INDEX(TRit24[], $AN$5, $AP$8)/100,
INDEX(Plymouth_PerC, $AM$4:$AM$5, $AN$6)*(INDEX(Rental_Price[], $AM$4:$AM$5, 1) - (INDEX(Marginal_Cost[], $AM$4:$AM$5)) + Damage_Fee/Damaged_CarsPerC)*INDEX(TRit24[], $AN$6, $AP$8)/100
)</f>
        <v>4497.8853479999998</v>
      </c>
      <c r="K2" s="163" cm="1">
        <f t="array" ref="K2">SUM(
SUM(INDEX(Glasgow_PerC, $AR$4:$AR$5, $AN$4)*(INDEX(Rental_Price[], $AR$4:$AR$5, 2)-(INDEX(Marginal_Cost[], $AR$4:$AR$5)) + Damage_Fee/Damaged_CarsPerC))*INDEX(TRit24[], $AN$3,$AP$8)/100,
SUM(INDEX(Glasgow_PerC, $AR$4:$AR$5, $AN$5)*(INDEX(Rental_Price[], $AR$4:$AR$5, 2)-(INDEX(Marginal_Cost[], $AR$4:$AR$5)) + Damage_Fee/Damaged_CarsPerC))*INDEX(TRit24[], $AN$3,$AP$8)/100,
SUM(INDEX(Glasgow_PerC, $AR$4:$AR$5, $AN$6)*(INDEX(Rental_Price[], $AR$4:$AR$5, 2)-(INDEX(Marginal_Cost[], $AR$4:$AR$5)) + Damage_Fee/Damaged_CarsPerC))*INDEX(TRit24[], $AN$3,$AP$8)/100,
SUM(INDEX(Manchester_PerC, $AR$4:$AR$5, $AN$3)*(INDEX(Rental_Price[], $AR$4:$AR$5, 2)-(INDEX(Marginal_Cost[], $AR$4:$AR$5)) + Damage_Fee/Damaged_CarsPerC))*INDEX(TRit24[], $AN$4,$AP$8)/100,
SUM(INDEX(Manchester_PerC, $AR$4:$AR$5, $AN$5)*(INDEX(Rental_Price[], $AR$4:$AR$5, 2)-(INDEX(Marginal_Cost[], $AR$4:$AR$5)) + Damage_Fee/Damaged_CarsPerC))*INDEX(TRit24[], $AN$4,$AP$8)/100,
SUM(INDEX(Manchester_PerC, $AR$4:$AR$5, $AN$6)*(INDEX(Rental_Price[], $AR$4:$AR$5, 2)-(INDEX(Marginal_Cost[], $AR$4:$AR$5)) + Damage_Fee/Damaged_CarsPerC))*INDEX(TRit24[], $AN$4,$AP$8)/100,
SUM(INDEX(Birmingham_PerC, $AR$4:$AR$5, $AN$3)*(INDEX(Rental_Price[], $AR$4:$AR$5, 2)-(INDEX(Marginal_Cost[], $AR$4:$AR$5)) + Damage_Fee/Damaged_CarsPerC))*INDEX(TRit24[], $AN$5,$AP$8)/100,
SUM(INDEX(Birmingham_PerC, $AR$4:$AR$5, $AN$4)*(INDEX(Rental_Price[], $AR$4:$AR$5, 2)-(INDEX(Marginal_Cost[], $AR$4:$AR$5)) + Damage_Fee/Damaged_CarsPerC))*INDEX(TRit24[], $AN$5,$AP$8)/100,
SUM(INDEX(Birmingham_PerC, $AR$4:$AR$5, $AN$6)*(INDEX(Rental_Price[], $AR$4:$AR$5, 2)-(INDEX(Marginal_Cost[], $AR$4:$AR$5)) + Damage_Fee/Damaged_CarsPerC))*INDEX(TRit24[], $AN$5,$AP$8)/100,
SUM(INDEX(Plymouth_PerC, $AR$4:$AR$5, $AN$3)*(INDEX(Rental_Price[], $AR$4:$AR$5, 2)-(INDEX(Marginal_Cost[], $AR$4:$AR$5)) + Damage_Fee/Damaged_CarsPerC))*INDEX(TRit24[], $AN$6,$AP$8)/100,
SUM(INDEX(Plymouth_PerC, $AR$4:$AR$5, $AN$4)*(INDEX(Rental_Price[], $AR$4:$AR$5, 2)-(INDEX(Marginal_Cost[], $AR$4:$AR$5)) + Damage_Fee/Damaged_CarsPerC))*INDEX(TRit24[], $AN$6,$AP$8)/100,
SUM(INDEX(Plymouth_PerC, $AR$4:$AR$5, $AN$5)*(INDEX(Rental_Price[], $AR$4:$AR$5, 2)-(INDEX(Marginal_Cost[], $AR$4:$AR$5)) + Damage_Fee/Damaged_CarsPerC))*INDEX(TRit24[], $AN$6,$AP$8)/100,
)</f>
        <v>3987.214011</v>
      </c>
      <c r="L2" s="163" cm="1">
        <f t="array" ref="L2">SUM(
SUM(IF(INDEX(Transfer_Cost[], $AN$3, $AN$3:$AN$6)="-",999999999,INDEX(Transfer_Cost[], $AN$3, $AN$3:$AN$6))*(TU1jt29[] + TD1jt33[])),
SUM(IF(INDEX(Transfer_Cost[], $AN$4, $AN$3:$AN$6)="-",999999999,INDEX(Transfer_Cost[], $AN$4, $AN$3:$AN$6))*(TU2jt30[] + TD2jt34[])),
SUM(IF(INDEX(Transfer_Cost[], $AN$5, $AN$3:$AN$6)="-",999999999,INDEX(Transfer_Cost[], $AN$5, $AN$3:$AN$6))*(TU3jt31[] + TD3jt35[])),
SUM(IF(INDEX(Transfer_Cost[], $AN$6, $AN$3:$AN$6)="-",999999999,INDEX(Transfer_Cost[], $AN$6, $AN$3:$AN$6))*(TU4jt32[] + TD4jt36[]))
)</f>
        <v>2704.2871190000005</v>
      </c>
      <c r="M2" s="163">
        <f>Opportunity_Cost*Cars_2</f>
        <v>12851.94945</v>
      </c>
      <c r="N2" s="163">
        <f>SUM(20000*E89,  5000*J89, 18000*E93, 8000*J93, 19000*O89)</f>
        <v>25000</v>
      </c>
      <c r="V2" s="27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N2" s="78" t="s">
        <v>35</v>
      </c>
      <c r="AO2" s="78" t="s">
        <v>36</v>
      </c>
      <c r="AP2" s="78" t="s">
        <v>52</v>
      </c>
      <c r="AQ2" s="78" t="s">
        <v>54</v>
      </c>
      <c r="AR2" s="78" t="s">
        <v>53</v>
      </c>
      <c r="BJ2" s="146"/>
      <c r="BK2" s="147"/>
      <c r="BL2" s="147"/>
      <c r="BM2" s="147"/>
      <c r="BN2" s="148"/>
    </row>
    <row r="3" spans="2:66" ht="15.75" customHeight="1" thickBot="1" x14ac:dyDescent="0.3">
      <c r="F3" s="163" t="s">
        <v>74</v>
      </c>
      <c r="G3" s="163" t="s">
        <v>75</v>
      </c>
      <c r="H3" s="163" t="s">
        <v>76</v>
      </c>
      <c r="I3" s="163" t="s">
        <v>73</v>
      </c>
      <c r="J3" s="163" t="s">
        <v>72</v>
      </c>
      <c r="K3" s="163" t="s">
        <v>71</v>
      </c>
      <c r="L3" s="163" t="s">
        <v>70</v>
      </c>
      <c r="M3" s="163" t="s">
        <v>69</v>
      </c>
      <c r="N3" s="163" t="s">
        <v>71</v>
      </c>
      <c r="V3" s="32"/>
      <c r="W3" s="149" t="s">
        <v>41</v>
      </c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31"/>
      <c r="AN3" s="78">
        <v>1</v>
      </c>
      <c r="AO3" s="78">
        <v>1</v>
      </c>
      <c r="AP3" s="78">
        <v>1</v>
      </c>
      <c r="AQ3" s="78" t="s">
        <v>0</v>
      </c>
      <c r="AR3" s="78">
        <v>1</v>
      </c>
      <c r="BJ3" s="66" t="s">
        <v>17</v>
      </c>
      <c r="BK3" s="83" t="s">
        <v>6</v>
      </c>
      <c r="BL3" s="83" t="s">
        <v>9</v>
      </c>
      <c r="BM3" s="83" t="s">
        <v>7</v>
      </c>
      <c r="BN3" s="84" t="s">
        <v>8</v>
      </c>
    </row>
    <row r="4" spans="2:66" ht="26.25" customHeight="1" thickBot="1" x14ac:dyDescent="0.4">
      <c r="B4" s="140" t="s">
        <v>33</v>
      </c>
      <c r="C4" s="141"/>
      <c r="S4" s="18"/>
      <c r="V4" s="32"/>
      <c r="W4" s="135"/>
      <c r="AL4" s="31"/>
      <c r="AN4" s="78">
        <v>2</v>
      </c>
      <c r="AO4" s="78">
        <v>2</v>
      </c>
      <c r="AP4" s="78">
        <v>2</v>
      </c>
      <c r="AQ4" s="78" t="s">
        <v>1</v>
      </c>
      <c r="AR4" s="78">
        <v>2</v>
      </c>
      <c r="BJ4" s="35" t="s">
        <v>16</v>
      </c>
      <c r="BK4" s="60">
        <v>0</v>
      </c>
      <c r="BL4" s="61">
        <v>12</v>
      </c>
      <c r="BM4" s="62">
        <v>20</v>
      </c>
      <c r="BN4" s="60">
        <v>0</v>
      </c>
    </row>
    <row r="5" spans="2:66" ht="15.95" customHeight="1" thickBot="1" x14ac:dyDescent="0.3">
      <c r="V5" s="32"/>
      <c r="W5" s="150" t="s">
        <v>6</v>
      </c>
      <c r="X5" s="150"/>
      <c r="Y5" s="150"/>
      <c r="AA5" s="151" t="s">
        <v>9</v>
      </c>
      <c r="AB5" s="151"/>
      <c r="AC5" s="151"/>
      <c r="AE5" s="151" t="s">
        <v>7</v>
      </c>
      <c r="AF5" s="151"/>
      <c r="AG5" s="151"/>
      <c r="AI5" s="151" t="s">
        <v>8</v>
      </c>
      <c r="AJ5" s="151"/>
      <c r="AK5" s="151"/>
      <c r="AL5" s="31"/>
      <c r="AN5" s="78">
        <v>3</v>
      </c>
      <c r="AO5" s="78">
        <v>3</v>
      </c>
      <c r="AP5" s="78">
        <v>3</v>
      </c>
      <c r="AQ5" s="78" t="s">
        <v>2</v>
      </c>
      <c r="AR5" s="78">
        <v>3</v>
      </c>
    </row>
    <row r="6" spans="2:66" ht="15.95" customHeight="1" thickTop="1" thickBot="1" x14ac:dyDescent="0.3">
      <c r="B6" s="27"/>
      <c r="C6" s="28"/>
      <c r="D6" s="28"/>
      <c r="E6" s="29"/>
      <c r="V6" s="32" t="s">
        <v>0</v>
      </c>
      <c r="W6" s="75" cm="1">
        <f t="array" ref="W6">SUM(SUM(
SUMPRODUCT(INDEX(Glasgow_PerC, $AR$3:$AR$5, $AN$3)*INDEX(TRit24[], $AN$3, IF($AP3-$AR$3:$AR$5 &lt;= 0,  ($AP3-$AR$3:$AR$5 + COUNT(variable_t)), $AP3-$AR$3:$AR$5))),
SUMPRODUCT(INDEX(Manchester_PerC, $AR$3:$AR$5, $AN$3)*INDEX(TRit24[], $AN$4, IF($AP3-$AR$3:$AR$5 &lt;= 0,  ($AP3-$AR$3:$AR$5 + COUNT(variable_t)), $AP3-$AR$3:$AR$5))),
SUMPRODUCT(INDEX(Birmingham_PerC, $AR$3:$AR$5, $AN$3)*INDEX(TRit24[], $AN$5, IF($AP3-$AR$3:$AR$5 &lt;= 0,  ($AP3-$AR$3:$AR$5 + COUNT(variable_t)), $AP3-$AR$3:$AR$5))),
SUMPRODUCT(INDEX(Plymouth_PerC, $AR$3:$AR$5, $AN$3)*INDEX(TRit24[], $AN$6, IF($AP3-$AR$3:$AR$5 &lt;= 0,  ($AP3-$AR$3:$AR$5 + COUNT(variable_t)), $AP3-$AR$3:$AR$5))))/100*
Undamaged_CarsPerC/100,
SUM(
INDEX(TU1jt29[],  $AN$3, IF($AP3-1 = 0,  ($AP3-1 + COUNT(variable_t)), $AP3-1)),
INDEX(TU2jt30[],  $AN$3, IF($AP3-1 = 0,  ($AP3-1 + COUNT(variable_t)), $AP3-1)),
INDEX(TU3jt31[],  $AN$3, IF($AP3-1 = 0,  ($AP3-1 + COUNT(variable_t)), $AP3-1)),
INDEX(TU4jt32[],  $AN$3, IF($AP3-1 = 0,  ($AP3-1 + COUNT(variable_t)), $AP3-1))),
INDEX(RPit25[], $AN$3, IF($AP3-1 = 0,  ($AP3-1 + COUNT(variable_t)), $AP3-1)),
INDEX(EUit28[], $AN$3, IF($AP3-1 = 0,  ($AP3-1 + COUNT(varable_t)), $AP3-1)),
)</f>
        <v>100.00000022549999</v>
      </c>
      <c r="X6" s="76" t="s">
        <v>34</v>
      </c>
      <c r="Y6" s="77" cm="1">
        <f t="array" ref="Y6">INDEX(NUit37[], $AN$3, $AP3)</f>
        <v>100</v>
      </c>
      <c r="Z6" s="76"/>
      <c r="AA6" s="75" cm="1">
        <f t="array" ref="AA6">SUM(SUM(
SUMPRODUCT(INDEX(Glasgow_PerC, $AR$3:$AR$5, $AN$4)*INDEX(TRit24[], $AN$3, IF($AP3-$AR$3:$AR$5 &lt;= 0,  ($AP3-$AR$3:$AR$5 + COUNT(variable_t)), $AP3-$AR$3:$AR$5))),
SUMPRODUCT(INDEX(Manchester_PerC, $AR$3:$AR$5, $AN$4)*INDEX(TRit24[], $AN$4, IF($AP3-$AR$3:$AR$5 &lt;= 0,  ($AP3-$AR$3:$AR$5 + COUNT(variable_t)), $AP3-$AR$3:$AR$5))),
SUMPRODUCT(INDEX(Birmingham_PerC, $AR$3:$AR$5, $AN$4)*INDEX(TRit24[], $AN$5, IF($AP3-$AR$3:$AR$5 &lt;= 0,  ($AP3-$AR$3:$AR$5 + COUNT(variable_t)), $AP3-$AR$3:$AR$5))),
SUMPRODUCT(INDEX(Plymouth_PerC, $AR$3:$AR$5, $AN$4)*INDEX(TRit24[], $AN$6, IF($AP3-$AR$3:$AR$5 &lt;= 0,  ($AP3-$AR$3:$AR$5 + COUNT(variable_t)), $AP3-$AR$3:$AR$5))))/100*
Undamaged_CarsPerC/100,
SUM(
INDEX(TU1jt29[],  $AN$4, IF($AP3-1 = 0,  ($AP3-1 + COUNT(variable_t)), $AP3-1)),
INDEX(TU2jt30[],  $AN$4, IF($AP3-1 = 0,  ($AP3-1 + COUNT(variable_t)), $AP3-1)),
INDEX(TU3jt31[],  $AN$4, IF($AP3-1 = 0,  ($AP3-1 + COUNT(variable_t)), $AP3-1)),
INDEX(TU4jt32[],  $AN$4, IF($AP3-1 = 0,  ($AP3-1 + COUNT(variable_t)), $AP3-1))),
INDEX(RPit25[], $AN$4, IF($AP3-1 = 0,  ($AP3-1 + COUNT(variable_t)), $AP3-1)),
INDEX(EUit28[], $AN$4, IF($AP3-1 = 0,  ($AP3-1 + COUNT(variable_t)), $AP3-1)),
)</f>
        <v>249.99999783850001</v>
      </c>
      <c r="AB6" s="76" t="s">
        <v>34</v>
      </c>
      <c r="AC6" s="77" cm="1">
        <f t="array" ref="AC6">INDEX(NUit37[], $AN$4, $AP3)</f>
        <v>250</v>
      </c>
      <c r="AD6" s="76"/>
      <c r="AE6" s="75" cm="1">
        <f t="array" ref="AE6">SUM(SUM(
SUMPRODUCT(INDEX(Glasgow_PerC, $AR$3:$AR$5, $AN$5)*INDEX(TRit24[], $AN$3, IF($AP3-$AR$3:$AR$5 &lt;= 0,  ($AP3-$AR$3:$AR$5 + COUNT(variable_t)), $AP3-$AR$3:$AR$5))),
SUMPRODUCT(INDEX(Manchester_PerC, $AR$3:$AR$5, $AN$5)*INDEX(TRit24[], $AN$4, IF($AP3-$AR$3:$AR$5 &lt;= 0,  ($AP3-$AR$3:$AR$5 + COUNT(variable_t)), $AP3-$AR$3:$AR$5))),
SUMPRODUCT(INDEX(Birmingham_PerC, $AR$3:$AR$5, $AN$5)*INDEX(TRit24[], $AN$5, IF($AP3-$AR$3:$AR$5 &lt;= 0,  ($AP3-$AR$3:$AR$5 + COUNT(variable_t)), $AP3-$AR$3:$AR$5))),
SUMPRODUCT(INDEX(Plymouth_PerC, $AR$3:$AR$5, $AN$5)*INDEX(TRit24[], $AN$6, IF($AP3-$AR$3:$AR$5 &lt;= 0,  ($AP3-$AR$3:$AR$5 + COUNT(variable_t)), $AP3-$AR$3:$AR$5))))/100*
Undamaged_CarsPerC/100,
SUM(
INDEX(TU1jt29[],  $AN$5, IF($AP3-1 = 0,  ($AP3-1 + COUNT(variable_t)), $AP3-1)),
INDEX(TU2jt30[],  $AN$5, IF($AP3-1 = 0,  ($AP3-1 + COUNT(variable_t)), $AP3-1)),
INDEX(TU3jt31[],  $AN$5, IF($AP3-1 = 0,  ($AP3-1 + COUNT(variable_t)), $AP3-1)),
INDEX(TU4jt32[],  $AN$5, IF($AP3-1 = 0,  ($AP3-1 + COUNT(variable_t)), $AP3-1))),
INDEX(RPit25[], $AN$5, IF($AP3-1 = 0,  ($AP3-1 + COUNT(variable_t)), $AP3-1)),
INDEX(EUit28[], $AN$5, IF($AP3-1 = 0,  ($AP3-1 + COUNT(variable_t)), $AP3-1)),
)</f>
        <v>233.87570891425003</v>
      </c>
      <c r="AF6" s="76" t="s">
        <v>34</v>
      </c>
      <c r="AG6" s="77" cm="1">
        <f t="array" ref="AG6">INDEX(NUit37[], $AN$5, $AP3)</f>
        <v>233.87571</v>
      </c>
      <c r="AH6" s="76"/>
      <c r="AI6" s="75" cm="1">
        <f t="array" ref="AI6">SUM(SUM(
SUMPRODUCT(INDEX(Glasgow_PerC, $AR$3:$AR$5, $AN$6)*INDEX(TRit24[], $AN$3, IF($AP3-$AR$3:$AR$5 &lt;= 0,  ($AP3-$AR$3:$AR$5 + COUNT(variable_t)), $AP3-$AR$3:$AR$5))),
SUMPRODUCT(INDEX(Manchester_PerC, $AR$3:$AR$5, $AN$6)*INDEX(TRit24[], $AN$4, IF($AP3-$AR$3:$AR$5 &lt;= 0,  ($AP3-$AR$3:$AR$5 + COUNT(variable_t)), $AP3-$AR$3:$AR$5))),
SUMPRODUCT(INDEX(Birmingham_PerC, $AR$3:$AR$5, $AN$6)*INDEX(TRit24[], $AN$5, IF($AP3-$AR$3:$AR$5 &lt;= 0,  ($AP3-$AR$3:$AR$5 + COUNT(variable_t)), $AP3-$AR$3:$AR$5))),
SUMPRODUCT(INDEX(Plymouth_PerC, $AR$3:$AR$5, $AN$6)*INDEX(TRit24[], $AN$6, IF($AP3-$AR$3:$AR$5 &lt;= 0,  ($AP3-$AR$3:$AR$5 + COUNT(variable_t)), $AP3-$AR$3:$AR$5))))/100*
Undamaged_CarsPerC/100,
SUM(
INDEX(TU1jt29[],  $AN$6, IF($AP3-1 = 0,  ($AP3-1 + COUNT(variable_t)), $AP3-1)),
INDEX(TU2jt30[],  $AN$6, IF($AP3-1 = 0,  ($AP3-1 + COUNT(variable_t)), $AP3-1)),
INDEX(TU3jt31[],  $AN$6, IF($AP3-1 = 0,  ($AP3-1 + COUNT(variable_t)), $AP3-1)),
INDEX(TU4jt32[],  $AN$6, IF($AP3-1 = 0,  ($AP3-1 + COUNT(variable_t)), $AP3-1))),
INDEX(RPit25[], $AN$6, IF($AP3-1 = 0,  ($AP3-1 + COUNT(variable_t)), $AP3-1)),
INDEX(EUit28[], $AN$6, IF($AP3-1 = 0,  ($AP3-1 + COUNT(variable_t)), $AP3-1)),
)</f>
        <v>88.959520401749998</v>
      </c>
      <c r="AJ6" s="76" t="s">
        <v>34</v>
      </c>
      <c r="AK6" s="77" cm="1">
        <f t="array" ref="AK6">INDEX(NUit37[], $AN$6, $AP3)</f>
        <v>88.959519999999998</v>
      </c>
      <c r="AL6" s="31"/>
      <c r="AN6" s="78">
        <v>4</v>
      </c>
      <c r="AO6" s="78">
        <v>4</v>
      </c>
      <c r="AP6" s="78">
        <v>4</v>
      </c>
      <c r="AQ6" s="78" t="s">
        <v>3</v>
      </c>
      <c r="AR6" s="79"/>
      <c r="BJ6" s="143" t="s">
        <v>14</v>
      </c>
      <c r="BK6" s="144"/>
      <c r="BL6" s="144"/>
      <c r="BM6" s="144"/>
      <c r="BN6" s="145"/>
    </row>
    <row r="7" spans="2:66" ht="15.95" customHeight="1" thickBot="1" x14ac:dyDescent="0.3">
      <c r="B7" s="32"/>
      <c r="C7" s="73" t="s">
        <v>82</v>
      </c>
      <c r="D7" s="74">
        <v>856.79663000000005</v>
      </c>
      <c r="E7" s="31"/>
      <c r="V7" s="32" t="s">
        <v>1</v>
      </c>
      <c r="W7" s="75" cm="1">
        <f t="array" ref="W7">SUM(SUM(
SUMPRODUCT(INDEX(Glasgow_PerC, $AR$3:$AR$5, $AN$3)*INDEX(TRit24[], $AN$3, IF($AP4-$AR$3:$AR$5 &lt;= 0,  ($AP4-$AR$3:$AR$5 + COUNT(variable_t)), $AP4-$AR$3:$AR$5))),
SUMPRODUCT(INDEX(Manchester_PerC, $AR$3:$AR$5, $AN$3)*INDEX(TRit24[], $AN$4, IF($AP4-$AR$3:$AR$5 &lt;= 0,  ($AP4-$AR$3:$AR$5 + COUNT(variable_t)), $AP4-$AR$3:$AR$5))),
SUMPRODUCT(INDEX(Birmingham_PerC, $AR$3:$AR$5, $AN$3)*INDEX(TRit24[], $AN$5, IF($AP4-$AR$3:$AR$5 &lt;= 0,  ($AP4-$AR$3:$AR$5 + COUNT(variable_t)), $AP4-$AR$3:$AR$5))),
SUMPRODUCT(INDEX(Plymouth_PerC, $AR$3:$AR$5, $AN$3)*INDEX(TRit24[], $AN$6, IF($AP4-$AR$3:$AR$5 &lt;= 0,  ($AP4-$AR$3:$AR$5 + COUNT(variable_t)), $AP4-$AR$3:$AR$5))))/100*
Undamaged_CarsPerC/100,
SUM(
INDEX(TU1jt29[],  $AN$3, IF($AP4-1 = 0,  ($AP4-1 + COUNT(variable_t)), $AP4-1)),
INDEX(TU2jt30[],  $AN$3, IF($AP4-1 = 0,  ($AP4-1 + COUNT(variable_t)), $AP4-1)),
INDEX(TU3jt31[],  $AN$3, IF($AP4-1 = 0,  ($AP4-1 + COUNT(variable_t)), $AP4-1)),
INDEX(TU4jt32[],  $AN$3, IF($AP4-1 = 0,  ($AP4-1 + COUNT(variable_t)), $AP4-1))),
INDEX(RPit25[], $AN$3, IF($AP4-1 = 0,  ($AP4-1 + COUNT(variable_t)), $AP4-1)),
INDEX(EUit28[], $AN$3, IF($AP4-1 = 0,  ($AP4-1 + COUNT(varable_t)), $AP4-1)),
)</f>
        <v>91.032243349500007</v>
      </c>
      <c r="X7" s="76" t="s">
        <v>34</v>
      </c>
      <c r="Y7" s="77" cm="1">
        <f t="array" ref="Y7">INDEX(NUit37[], $AN$3, $AP4)</f>
        <v>91.032242999999994</v>
      </c>
      <c r="Z7" s="76"/>
      <c r="AA7" s="75" cm="1">
        <f t="array" ref="AA7">SUM(SUM(
SUMPRODUCT(INDEX(Glasgow_PerC, $AR$3:$AR$5, $AN$4)*INDEX(TRit24[], $AN$3, IF($AP4-$AR$3:$AR$5 &lt;= 0,  ($AP4-$AR$3:$AR$5 + COUNT(variable_t)), $AP4-$AR$3:$AR$5))),
SUMPRODUCT(INDEX(Manchester_PerC, $AR$3:$AR$5, $AN$4)*INDEX(TRit24[], $AN$4, IF($AP4-$AR$3:$AR$5 &lt;= 0,  ($AP4-$AR$3:$AR$5 + COUNT(variable_t)), $AP4-$AR$3:$AR$5))),
SUMPRODUCT(INDEX(Birmingham_PerC, $AR$3:$AR$5, $AN$4)*INDEX(TRit24[], $AN$5, IF($AP4-$AR$3:$AR$5 &lt;= 0,  ($AP4-$AR$3:$AR$5 + COUNT(variable_t)), $AP4-$AR$3:$AR$5))),
SUMPRODUCT(INDEX(Plymouth_PerC, $AR$3:$AR$5, $AN$4)*INDEX(TRit24[], $AN$6, IF($AP4-$AR$3:$AR$5 &lt;= 0,  ($AP4-$AR$3:$AR$5 + COUNT(variable_t)), $AP4-$AR$3:$AR$5))))/100*
Undamaged_CarsPerC/100,
SUM(
INDEX(TU1jt29[],  $AN$4, IF($AP4-1 = 0,  ($AP4-1 + COUNT(variable_t)), $AP4-1)),
INDEX(TU2jt30[],  $AN$4, IF($AP4-1 = 0,  ($AP4-1 + COUNT(variable_t)), $AP4-1)),
INDEX(TU3jt31[],  $AN$4, IF($AP4-1 = 0,  ($AP4-1 + COUNT(variable_t)), $AP4-1)),
INDEX(TU4jt32[],  $AN$4, IF($AP4-1 = 0,  ($AP4-1 + COUNT(variable_t)), $AP4-1))),
INDEX(RPit25[], $AN$4, IF($AP4-1 = 0,  ($AP4-1 + COUNT(variable_t)), $AP4-1)),
INDEX(EUit28[], $AN$4, IF($AP4-1 = 0,  ($AP4-1 + COUNT(variable_t)), $AP4-1)),
)</f>
        <v>153.62626026550001</v>
      </c>
      <c r="AB7" s="76" t="s">
        <v>34</v>
      </c>
      <c r="AC7" s="77" cm="1">
        <f t="array" ref="AC7">INDEX(NUit37[], $AN$4, $AP4)</f>
        <v>153.62626</v>
      </c>
      <c r="AD7" s="76"/>
      <c r="AE7" s="75" cm="1">
        <f t="array" ref="AE7">SUM(SUM(
SUMPRODUCT(INDEX(Glasgow_PerC, $AR$3:$AR$5, $AN$5)*INDEX(TRit24[], $AN$3, IF($AP4-$AR$3:$AR$5 &lt;= 0,  ($AP4-$AR$3:$AR$5 + COUNT(variable_t)), $AP4-$AR$3:$AR$5))),
SUMPRODUCT(INDEX(Manchester_PerC, $AR$3:$AR$5, $AN$5)*INDEX(TRit24[], $AN$4, IF($AP4-$AR$3:$AR$5 &lt;= 0,  ($AP4-$AR$3:$AR$5 + COUNT(variable_t)), $AP4-$AR$3:$AR$5))),
SUMPRODUCT(INDEX(Birmingham_PerC, $AR$3:$AR$5, $AN$5)*INDEX(TRit24[], $AN$5, IF($AP4-$AR$3:$AR$5 &lt;= 0,  ($AP4-$AR$3:$AR$5 + COUNT(variable_t)), $AP4-$AR$3:$AR$5))),
SUMPRODUCT(INDEX(Plymouth_PerC, $AR$3:$AR$5, $AN$5)*INDEX(TRit24[], $AN$6, IF($AP4-$AR$3:$AR$5 &lt;= 0,  ($AP4-$AR$3:$AR$5 + COUNT(variable_t)), $AP4-$AR$3:$AR$5))))/100*
Undamaged_CarsPerC/100,
SUM(
INDEX(TU1jt29[],  $AN$5, IF($AP4-1 = 0,  ($AP4-1 + COUNT(variable_t)), $AP4-1)),
INDEX(TU2jt30[],  $AN$5, IF($AP4-1 = 0,  ($AP4-1 + COUNT(variable_t)), $AP4-1)),
INDEX(TU3jt31[],  $AN$5, IF($AP4-1 = 0,  ($AP4-1 + COUNT(variable_t)), $AP4-1)),
INDEX(TU4jt32[],  $AN$5, IF($AP4-1 = 0,  ($AP4-1 + COUNT(variable_t)), $AP4-1))),
INDEX(RPit25[], $AN$5, IF($AP4-1 = 0,  ($AP4-1 + COUNT(variable_t)), $AP4-1)),
INDEX(EUit28[], $AN$5, IF($AP4-1 = 0,  ($AP4-1 + COUNT(variable_t)), $AP4-1)),
)</f>
        <v>269.98165670549997</v>
      </c>
      <c r="AF7" s="76" t="s">
        <v>34</v>
      </c>
      <c r="AG7" s="77" cm="1">
        <f t="array" ref="AG7">INDEX(NUit37[], $AN$5, $AP4)</f>
        <v>269.98165999999998</v>
      </c>
      <c r="AH7" s="76"/>
      <c r="AI7" s="75" cm="1">
        <f t="array" ref="AI7">SUM(SUM(
SUMPRODUCT(INDEX(Glasgow_PerC, $AR$3:$AR$5, $AN$6)*INDEX(TRit24[], $AN$3, IF($AP4-$AR$3:$AR$5 &lt;= 0,  ($AP4-$AR$3:$AR$5 + COUNT(variable_t)), $AP4-$AR$3:$AR$5))),
SUMPRODUCT(INDEX(Manchester_PerC, $AR$3:$AR$5, $AN$6)*INDEX(TRit24[], $AN$4, IF($AP4-$AR$3:$AR$5 &lt;= 0,  ($AP4-$AR$3:$AR$5 + COUNT(variable_t)), $AP4-$AR$3:$AR$5))),
SUMPRODUCT(INDEX(Birmingham_PerC, $AR$3:$AR$5, $AN$6)*INDEX(TRit24[], $AN$5, IF($AP4-$AR$3:$AR$5 &lt;= 0,  ($AP4-$AR$3:$AR$5 + COUNT(variable_t)), $AP4-$AR$3:$AR$5))),
SUMPRODUCT(INDEX(Plymouth_PerC, $AR$3:$AR$5, $AN$6)*INDEX(TRit24[], $AN$6, IF($AP4-$AR$3:$AR$5 &lt;= 0,  ($AP4-$AR$3:$AR$5 + COUNT(variable_t)), $AP4-$AR$3:$AR$5))))/100*
Undamaged_CarsPerC/100,
SUM(
INDEX(TU1jt29[],  $AN$6, IF($AP4-1 = 0,  ($AP4-1 + COUNT(variable_t)), $AP4-1)),
INDEX(TU2jt30[],  $AN$6, IF($AP4-1 = 0,  ($AP4-1 + COUNT(variable_t)), $AP4-1)),
INDEX(TU3jt31[],  $AN$6, IF($AP4-1 = 0,  ($AP4-1 + COUNT(variable_t)), $AP4-1)),
INDEX(TU4jt32[],  $AN$6, IF($AP4-1 = 0,  ($AP4-1 + COUNT(variable_t)), $AP4-1))),
INDEX(RPit25[], $AN$6, IF($AP4-1 = 0,  ($AP4-1 + COUNT(variable_t)), $AP4-1)),
INDEX(EUit28[], $AN$6, IF($AP4-1 = 0,  ($AP4-1 + COUNT(variable_t)), $AP4-1)),
)</f>
        <v>56.112593404499997</v>
      </c>
      <c r="AJ7" s="76" t="s">
        <v>34</v>
      </c>
      <c r="AK7" s="77" cm="1">
        <f t="array" ref="AK7">INDEX(NUit37[], $AN$6, $AP4)</f>
        <v>56.112592999999997</v>
      </c>
      <c r="AL7" s="31"/>
      <c r="AN7" s="79"/>
      <c r="AO7" s="79"/>
      <c r="AP7" s="78">
        <v>5</v>
      </c>
      <c r="AQ7" s="78" t="s">
        <v>4</v>
      </c>
      <c r="AR7" s="79"/>
      <c r="BJ7" s="146"/>
      <c r="BK7" s="147"/>
      <c r="BL7" s="147"/>
      <c r="BM7" s="147"/>
      <c r="BN7" s="148"/>
    </row>
    <row r="8" spans="2:66" ht="15.95" customHeight="1" thickBot="1" x14ac:dyDescent="0.3">
      <c r="B8" s="33"/>
      <c r="C8" s="26"/>
      <c r="D8" s="26"/>
      <c r="E8" s="34"/>
      <c r="V8" s="32" t="s">
        <v>2</v>
      </c>
      <c r="W8" s="75" cm="1">
        <f t="array" ref="W8">SUM(SUM(
SUMPRODUCT(INDEX(Glasgow_PerC, $AR$3:$AR$5, $AN$3)*INDEX(TRit24[], $AN$3, IF($AP5-$AR$3:$AR$5 &lt;= 0,  ($AP5-$AR$3:$AR$5 + COUNT(variable_t)), $AP5-$AR$3:$AR$5))),
SUMPRODUCT(INDEX(Manchester_PerC, $AR$3:$AR$5, $AN$3)*INDEX(TRit24[], $AN$4, IF($AP5-$AR$3:$AR$5 &lt;= 0,  ($AP5-$AR$3:$AR$5 + COUNT(variable_t)), $AP5-$AR$3:$AR$5))),
SUMPRODUCT(INDEX(Birmingham_PerC, $AR$3:$AR$5, $AN$3)*INDEX(TRit24[], $AN$5, IF($AP5-$AR$3:$AR$5 &lt;= 0,  ($AP5-$AR$3:$AR$5 + COUNT(variable_t)), $AP5-$AR$3:$AR$5))),
SUMPRODUCT(INDEX(Plymouth_PerC, $AR$3:$AR$5, $AN$3)*INDEX(TRit24[], $AN$6, IF($AP5-$AR$3:$AR$5 &lt;= 0,  ($AP5-$AR$3:$AR$5 + COUNT(variable_t)), $AP5-$AR$3:$AR$5))))/100*
Undamaged_CarsPerC/100,
SUM(
INDEX(TU1jt29[],  $AN$3, IF($AP5-1 = 0,  ($AP5-1 + COUNT(variable_t)), $AP5-1)),
INDEX(TU2jt30[],  $AN$3, IF($AP5-1 = 0,  ($AP5-1 + COUNT(variable_t)), $AP5-1)),
INDEX(TU3jt31[],  $AN$3, IF($AP5-1 = 0,  ($AP5-1 + COUNT(variable_t)), $AP5-1)),
INDEX(TU4jt32[],  $AN$3, IF($AP5-1 = 0,  ($AP5-1 + COUNT(variable_t)), $AP5-1))),
INDEX(RPit25[], $AN$3, IF($AP5-1 = 0,  ($AP5-1 + COUNT(variable_t)), $AP5-1)),
INDEX(EUit28[], $AN$3, IF($AP5-1 = 0,  ($AP5-1 + COUNT(varable_t)), $AP5-1)),
)</f>
        <v>87.870702016799981</v>
      </c>
      <c r="X8" s="76" t="s">
        <v>34</v>
      </c>
      <c r="Y8" s="77" cm="1">
        <f t="array" ref="Y8">INDEX(NUit37[], $AN$3, $AP5)</f>
        <v>87.870701999999994</v>
      </c>
      <c r="Z8" s="76"/>
      <c r="AA8" s="75" cm="1">
        <f t="array" ref="AA8">SUM(SUM(
SUMPRODUCT(INDEX(Glasgow_PerC, $AR$3:$AR$5, $AN$4)*INDEX(TRit24[], $AN$3, IF($AP5-$AR$3:$AR$5 &lt;= 0,  ($AP5-$AR$3:$AR$5 + COUNT(variable_t)), $AP5-$AR$3:$AR$5))),
SUMPRODUCT(INDEX(Manchester_PerC, $AR$3:$AR$5, $AN$4)*INDEX(TRit24[], $AN$4, IF($AP5-$AR$3:$AR$5 &lt;= 0,  ($AP5-$AR$3:$AR$5 + COUNT(variable_t)), $AP5-$AR$3:$AR$5))),
SUMPRODUCT(INDEX(Birmingham_PerC, $AR$3:$AR$5, $AN$4)*INDEX(TRit24[], $AN$5, IF($AP5-$AR$3:$AR$5 &lt;= 0,  ($AP5-$AR$3:$AR$5 + COUNT(variable_t)), $AP5-$AR$3:$AR$5))),
SUMPRODUCT(INDEX(Plymouth_PerC, $AR$3:$AR$5, $AN$4)*INDEX(TRit24[], $AN$6, IF($AP5-$AR$3:$AR$5 &lt;= 0,  ($AP5-$AR$3:$AR$5 + COUNT(variable_t)), $AP5-$AR$3:$AR$5))))/100*
Undamaged_CarsPerC/100,
SUM(
INDEX(TU1jt29[],  $AN$4, IF($AP5-1 = 0,  ($AP5-1 + COUNT(variable_t)), $AP5-1)),
INDEX(TU2jt30[],  $AN$4, IF($AP5-1 = 0,  ($AP5-1 + COUNT(variable_t)), $AP5-1)),
INDEX(TU3jt31[],  $AN$4, IF($AP5-1 = 0,  ($AP5-1 + COUNT(variable_t)), $AP5-1)),
INDEX(TU4jt32[],  $AN$4, IF($AP5-1 = 0,  ($AP5-1 + COUNT(variable_t)), $AP5-1))),
INDEX(RPit25[], $AN$4, IF($AP5-1 = 0,  ($AP5-1 + COUNT(variable_t)), $AP5-1)),
INDEX(EUit28[], $AN$4, IF($AP5-1 = 0,  ($AP5-1 + COUNT(variable_t)), $AP5-1)),
)</f>
        <v>145.12466573820001</v>
      </c>
      <c r="AB8" s="76" t="s">
        <v>34</v>
      </c>
      <c r="AC8" s="77" cm="1">
        <f t="array" ref="AC8">INDEX(NUit37[], $AN$4, $AP5)</f>
        <v>145.12467000000001</v>
      </c>
      <c r="AD8" s="76"/>
      <c r="AE8" s="75" cm="1">
        <f t="array" ref="AE8">SUM(SUM(
SUMPRODUCT(INDEX(Glasgow_PerC, $AR$3:$AR$5, $AN$5)*INDEX(TRit24[], $AN$3, IF($AP5-$AR$3:$AR$5 &lt;= 0,  ($AP5-$AR$3:$AR$5 + COUNT(variable_t)), $AP5-$AR$3:$AR$5))),
SUMPRODUCT(INDEX(Manchester_PerC, $AR$3:$AR$5, $AN$5)*INDEX(TRit24[], $AN$4, IF($AP5-$AR$3:$AR$5 &lt;= 0,  ($AP5-$AR$3:$AR$5 + COUNT(variable_t)), $AP5-$AR$3:$AR$5))),
SUMPRODUCT(INDEX(Birmingham_PerC, $AR$3:$AR$5, $AN$5)*INDEX(TRit24[], $AN$5, IF($AP5-$AR$3:$AR$5 &lt;= 0,  ($AP5-$AR$3:$AR$5 + COUNT(variable_t)), $AP5-$AR$3:$AR$5))),
SUMPRODUCT(INDEX(Plymouth_PerC, $AR$3:$AR$5, $AN$5)*INDEX(TRit24[], $AN$6, IF($AP5-$AR$3:$AR$5 &lt;= 0,  ($AP5-$AR$3:$AR$5 + COUNT(variable_t)), $AP5-$AR$3:$AR$5))))/100*
Undamaged_CarsPerC/100,
SUM(
INDEX(TU1jt29[],  $AN$5, IF($AP5-1 = 0,  ($AP5-1 + COUNT(variable_t)), $AP5-1)),
INDEX(TU2jt30[],  $AN$5, IF($AP5-1 = 0,  ($AP5-1 + COUNT(variable_t)), $AP5-1)),
INDEX(TU3jt31[],  $AN$5, IF($AP5-1 = 0,  ($AP5-1 + COUNT(variable_t)), $AP5-1)),
INDEX(TU4jt32[],  $AN$5, IF($AP5-1 = 0,  ($AP5-1 + COUNT(variable_t)), $AP5-1))),
INDEX(RPit25[], $AN$5, IF($AP5-1 = 0,  ($AP5-1 + COUNT(variable_t)), $AP5-1)),
INDEX(EUit28[], $AN$5, IF($AP5-1 = 0,  ($AP5-1 + COUNT(variable_t)), $AP5-1)),
)</f>
        <v>219.80281076745001</v>
      </c>
      <c r="AF8" s="76" t="s">
        <v>34</v>
      </c>
      <c r="AG8" s="77" cm="1">
        <f t="array" ref="AG8">INDEX(NUit37[], $AN$5, $AP5)</f>
        <v>219.80280999999999</v>
      </c>
      <c r="AH8" s="76"/>
      <c r="AI8" s="75" cm="1">
        <f t="array" ref="AI8">SUM(SUM(
SUMPRODUCT(INDEX(Glasgow_PerC, $AR$3:$AR$5, $AN$6)*INDEX(TRit24[], $AN$3, IF($AP5-$AR$3:$AR$5 &lt;= 0,  ($AP5-$AR$3:$AR$5 + COUNT(variable_t)), $AP5-$AR$3:$AR$5))),
SUMPRODUCT(INDEX(Manchester_PerC, $AR$3:$AR$5, $AN$6)*INDEX(TRit24[], $AN$4, IF($AP5-$AR$3:$AR$5 &lt;= 0,  ($AP5-$AR$3:$AR$5 + COUNT(variable_t)), $AP5-$AR$3:$AR$5))),
SUMPRODUCT(INDEX(Birmingham_PerC, $AR$3:$AR$5, $AN$6)*INDEX(TRit24[], $AN$5, IF($AP5-$AR$3:$AR$5 &lt;= 0,  ($AP5-$AR$3:$AR$5 + COUNT(variable_t)), $AP5-$AR$3:$AR$5))),
SUMPRODUCT(INDEX(Plymouth_PerC, $AR$3:$AR$5, $AN$6)*INDEX(TRit24[], $AN$6, IF($AP5-$AR$3:$AR$5 &lt;= 0,  ($AP5-$AR$3:$AR$5 + COUNT(variable_t)), $AP5-$AR$3:$AR$5))))/100*
Undamaged_CarsPerC/100,
SUM(
INDEX(TU1jt29[],  $AN$6, IF($AP5-1 = 0,  ($AP5-1 + COUNT(variable_t)), $AP5-1)),
INDEX(TU2jt30[],  $AN$6, IF($AP5-1 = 0,  ($AP5-1 + COUNT(variable_t)), $AP5-1)),
INDEX(TU3jt31[],  $AN$6, IF($AP5-1 = 0,  ($AP5-1 + COUNT(variable_t)), $AP5-1)),
INDEX(TU4jt32[],  $AN$6, IF($AP5-1 = 0,  ($AP5-1 + COUNT(variable_t)), $AP5-1))),
INDEX(RPit25[], $AN$6, IF($AP5-1 = 0,  ($AP5-1 + COUNT(variable_t)), $AP5-1)),
INDEX(EUit28[], $AN$6, IF($AP5-1 = 0,  ($AP5-1 + COUNT(variable_t)), $AP5-1)),
)</f>
        <v>52.193398022549999</v>
      </c>
      <c r="AJ8" s="76" t="s">
        <v>34</v>
      </c>
      <c r="AK8" s="77" cm="1">
        <f t="array" ref="AK8">INDEX(NUit37[], $AN$6, $AP5)</f>
        <v>52.193398000000002</v>
      </c>
      <c r="AL8" s="31"/>
      <c r="AN8" s="79"/>
      <c r="AO8" s="79"/>
      <c r="AP8" s="78">
        <v>6</v>
      </c>
      <c r="AQ8" s="78" t="s">
        <v>5</v>
      </c>
      <c r="AR8" s="79"/>
      <c r="BJ8" s="63" t="s">
        <v>11</v>
      </c>
      <c r="BK8" s="80" t="s">
        <v>6</v>
      </c>
      <c r="BL8" s="81" t="s">
        <v>9</v>
      </c>
      <c r="BM8" s="81" t="s">
        <v>7</v>
      </c>
      <c r="BN8" s="82" t="s">
        <v>8</v>
      </c>
    </row>
    <row r="9" spans="2:66" ht="15.95" customHeight="1" thickTop="1" thickBot="1" x14ac:dyDescent="0.3">
      <c r="V9" s="32" t="s">
        <v>3</v>
      </c>
      <c r="W9" s="75" cm="1">
        <f t="array" ref="W9">SUM(SUM(
SUMPRODUCT(INDEX(Glasgow_PerC, $AR$3:$AR$5, $AN$3)*INDEX(TRit24[], $AN$3, IF($AP6-$AR$3:$AR$5 &lt;= 0,  ($AP6-$AR$3:$AR$5 + COUNT(variable_t)), $AP6-$AR$3:$AR$5))),
SUMPRODUCT(INDEX(Manchester_PerC, $AR$3:$AR$5, $AN$3)*INDEX(TRit24[], $AN$4, IF($AP6-$AR$3:$AR$5 &lt;= 0,  ($AP6-$AR$3:$AR$5 + COUNT(variable_t)), $AP6-$AR$3:$AR$5))),
SUMPRODUCT(INDEX(Birmingham_PerC, $AR$3:$AR$5, $AN$3)*INDEX(TRit24[], $AN$5, IF($AP6-$AR$3:$AR$5 &lt;= 0,  ($AP6-$AR$3:$AR$5 + COUNT(variable_t)), $AP6-$AR$3:$AR$5))),
SUMPRODUCT(INDEX(Plymouth_PerC, $AR$3:$AR$5, $AN$3)*INDEX(TRit24[], $AN$6, IF($AP6-$AR$3:$AR$5 &lt;= 0,  ($AP6-$AR$3:$AR$5 + COUNT(variable_t)), $AP6-$AR$3:$AR$5))))/100*
Undamaged_CarsPerC/100,
SUM(
INDEX(TU1jt29[],  $AN$3, IF($AP6-1 = 0,  ($AP6-1 + COUNT(variable_t)), $AP6-1)),
INDEX(TU2jt30[],  $AN$3, IF($AP6-1 = 0,  ($AP6-1 + COUNT(variable_t)), $AP6-1)),
INDEX(TU3jt31[],  $AN$3, IF($AP6-1 = 0,  ($AP6-1 + COUNT(variable_t)), $AP6-1)),
INDEX(TU4jt32[],  $AN$3, IF($AP6-1 = 0,  ($AP6-1 + COUNT(variable_t)), $AP6-1))),
INDEX(RPit25[], $AN$3, IF($AP6-1 = 0,  ($AP6-1 + COUNT(variable_t)), $AP6-1)),
INDEX(EUit28[], $AN$3, IF($AP6-1 = 0,  ($AP6-1 + COUNT(varable_t)), $AP6-1)),
)</f>
        <v>96.935340640500002</v>
      </c>
      <c r="X9" s="76" t="s">
        <v>34</v>
      </c>
      <c r="Y9" s="77" cm="1">
        <f t="array" ref="Y9">INDEX(NUit37[], $AN$3, $AP6)</f>
        <v>96.935340999999994</v>
      </c>
      <c r="Z9" s="76"/>
      <c r="AA9" s="75" cm="1">
        <f t="array" ref="AA9">SUM(SUM(
SUMPRODUCT(INDEX(Glasgow_PerC, $AR$3:$AR$5, $AN$4)*INDEX(TRit24[], $AN$3, IF($AP6-$AR$3:$AR$5 &lt;= 0,  ($AP6-$AR$3:$AR$5 + COUNT(variable_t)), $AP6-$AR$3:$AR$5))),
SUMPRODUCT(INDEX(Manchester_PerC, $AR$3:$AR$5, $AN$4)*INDEX(TRit24[], $AN$4, IF($AP6-$AR$3:$AR$5 &lt;= 0,  ($AP6-$AR$3:$AR$5 + COUNT(variable_t)), $AP6-$AR$3:$AR$5))),
SUMPRODUCT(INDEX(Birmingham_PerC, $AR$3:$AR$5, $AN$4)*INDEX(TRit24[], $AN$5, IF($AP6-$AR$3:$AR$5 &lt;= 0,  ($AP6-$AR$3:$AR$5 + COUNT(variable_t)), $AP6-$AR$3:$AR$5))),
SUMPRODUCT(INDEX(Plymouth_PerC, $AR$3:$AR$5, $AN$4)*INDEX(TRit24[], $AN$6, IF($AP6-$AR$3:$AR$5 &lt;= 0,  ($AP6-$AR$3:$AR$5 + COUNT(variable_t)), $AP6-$AR$3:$AR$5))))/100*
Undamaged_CarsPerC/100,
SUM(
INDEX(TU1jt29[],  $AN$4, IF($AP6-1 = 0,  ($AP6-1 + COUNT(variable_t)), $AP6-1)),
INDEX(TU2jt30[],  $AN$4, IF($AP6-1 = 0,  ($AP6-1 + COUNT(variable_t)), $AP6-1)),
INDEX(TU3jt31[],  $AN$4, IF($AP6-1 = 0,  ($AP6-1 + COUNT(variable_t)), $AP6-1)),
INDEX(TU4jt32[],  $AN$4, IF($AP6-1 = 0,  ($AP6-1 + COUNT(variable_t)), $AP6-1))),
INDEX(RPit25[], $AN$4, IF($AP6-1 = 0,  ($AP6-1 + COUNT(variable_t)), $AP6-1)),
INDEX(EUit28[], $AN$4, IF($AP6-1 = 0,  ($AP6-1 + COUNT(variable_t)), $AP6-1)),
)</f>
        <v>210.24523132600001</v>
      </c>
      <c r="AB9" s="76" t="s">
        <v>34</v>
      </c>
      <c r="AC9" s="77" cm="1">
        <f t="array" ref="AC9">INDEX(NUit37[], $AN$4, $AP6)</f>
        <v>210.24522999999999</v>
      </c>
      <c r="AD9" s="76"/>
      <c r="AE9" s="75" cm="1">
        <f t="array" ref="AE9">SUM(SUM(
SUMPRODUCT(INDEX(Glasgow_PerC, $AR$3:$AR$5, $AN$5)*INDEX(TRit24[], $AN$3, IF($AP6-$AR$3:$AR$5 &lt;= 0,  ($AP6-$AR$3:$AR$5 + COUNT(variable_t)), $AP6-$AR$3:$AR$5))),
SUMPRODUCT(INDEX(Manchester_PerC, $AR$3:$AR$5, $AN$5)*INDEX(TRit24[], $AN$4, IF($AP6-$AR$3:$AR$5 &lt;= 0,  ($AP6-$AR$3:$AR$5 + COUNT(variable_t)), $AP6-$AR$3:$AR$5))),
SUMPRODUCT(INDEX(Birmingham_PerC, $AR$3:$AR$5, $AN$5)*INDEX(TRit24[], $AN$5, IF($AP6-$AR$3:$AR$5 &lt;= 0,  ($AP6-$AR$3:$AR$5 + COUNT(variable_t)), $AP6-$AR$3:$AR$5))),
SUMPRODUCT(INDEX(Plymouth_PerC, $AR$3:$AR$5, $AN$5)*INDEX(TRit24[], $AN$6, IF($AP6-$AR$3:$AR$5 &lt;= 0,  ($AP6-$AR$3:$AR$5 + COUNT(variable_t)), $AP6-$AR$3:$AR$5))))/100*
Undamaged_CarsPerC/100,
SUM(
INDEX(TU1jt29[],  $AN$5, IF($AP6-1 = 0,  ($AP6-1 + COUNT(variable_t)), $AP6-1)),
INDEX(TU2jt30[],  $AN$5, IF($AP6-1 = 0,  ($AP6-1 + COUNT(variable_t)), $AP6-1)),
INDEX(TU3jt31[],  $AN$5, IF($AP6-1 = 0,  ($AP6-1 + COUNT(variable_t)), $AP6-1)),
INDEX(TU4jt32[],  $AN$5, IF($AP6-1 = 0,  ($AP6-1 + COUNT(variable_t)), $AP6-1))),
INDEX(RPit25[], $AN$5, IF($AP6-1 = 0,  ($AP6-1 + COUNT(variable_t)), $AP6-1)),
INDEX(EUit28[], $AN$5, IF($AP6-1 = 0,  ($AP6-1 + COUNT(variable_t)), $AP6-1)),
)</f>
        <v>162.9924817385</v>
      </c>
      <c r="AF9" s="76" t="s">
        <v>34</v>
      </c>
      <c r="AG9" s="77" cm="1">
        <f t="array" ref="AG9">INDEX(NUit37[], $AN$5, $AP6)</f>
        <v>162.99248</v>
      </c>
      <c r="AH9" s="76"/>
      <c r="AI9" s="75" cm="1">
        <f t="array" ref="AI9">SUM(SUM(
SUMPRODUCT(INDEX(Glasgow_PerC, $AR$3:$AR$5, $AN$6)*INDEX(TRit24[], $AN$3, IF($AP6-$AR$3:$AR$5 &lt;= 0,  ($AP6-$AR$3:$AR$5 + COUNT(variable_t)), $AP6-$AR$3:$AR$5))),
SUMPRODUCT(INDEX(Manchester_PerC, $AR$3:$AR$5, $AN$6)*INDEX(TRit24[], $AN$4, IF($AP6-$AR$3:$AR$5 &lt;= 0,  ($AP6-$AR$3:$AR$5 + COUNT(variable_t)), $AP6-$AR$3:$AR$5))),
SUMPRODUCT(INDEX(Birmingham_PerC, $AR$3:$AR$5, $AN$6)*INDEX(TRit24[], $AN$5, IF($AP6-$AR$3:$AR$5 &lt;= 0,  ($AP6-$AR$3:$AR$5 + COUNT(variable_t)), $AP6-$AR$3:$AR$5))),
SUMPRODUCT(INDEX(Plymouth_PerC, $AR$3:$AR$5, $AN$6)*INDEX(TRit24[], $AN$6, IF($AP6-$AR$3:$AR$5 &lt;= 0,  ($AP6-$AR$3:$AR$5 + COUNT(variable_t)), $AP6-$AR$3:$AR$5))))/100*
Undamaged_CarsPerC/100,
SUM(
INDEX(TU1jt29[],  $AN$6, IF($AP6-1 = 0,  ($AP6-1 + COUNT(variable_t)), $AP6-1)),
INDEX(TU2jt30[],  $AN$6, IF($AP6-1 = 0,  ($AP6-1 + COUNT(variable_t)), $AP6-1)),
INDEX(TU3jt31[],  $AN$6, IF($AP6-1 = 0,  ($AP6-1 + COUNT(variable_t)), $AP6-1)),
INDEX(TU4jt32[],  $AN$6, IF($AP6-1 = 0,  ($AP6-1 + COUNT(variable_t)), $AP6-1))),
INDEX(RPit25[], $AN$6, IF($AP6-1 = 0,  ($AP6-1 + COUNT(variable_t)), $AP6-1)),
INDEX(EUit28[], $AN$6, IF($AP6-1 = 0,  ($AP6-1 + COUNT(variable_t)), $AP6-1)),
)</f>
        <v>62.152695225000009</v>
      </c>
      <c r="AJ9" s="76" t="s">
        <v>34</v>
      </c>
      <c r="AK9" s="77" cm="1">
        <f t="array" ref="AK9">INDEX(NUit37[], $AN$6, $AP6)</f>
        <v>62.152695000000001</v>
      </c>
      <c r="AL9" s="31"/>
      <c r="BJ9" s="14" t="s">
        <v>0</v>
      </c>
      <c r="BK9" s="47">
        <v>100</v>
      </c>
      <c r="BL9" s="3">
        <v>250</v>
      </c>
      <c r="BM9" s="3">
        <v>95</v>
      </c>
      <c r="BN9" s="49">
        <v>160</v>
      </c>
    </row>
    <row r="10" spans="2:66" ht="15.95" customHeight="1" thickTop="1" thickBot="1" x14ac:dyDescent="0.3">
      <c r="B10" s="27"/>
      <c r="C10" s="28"/>
      <c r="D10" s="28"/>
      <c r="E10" s="28"/>
      <c r="F10" s="28"/>
      <c r="G10" s="28"/>
      <c r="H10" s="28"/>
      <c r="I10" s="28"/>
      <c r="J10" s="29"/>
      <c r="U10" s="5" t="s">
        <v>77</v>
      </c>
      <c r="V10" s="32" t="s">
        <v>4</v>
      </c>
      <c r="W10" s="75" cm="1">
        <f t="array" ref="W10">SUM(SUM(
SUMPRODUCT(INDEX(Glasgow_PerC, $AR$3:$AR$5, $AN$3)*INDEX(TRit24[], $AN$3, IF($AP7-$AR$3:$AR$5 &lt;= 0,  ($AP7-$AR$3:$AR$5 + COUNT(variable_t)), $AP7-$AR$3:$AR$5))),
SUMPRODUCT(INDEX(Manchester_PerC, $AR$3:$AR$5, $AN$3)*INDEX(TRit24[], $AN$4, IF($AP7-$AR$3:$AR$5 &lt;= 0,  ($AP7-$AR$3:$AR$5 + COUNT(variable_t)), $AP7-$AR$3:$AR$5))),
SUMPRODUCT(INDEX(Birmingham_PerC, $AR$3:$AR$5, $AN$3)*INDEX(TRit24[], $AN$5, IF($AP7-$AR$3:$AR$5 &lt;= 0,  ($AP7-$AR$3:$AR$5 + COUNT(variable_t)), $AP7-$AR$3:$AR$5))),
SUMPRODUCT(INDEX(Plymouth_PerC, $AR$3:$AR$5, $AN$3)*INDEX(TRit24[], $AN$6, IF($AP7-$AR$3:$AR$5 &lt;= 0,  ($AP7-$AR$3:$AR$5 + COUNT(variable_t)), $AP7-$AR$3:$AR$5))))/100*
Undamaged_CarsPerC/100,
SUM(
INDEX(TU1jt29[],  $AN$3, IF($AP7-1 = 0,  ($AP7-1 + COUNT(variable_t)), $AP7-1)),
INDEX(TU2jt30[],  $AN$3, IF($AP7-1 = 0,  ($AP7-1 + COUNT(variable_t)), $AP7-1)),
INDEX(TU3jt31[],  $AN$3, IF($AP7-1 = 0,  ($AP7-1 + COUNT(variable_t)), $AP7-1)),
INDEX(TU4jt32[],  $AN$3, IF($AP7-1 = 0,  ($AP7-1 + COUNT(variable_t)), $AP7-1))),
INDEX(RPit25[], $AN$3, IF($AP7-1 = 0,  ($AP7-1 + COUNT(variable_t)), $AP7-1)),
INDEX(EUit28[], $AN$3, IF($AP7-1 = 0,  ($AP7-1 + COUNT(varable_t)), $AP7-1)),
)</f>
        <v>94.007881145699997</v>
      </c>
      <c r="X10" s="76" t="s">
        <v>34</v>
      </c>
      <c r="Y10" s="77" cm="1">
        <f t="array" ref="Y10">INDEX(NUit37[], $AN$3, $AP7)</f>
        <v>94.007880999999998</v>
      </c>
      <c r="Z10" s="76"/>
      <c r="AA10" s="75" cm="1">
        <f t="array" ref="AA10">SUM(SUM(
SUMPRODUCT(INDEX(Glasgow_PerC, $AR$3:$AR$5, $AN$4)*INDEX(TRit24[], $AN$3, IF($AP7-$AR$3:$AR$5 &lt;= 0,  ($AP7-$AR$3:$AR$5 + COUNT(variable_t)), $AP7-$AR$3:$AR$5))),
SUMPRODUCT(INDEX(Manchester_PerC, $AR$3:$AR$5, $AN$4)*INDEX(TRit24[], $AN$4, IF($AP7-$AR$3:$AR$5 &lt;= 0,  ($AP7-$AR$3:$AR$5 + COUNT(variable_t)), $AP7-$AR$3:$AR$5))),
SUMPRODUCT(INDEX(Birmingham_PerC, $AR$3:$AR$5, $AN$4)*INDEX(TRit24[], $AN$5, IF($AP7-$AR$3:$AR$5 &lt;= 0,  ($AP7-$AR$3:$AR$5 + COUNT(variable_t)), $AP7-$AR$3:$AR$5))),
SUMPRODUCT(INDEX(Plymouth_PerC, $AR$3:$AR$5, $AN$4)*INDEX(TRit24[], $AN$6, IF($AP7-$AR$3:$AR$5 &lt;= 0,  ($AP7-$AR$3:$AR$5 + COUNT(variable_t)), $AP7-$AR$3:$AR$5))))/100*
Undamaged_CarsPerC/100,
SUM(
INDEX(TU1jt29[],  $AN$4, IF($AP7-1 = 0,  ($AP7-1 + COUNT(variable_t)), $AP7-1)),
INDEX(TU2jt30[],  $AN$4, IF($AP7-1 = 0,  ($AP7-1 + COUNT(variable_t)), $AP7-1)),
INDEX(TU3jt31[],  $AN$4, IF($AP7-1 = 0,  ($AP7-1 + COUNT(variable_t)), $AP7-1)),
INDEX(TU4jt32[],  $AN$4, IF($AP7-1 = 0,  ($AP7-1 + COUNT(variable_t)), $AP7-1))),
INDEX(RPit25[], $AN$4, IF($AP7-1 = 0,  ($AP7-1 + COUNT(variable_t)), $AP7-1)),
INDEX(EUit28[], $AN$4, IF($AP7-1 = 0,  ($AP7-1 + COUNT(variable_t)), $AP7-1)),
)</f>
        <v>189.37902872529997</v>
      </c>
      <c r="AB10" s="76" t="s">
        <v>34</v>
      </c>
      <c r="AC10" s="77" cm="1">
        <f t="array" ref="AC10">INDEX(NUit37[], $AN$4, $AP7)</f>
        <v>189.37903</v>
      </c>
      <c r="AD10" s="76"/>
      <c r="AE10" s="75" cm="1">
        <f t="array" ref="AE10">SUM(SUM(
SUMPRODUCT(INDEX(Glasgow_PerC, $AR$3:$AR$5, $AN$5)*INDEX(TRit24[], $AN$3, IF($AP7-$AR$3:$AR$5 &lt;= 0,  ($AP7-$AR$3:$AR$5 + COUNT(variable_t)), $AP7-$AR$3:$AR$5))),
SUMPRODUCT(INDEX(Manchester_PerC, $AR$3:$AR$5, $AN$5)*INDEX(TRit24[], $AN$4, IF($AP7-$AR$3:$AR$5 &lt;= 0,  ($AP7-$AR$3:$AR$5 + COUNT(variable_t)), $AP7-$AR$3:$AR$5))),
SUMPRODUCT(INDEX(Birmingham_PerC, $AR$3:$AR$5, $AN$5)*INDEX(TRit24[], $AN$5, IF($AP7-$AR$3:$AR$5 &lt;= 0,  ($AP7-$AR$3:$AR$5 + COUNT(variable_t)), $AP7-$AR$3:$AR$5))),
SUMPRODUCT(INDEX(Plymouth_PerC, $AR$3:$AR$5, $AN$5)*INDEX(TRit24[], $AN$6, IF($AP7-$AR$3:$AR$5 &lt;= 0,  ($AP7-$AR$3:$AR$5 + COUNT(variable_t)), $AP7-$AR$3:$AR$5))))/100*
Undamaged_CarsPerC/100,
SUM(
INDEX(TU1jt29[],  $AN$5, IF($AP7-1 = 0,  ($AP7-1 + COUNT(variable_t)), $AP7-1)),
INDEX(TU2jt30[],  $AN$5, IF($AP7-1 = 0,  ($AP7-1 + COUNT(variable_t)), $AP7-1)),
INDEX(TU3jt31[],  $AN$5, IF($AP7-1 = 0,  ($AP7-1 + COUNT(variable_t)), $AP7-1)),
INDEX(TU4jt32[],  $AN$5, IF($AP7-1 = 0,  ($AP7-1 + COUNT(variable_t)), $AP7-1))),
INDEX(RPit25[], $AN$5, IF($AP7-1 = 0,  ($AP7-1 + COUNT(variable_t)), $AP7-1)),
INDEX(EUit28[], $AN$5, IF($AP7-1 = 0,  ($AP7-1 + COUNT(variable_t)), $AP7-1)),
)</f>
        <v>185.27206930229997</v>
      </c>
      <c r="AF10" s="76" t="s">
        <v>34</v>
      </c>
      <c r="AG10" s="77" cm="1">
        <f t="array" ref="AG10">INDEX(NUit37[], $AN$5, $AP7)</f>
        <v>185.27207000000001</v>
      </c>
      <c r="AH10" s="76"/>
      <c r="AI10" s="75" cm="1">
        <f t="array" ref="AI10">SUM(SUM(
SUMPRODUCT(INDEX(Glasgow_PerC, $AR$3:$AR$5, $AN$6)*INDEX(TRit24[], $AN$3, IF($AP7-$AR$3:$AR$5 &lt;= 0,  ($AP7-$AR$3:$AR$5 + COUNT(variable_t)), $AP7-$AR$3:$AR$5))),
SUMPRODUCT(INDEX(Manchester_PerC, $AR$3:$AR$5, $AN$6)*INDEX(TRit24[], $AN$4, IF($AP7-$AR$3:$AR$5 &lt;= 0,  ($AP7-$AR$3:$AR$5 + COUNT(variable_t)), $AP7-$AR$3:$AR$5))),
SUMPRODUCT(INDEX(Birmingham_PerC, $AR$3:$AR$5, $AN$6)*INDEX(TRit24[], $AN$5, IF($AP7-$AR$3:$AR$5 &lt;= 0,  ($AP7-$AR$3:$AR$5 + COUNT(variable_t)), $AP7-$AR$3:$AR$5))),
SUMPRODUCT(INDEX(Plymouth_PerC, $AR$3:$AR$5, $AN$6)*INDEX(TRit24[], $AN$6, IF($AP7-$AR$3:$AR$5 &lt;= 0,  ($AP7-$AR$3:$AR$5 + COUNT(variable_t)), $AP7-$AR$3:$AR$5))))/100*
Undamaged_CarsPerC/100,
SUM(
INDEX(TU1jt29[],  $AN$6, IF($AP7-1 = 0,  ($AP7-1 + COUNT(variable_t)), $AP7-1)),
INDEX(TU2jt30[],  $AN$6, IF($AP7-1 = 0,  ($AP7-1 + COUNT(variable_t)), $AP7-1)),
INDEX(TU3jt31[],  $AN$6, IF($AP7-1 = 0,  ($AP7-1 + COUNT(variable_t)), $AP7-1)),
INDEX(TU4jt32[],  $AN$6, IF($AP7-1 = 0,  ($AP7-1 + COUNT(variable_t)), $AP7-1))),
INDEX(RPit25[], $AN$6, IF($AP7-1 = 0,  ($AP7-1 + COUNT(variable_t)), $AP7-1)),
INDEX(EUit28[], $AN$6, IF($AP7-1 = 0,  ($AP7-1 + COUNT(variable_t)), $AP7-1)),
)</f>
        <v>58.469449601699999</v>
      </c>
      <c r="AJ10" s="76" t="s">
        <v>34</v>
      </c>
      <c r="AK10" s="77" cm="1">
        <f t="array" ref="AK10">INDEX(NUit37[], $AN$6, $AP7)</f>
        <v>58.469450000000002</v>
      </c>
      <c r="AL10" s="31"/>
      <c r="BJ10" s="14" t="s">
        <v>1</v>
      </c>
      <c r="BK10" s="48">
        <v>150</v>
      </c>
      <c r="BL10" s="4">
        <v>143</v>
      </c>
      <c r="BM10" s="4">
        <v>195</v>
      </c>
      <c r="BN10" s="50">
        <v>99</v>
      </c>
    </row>
    <row r="11" spans="2:66" ht="26.25" thickBot="1" x14ac:dyDescent="0.3">
      <c r="B11" s="30"/>
      <c r="C11" s="36" t="s">
        <v>44</v>
      </c>
      <c r="D11" s="45" t="s">
        <v>0</v>
      </c>
      <c r="E11" s="45" t="s">
        <v>1</v>
      </c>
      <c r="F11" s="45" t="s">
        <v>2</v>
      </c>
      <c r="G11" s="46" t="s">
        <v>3</v>
      </c>
      <c r="H11" s="45" t="s">
        <v>4</v>
      </c>
      <c r="I11" s="56" t="s">
        <v>5</v>
      </c>
      <c r="J11" s="31"/>
      <c r="V11" s="32" t="s">
        <v>5</v>
      </c>
      <c r="W11" s="75" cm="1">
        <f t="array" ref="W11">SUM(SUM(
SUMPRODUCT(INDEX(Glasgow_PerC, $AR$3:$AR$5, $AN$3)*INDEX(TRit24[], $AN$3, IF($AP8-$AR$3:$AR$5 &lt;= 0,  ($AP8-$AR$3:$AR$5 + COUNT(variable_t)), $AP8-$AR$3:$AR$5))),
SUMPRODUCT(INDEX(Manchester_PerC, $AR$3:$AR$5, $AN$3)*INDEX(TRit24[], $AN$4, IF($AP8-$AR$3:$AR$5 &lt;= 0,  ($AP8-$AR$3:$AR$5 + COUNT(variable_t)), $AP8-$AR$3:$AR$5))),
SUMPRODUCT(INDEX(Birmingham_PerC, $AR$3:$AR$5, $AN$3)*INDEX(TRit24[], $AN$5, IF($AP8-$AR$3:$AR$5 &lt;= 0,  ($AP8-$AR$3:$AR$5 + COUNT(variable_t)), $AP8-$AR$3:$AR$5))),
SUMPRODUCT(INDEX(Plymouth_PerC, $AR$3:$AR$5, $AN$3)*INDEX(TRit24[], $AN$6, IF($AP8-$AR$3:$AR$5 &lt;= 0,  ($AP8-$AR$3:$AR$5 + COUNT(variable_t)), $AP8-$AR$3:$AR$5))))/100*
Undamaged_CarsPerC/100,
SUM(
INDEX(TU1jt29[],  $AN$3, IF($AP8-1 = 0,  ($AP8-1 + COUNT(variable_t)), $AP8-1)),
INDEX(TU2jt30[],  $AN$3, IF($AP8-1 = 0,  ($AP8-1 + COUNT(variable_t)), $AP8-1)),
INDEX(TU3jt31[],  $AN$3, IF($AP8-1 = 0,  ($AP8-1 + COUNT(variable_t)), $AP8-1)),
INDEX(TU4jt32[],  $AN$3, IF($AP8-1 = 0,  ($AP8-1 + COUNT(variable_t)), $AP8-1))),
INDEX(RPit25[], $AN$3, IF($AP8-1 = 0,  ($AP8-1 + COUNT(variable_t)), $AP8-1)),
INDEX(EUit28[], $AN$3, IF($AP8-1 = 0,  ($AP8-1 + COUNT(varable_t)), $AP8-1)),
)</f>
        <v>90.947614643999984</v>
      </c>
      <c r="X11" s="76" t="s">
        <v>34</v>
      </c>
      <c r="Y11" s="77" cm="1">
        <f t="array" ref="Y11">INDEX(NUit37[], $AN$3, $AP8)</f>
        <v>90.947614999999999</v>
      </c>
      <c r="Z11" s="76"/>
      <c r="AA11" s="75" cm="1">
        <f t="array" ref="AA11">SUM(SUM(
SUMPRODUCT(INDEX(Glasgow_PerC, $AR$3:$AR$5, $AN$4)*INDEX(TRit24[], $AN$3, IF($AP8-$AR$3:$AR$5 &lt;= 0,  ($AP8-$AR$3:$AR$5 + COUNT(variable_t)), $AP8-$AR$3:$AR$5))),
SUMPRODUCT(INDEX(Manchester_PerC, $AR$3:$AR$5, $AN$4)*INDEX(TRit24[], $AN$4, IF($AP8-$AR$3:$AR$5 &lt;= 0,  ($AP8-$AR$3:$AR$5 + COUNT(variable_t)), $AP8-$AR$3:$AR$5))),
SUMPRODUCT(INDEX(Birmingham_PerC, $AR$3:$AR$5, $AN$4)*INDEX(TRit24[], $AN$5, IF($AP8-$AR$3:$AR$5 &lt;= 0,  ($AP8-$AR$3:$AR$5 + COUNT(variable_t)), $AP8-$AR$3:$AR$5))),
SUMPRODUCT(INDEX(Plymouth_PerC, $AR$3:$AR$5, $AN$4)*INDEX(TRit24[], $AN$6, IF($AP8-$AR$3:$AR$5 &lt;= 0,  ($AP8-$AR$3:$AR$5 + COUNT(variable_t)), $AP8-$AR$3:$AR$5))))/100*
Undamaged_CarsPerC/100,
SUM(
INDEX(TU1jt29[],  $AN$4, IF($AP8-1 = 0,  ($AP8-1 + COUNT(variable_t)), $AP8-1)),
INDEX(TU2jt30[],  $AN$4, IF($AP8-1 = 0,  ($AP8-1 + COUNT(variable_t)), $AP8-1)),
INDEX(TU3jt31[],  $AN$4, IF($AP8-1 = 0,  ($AP8-1 + COUNT(variable_t)), $AP8-1)),
INDEX(TU4jt32[],  $AN$4, IF($AP8-1 = 0,  ($AP8-1 + COUNT(variable_t)), $AP8-1))),
INDEX(RPit25[], $AN$4, IF($AP8-1 = 0,  ($AP8-1 + COUNT(variable_t)), $AP8-1)),
INDEX(EUit28[], $AN$4, IF($AP8-1 = 0,  ($AP8-1 + COUNT(variable_t)), $AP8-1)),
)</f>
        <v>147.5636122345</v>
      </c>
      <c r="AB11" s="76" t="s">
        <v>34</v>
      </c>
      <c r="AC11" s="77" cm="1">
        <f t="array" ref="AC11">INDEX(NUit37[], $AN$4, $AP8)</f>
        <v>147.56361000000001</v>
      </c>
      <c r="AD11" s="76"/>
      <c r="AE11" s="75" cm="1">
        <f t="array" ref="AE11">SUM(SUM(
SUMPRODUCT(INDEX(Glasgow_PerC, $AR$3:$AR$5, $AN$5)*INDEX(TRit24[], $AN$3, IF($AP8-$AR$3:$AR$5 &lt;= 0,  ($AP8-$AR$3:$AR$5 + COUNT(variable_t)), $AP8-$AR$3:$AR$5))),
SUMPRODUCT(INDEX(Manchester_PerC, $AR$3:$AR$5, $AN$5)*INDEX(TRit24[], $AN$4, IF($AP8-$AR$3:$AR$5 &lt;= 0,  ($AP8-$AR$3:$AR$5 + COUNT(variable_t)), $AP8-$AR$3:$AR$5))),
SUMPRODUCT(INDEX(Birmingham_PerC, $AR$3:$AR$5, $AN$5)*INDEX(TRit24[], $AN$5, IF($AP8-$AR$3:$AR$5 &lt;= 0,  ($AP8-$AR$3:$AR$5 + COUNT(variable_t)), $AP8-$AR$3:$AR$5))),
SUMPRODUCT(INDEX(Plymouth_PerC, $AR$3:$AR$5, $AN$5)*INDEX(TRit24[], $AN$6, IF($AP8-$AR$3:$AR$5 &lt;= 0,  ($AP8-$AR$3:$AR$5 + COUNT(variable_t)), $AP8-$AR$3:$AR$5))))/100*
Undamaged_CarsPerC/100,
SUM(
INDEX(TU1jt29[],  $AN$5, IF($AP8-1 = 0,  ($AP8-1 + COUNT(variable_t)), $AP8-1)),
INDEX(TU2jt30[],  $AN$5, IF($AP8-1 = 0,  ($AP8-1 + COUNT(variable_t)), $AP8-1)),
INDEX(TU3jt31[],  $AN$5, IF($AP8-1 = 0,  ($AP8-1 + COUNT(variable_t)), $AP8-1)),
INDEX(TU4jt32[],  $AN$5, IF($AP8-1 = 0,  ($AP8-1 + COUNT(variable_t)), $AP8-1))),
INDEX(RPit25[], $AN$5, IF($AP8-1 = 0,  ($AP8-1 + COUNT(variable_t)), $AP8-1)),
INDEX(EUit28[], $AN$5, IF($AP8-1 = 0,  ($AP8-1 + COUNT(variable_t)), $AP8-1)),
)</f>
        <v>251.00529453000001</v>
      </c>
      <c r="AF11" s="76" t="s">
        <v>34</v>
      </c>
      <c r="AG11" s="77" cm="1">
        <f t="array" ref="AG11">INDEX(NUit37[], $AN$5, $AP8)</f>
        <v>251.00529</v>
      </c>
      <c r="AH11" s="76"/>
      <c r="AI11" s="75" cm="1">
        <f t="array" ref="AI11">SUM(SUM(
SUMPRODUCT(INDEX(Glasgow_PerC, $AR$3:$AR$5, $AN$6)*INDEX(TRit24[], $AN$3, IF($AP8-$AR$3:$AR$5 &lt;= 0,  ($AP8-$AR$3:$AR$5 + COUNT(variable_t)), $AP8-$AR$3:$AR$5))),
SUMPRODUCT(INDEX(Manchester_PerC, $AR$3:$AR$5, $AN$6)*INDEX(TRit24[], $AN$4, IF($AP8-$AR$3:$AR$5 &lt;= 0,  ($AP8-$AR$3:$AR$5 + COUNT(variable_t)), $AP8-$AR$3:$AR$5))),
SUMPRODUCT(INDEX(Birmingham_PerC, $AR$3:$AR$5, $AN$6)*INDEX(TRit24[], $AN$5, IF($AP8-$AR$3:$AR$5 &lt;= 0,  ($AP8-$AR$3:$AR$5 + COUNT(variable_t)), $AP8-$AR$3:$AR$5))),
SUMPRODUCT(INDEX(Plymouth_PerC, $AR$3:$AR$5, $AN$6)*INDEX(TRit24[], $AN$6, IF($AP8-$AR$3:$AR$5 &lt;= 0,  ($AP8-$AR$3:$AR$5 + COUNT(variable_t)), $AP8-$AR$3:$AR$5))))/100*
Undamaged_CarsPerC/100,
SUM(
INDEX(TU1jt29[],  $AN$6, IF($AP8-1 = 0,  ($AP8-1 + COUNT(variable_t)), $AP8-1)),
INDEX(TU2jt30[],  $AN$6, IF($AP8-1 = 0,  ($AP8-1 + COUNT(variable_t)), $AP8-1)),
INDEX(TU3jt31[],  $AN$6, IF($AP8-1 = 0,  ($AP8-1 + COUNT(variable_t)), $AP8-1)),
INDEX(TU4jt32[],  $AN$6, IF($AP8-1 = 0,  ($AP8-1 + COUNT(variable_t)), $AP8-1))),
INDEX(RPit25[], $AN$6, IF($AP8-1 = 0,  ($AP8-1 + COUNT(variable_t)), $AP8-1)),
INDEX(EUit28[], $AN$6, IF($AP8-1 = 0,  ($AP8-1 + COUNT(variable_t)), $AP8-1)),
)</f>
        <v>54.546128536499992</v>
      </c>
      <c r="AJ11" s="76" t="s">
        <v>34</v>
      </c>
      <c r="AK11" s="77" cm="1">
        <f t="array" ref="AK11">INDEX(NUit37[], $AN$6, $AP8)</f>
        <v>54.546129000000001</v>
      </c>
      <c r="AL11" s="31"/>
      <c r="BJ11" s="14" t="s">
        <v>2</v>
      </c>
      <c r="BK11" s="48">
        <v>135</v>
      </c>
      <c r="BL11" s="4">
        <v>80</v>
      </c>
      <c r="BM11" s="4">
        <v>242</v>
      </c>
      <c r="BN11" s="50">
        <v>55</v>
      </c>
    </row>
    <row r="12" spans="2:66" ht="15.95" customHeight="1" thickBot="1" x14ac:dyDescent="0.3">
      <c r="B12" s="32"/>
      <c r="C12" s="23" t="s">
        <v>6</v>
      </c>
      <c r="D12" s="21">
        <v>100</v>
      </c>
      <c r="E12" s="21">
        <v>91.032242999999994</v>
      </c>
      <c r="F12" s="21">
        <v>87.870701999999994</v>
      </c>
      <c r="G12" s="20">
        <v>96.935340999999994</v>
      </c>
      <c r="H12" s="20">
        <v>94.007880999999998</v>
      </c>
      <c r="I12" s="54">
        <v>90.947614999999999</v>
      </c>
      <c r="J12" s="31"/>
      <c r="V12" s="33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34"/>
      <c r="BJ12" s="14" t="s">
        <v>3</v>
      </c>
      <c r="BK12" s="48">
        <v>83</v>
      </c>
      <c r="BL12" s="4">
        <v>225</v>
      </c>
      <c r="BM12" s="4">
        <v>111</v>
      </c>
      <c r="BN12" s="50">
        <v>96</v>
      </c>
    </row>
    <row r="13" spans="2:66" ht="15.95" customHeight="1" thickBot="1" x14ac:dyDescent="0.3">
      <c r="B13" s="32"/>
      <c r="C13" s="24" t="s">
        <v>9</v>
      </c>
      <c r="D13" s="22">
        <v>250</v>
      </c>
      <c r="E13" s="22">
        <v>153.62626</v>
      </c>
      <c r="F13" s="22">
        <v>145.12467000000001</v>
      </c>
      <c r="G13" s="19">
        <v>210.24522999999999</v>
      </c>
      <c r="H13" s="19">
        <v>189.37903</v>
      </c>
      <c r="I13" s="55">
        <v>147.56361000000001</v>
      </c>
      <c r="J13" s="31"/>
      <c r="BJ13" s="14" t="s">
        <v>4</v>
      </c>
      <c r="BK13" s="48">
        <v>120</v>
      </c>
      <c r="BL13" s="4">
        <v>210</v>
      </c>
      <c r="BM13" s="4">
        <v>70</v>
      </c>
      <c r="BN13" s="50">
        <v>115</v>
      </c>
    </row>
    <row r="14" spans="2:66" ht="15.95" customHeight="1" thickTop="1" thickBot="1" x14ac:dyDescent="0.3">
      <c r="B14" s="32"/>
      <c r="C14" s="24" t="s">
        <v>7</v>
      </c>
      <c r="D14" s="22">
        <v>233.87571</v>
      </c>
      <c r="E14" s="22">
        <v>269.98165999999998</v>
      </c>
      <c r="F14" s="22">
        <v>219.80280999999999</v>
      </c>
      <c r="G14" s="19">
        <v>162.99248</v>
      </c>
      <c r="H14" s="19">
        <v>185.27207000000001</v>
      </c>
      <c r="I14" s="55">
        <v>251.00529</v>
      </c>
      <c r="J14" s="31"/>
      <c r="V14" s="27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9"/>
      <c r="BJ14" s="14" t="s">
        <v>5</v>
      </c>
      <c r="BK14" s="51">
        <v>230</v>
      </c>
      <c r="BL14" s="52">
        <v>98</v>
      </c>
      <c r="BM14" s="52">
        <v>124</v>
      </c>
      <c r="BN14" s="53">
        <v>80</v>
      </c>
    </row>
    <row r="15" spans="2:66" ht="15.95" customHeight="1" thickBot="1" x14ac:dyDescent="0.3">
      <c r="B15" s="32"/>
      <c r="C15" s="25" t="s">
        <v>8</v>
      </c>
      <c r="D15" s="57">
        <v>88.959519999999998</v>
      </c>
      <c r="E15" s="57">
        <v>56.112592999999997</v>
      </c>
      <c r="F15" s="57">
        <v>52.193398000000002</v>
      </c>
      <c r="G15" s="58">
        <v>62.152695000000001</v>
      </c>
      <c r="H15" s="58">
        <v>58.469450000000002</v>
      </c>
      <c r="I15" s="59">
        <v>54.546129000000001</v>
      </c>
      <c r="J15" s="31"/>
      <c r="V15" s="32"/>
      <c r="W15" s="149" t="s">
        <v>42</v>
      </c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49"/>
      <c r="AL15" s="31"/>
    </row>
    <row r="16" spans="2:66" ht="15.95" customHeight="1" thickBot="1" x14ac:dyDescent="0.3">
      <c r="B16" s="33"/>
      <c r="C16" s="26"/>
      <c r="D16" s="26"/>
      <c r="E16" s="26"/>
      <c r="F16" s="26"/>
      <c r="G16" s="26"/>
      <c r="H16" s="26"/>
      <c r="I16" s="26"/>
      <c r="J16" s="34"/>
      <c r="V16" s="32"/>
      <c r="W16" s="135"/>
      <c r="AL16" s="31"/>
    </row>
    <row r="17" spans="2:38" ht="15.95" customHeight="1" thickTop="1" thickBot="1" x14ac:dyDescent="0.3">
      <c r="V17" s="32"/>
      <c r="W17" s="150" t="s">
        <v>6</v>
      </c>
      <c r="X17" s="150"/>
      <c r="Y17" s="150"/>
      <c r="AA17" s="151" t="s">
        <v>9</v>
      </c>
      <c r="AB17" s="151"/>
      <c r="AC17" s="151"/>
      <c r="AE17" s="151" t="s">
        <v>7</v>
      </c>
      <c r="AF17" s="151"/>
      <c r="AG17" s="151"/>
      <c r="AI17" s="151" t="s">
        <v>8</v>
      </c>
      <c r="AJ17" s="151"/>
      <c r="AK17" s="151"/>
      <c r="AL17" s="31"/>
    </row>
    <row r="18" spans="2:38" ht="15.95" customHeight="1" thickTop="1" thickBot="1" x14ac:dyDescent="0.3">
      <c r="B18" s="27"/>
      <c r="C18" s="28"/>
      <c r="D18" s="28"/>
      <c r="E18" s="28"/>
      <c r="F18" s="28"/>
      <c r="G18" s="28"/>
      <c r="H18" s="28"/>
      <c r="I18" s="28"/>
      <c r="J18" s="29"/>
      <c r="V18" s="32" t="s">
        <v>0</v>
      </c>
      <c r="W18" s="75" cm="1">
        <f t="array" ref="W18">SUM(SUM(
SUMPRODUCT(INDEX(Glasgow_PerC, $AR$3:$AR$5, $AN$3)*INDEX(TRit24[], $AN$3, IF($AP3-$AR$3:$AR$5 &lt;= 0,  ($AP3-$AR$3:$AR$5 + COUNT(variable_t)), $AP3-$AR$3:$AR$5))),
SUMPRODUCT(INDEX(Manchester_PerC, $AR$3:$AR$5, $AN$3)*INDEX(TRit24[], $AN$4, IF($AP3-$AR$3:$AR$5 &lt;= 0,  ($AP3-$AR$3:$AR$5 + COUNT(variable_t)), $AP3-$AR$3:$AR$5))),
SUMPRODUCT(INDEX(Birmingham_PerC, $AR$3:$AR$5, $AN$3)*INDEX(TRit24[], $AN$5, IF($AP3-$AR$3:$AR$5 &lt;= 0,  ($AP3-$AR$3:$AR$5 + COUNT(variable_t)), $AP3-$AR$3:$AR$5))),
SUMPRODUCT(INDEX(Plymouth_PerC, $AR$3:$AR$5, $AN$3)*INDEX(TRit24[], $AN$6, IF($AP3-$AR$3:$AR$5 &lt;= 0,  ($AP3-$AR$3:$AR$5 + COUNT(variable_t)), $AP3-$AR$3:$AR$5))))/100*
Damaged_CarsPerC/100,
SUM(
INDEX(TD1jt33[],  $AN$3, IF($AP3-1 = 0,  ($AP3-1 + COUNT(variable_t)), $AP3-1)),
INDEX(TD2jt34[],  $AN$3, IF($AP3-1 = 0,  ($AP3-1 + COUNT(variable_t)), $AP3-1)),
INDEX(TD3jt35[],  $AN$3, IF($AP3-1 = 0,  ($AP3-1 + COUNT(variable_t)), $AP3-1)),
INDEX(TD4jt36[],  $AN$3, IF($AP3-1 = 0,  ($AP3-1 + COUNT(variable_t)), $AP3-1))),
INDEX(EDit27[], $AN$3, IF($AP3-1 = 0,  ($AP3-1 + COUNT(variable_t)), $AP3-1)),
)</f>
        <v>7.5363144694999979</v>
      </c>
      <c r="X18" s="76" t="s">
        <v>34</v>
      </c>
      <c r="Y18" s="77" cm="1">
        <f t="array" ref="Y18">INDEX(NDit26[], $AN$3, $AP3)</f>
        <v>7.5363144999999996</v>
      </c>
      <c r="Z18" s="76"/>
      <c r="AA18" s="75" cm="1">
        <f t="array" ref="AA18">SUM(SUM(
SUMPRODUCT(INDEX(Glasgow_PerC, $AR$3:$AR$5, $AN$4)*INDEX(TRit24[], $AN$3, IF($AP3-$AR$3:$AR$5 &lt;= 0,  ($AP3-$AR$3:$AR$5 + COUNT(variable_t)), $AP3-$AR$3:$AR$5))),
SUMPRODUCT(INDEX(Manchester_PerC, $AR$3:$AR$5, $AN$4)*INDEX(TRit24[], $AN$4, IF($AP3-$AR$3:$AR$5 &lt;= 0,  ($AP3-$AR$3:$AR$5 + COUNT(variable_t)), $AP3-$AR$3:$AR$5))),
SUMPRODUCT(INDEX(Birmingham_PerC, $AR$3:$AR$5, $AN$4)*INDEX(TRit24[], $AN$5, IF($AP3-$AR$3:$AR$5 &lt;= 0,  ($AP3-$AR$3:$AR$5 + COUNT(variable_t)), $AP3-$AR$3:$AR$5))),
SUMPRODUCT(INDEX(Plymouth_PerC, $AR$3:$AR$5, $AN$4)*INDEX(TRit24[], $AN$6, IF($AP3-$AR$3:$AR$5 &lt;= 0,  ($AP3-$AR$3:$AR$5 + COUNT(variable_t)), $AP3-$AR$3:$AR$5))))/100*
Damaged_CarsPerC/100,
SUM(
INDEX(TD1jt33[],  $AN$4, IF($AP3-1 = 0,  ($AP3-1 + COUNT(variable_t)), $AP3-1)),
INDEX(TD2jt34[],  $AN$4, IF($AP3-1 = 0,  ($AP3-1 + COUNT(variable_t)), $AP3-1)),
INDEX(TD3jt35[],  $AN$4, IF($AP3-1 = 0,  ($AP3-1 + COUNT(variable_t)), $AP3-1)),
INDEX(TD4jt36[],  $AN$4, IF($AP3-1 = 0,  ($AP3-1 + COUNT(variable_t)), $AP3-1))),
INDEX(EDit27[], $AN$4, IF($AP3-1 = 0,  ($AP3-1 + COUNT(variable_t)), $AP3-1)),
)</f>
        <v>25.669730626499998</v>
      </c>
      <c r="AB18" s="76" t="s">
        <v>34</v>
      </c>
      <c r="AC18" s="77" cm="1">
        <f t="array" ref="AC18">INDEX(NDit26[], $AN$4, $AP3)</f>
        <v>25.669730000000001</v>
      </c>
      <c r="AD18" s="76"/>
      <c r="AE18" s="75" cm="1">
        <f t="array" ref="AE18">SUM(SUM(
SUMPRODUCT(INDEX(Glasgow_PerC, $AR$3:$AR$5, $AN$5)*INDEX(TRit24[], $AN$3, IF($AP3-$AR$3:$AR$5 &lt;= 0,  ($AP3-$AR$3:$AR$5 + COUNT(variable_t)), $AP3-$AR$3:$AR$5))),
SUMPRODUCT(INDEX(Manchester_PerC, $AR$3:$AR$5, $AN$5)*INDEX(TRit24[], $AN$4, IF($AP3-$AR$3:$AR$5 &lt;= 0,  ($AP3-$AR$3:$AR$5 + COUNT(variable_t)), $AP3-$AR$3:$AR$5))),
SUMPRODUCT(INDEX(Birmingham_PerC, $AR$3:$AR$5, $AN$5)*INDEX(TRit24[], $AN$5, IF($AP3-$AR$3:$AR$5 &lt;= 0,  ($AP3-$AR$3:$AR$5 + COUNT(variable_t)), $AP3-$AR$3:$AR$5))),
SUMPRODUCT(INDEX(Plymouth_PerC, $AR$3:$AR$5, $AN$5)*INDEX(TRit24[], $AN$6, IF($AP3-$AR$3:$AR$5 &lt;= 0,  ($AP3-$AR$3:$AR$5 + COUNT(variable_t)), $AP3-$AR$3:$AR$5))))/100*
Damaged_CarsPerC/100,
SUM(
INDEX(TD1jt33[],  $AN$5, IF($AP3-1 = 0,  ($AP3-1 + COUNT(variable_t)), $AP3-1)),
INDEX(TD2jt34[],  $AN$5, IF($AP3-1 = 0,  ($AP3-1 + COUNT(variable_t)), $AP3-1)),
INDEX(TD3jt35[],  $AN$5, IF($AP3-1 = 0,  ($AP3-1 + COUNT(variable_t)), $AP3-1)),
INDEX(TD4jt36[],  $AN$5, IF($AP3-1 = 0,  ($AP3-1 + COUNT(variable_t)), $AP3-1))),
INDEX(EDit27[], $AN$5, IF($AP3-1 = 0,  ($AP3-1 + COUNT(variable_t)), $AP3-1)),
)</f>
        <v>19.999999768249999</v>
      </c>
      <c r="AF18" s="76" t="s">
        <v>34</v>
      </c>
      <c r="AG18" s="77" cm="1">
        <f t="array" ref="AG18">INDEX(NDit26[], $AN$5, $AP3)</f>
        <v>20</v>
      </c>
      <c r="AH18" s="76"/>
      <c r="AI18" s="75" cm="1">
        <f t="array" ref="AI18">SUM(SUM(
SUMPRODUCT(INDEX(Glasgow_PerC, $AR$3:$AR$5, $AN$6)*INDEX(TRit24[], $AN$3, IF($AP3-$AR$3:$AR$5 &lt;= 0,  ($AP3-$AR$3:$AR$5 + COUNT(variable_t)), $AP3-$AR$3:$AR$5))),
SUMPRODUCT(INDEX(Manchester_PerC, $AR$3:$AR$5, $AN$6)*INDEX(TRit24[], $AN$4, IF($AP3-$AR$3:$AR$5 &lt;= 0,  ($AP3-$AR$3:$AR$5 + COUNT(variable_t)), $AP3-$AR$3:$AR$5))),
SUMPRODUCT(INDEX(Birmingham_PerC, $AR$3:$AR$5, $AN$6)*INDEX(TRit24[], $AN$5, IF($AP3-$AR$3:$AR$5 &lt;= 0,  ($AP3-$AR$3:$AR$5 + COUNT(variable_t)), $AP3-$AR$3:$AR$5))),
SUMPRODUCT(INDEX(Plymouth_PerC, $AR$3:$AR$5, $AN$6)*INDEX(TRit24[], $AN$6, IF($AP3-$AR$3:$AR$5 &lt;= 0,  ($AP3-$AR$3:$AR$5 + COUNT(variable_t)), $AP3-$AR$3:$AR$5))))/100*
Damaged_CarsPerC/100,
SUM(
INDEX(TD1jt33[],  $AN$6, IF($AP3-1 = 0,  ($AP3-1 + COUNT(variable_t)), $AP3-1)),
INDEX(TD2jt34[],  $AN$6, IF($AP3-1 = 0,  ($AP3-1 + COUNT(variable_t)), $AP3-1)),
INDEX(TD3jt35[],  $AN$6, IF($AP3-1 = 0,  ($AP3-1 + COUNT(variable_t)), $AP3-1)),
INDEX(TD4jt36[],  $AN$6, IF($AP3-1 = 0,  ($AP3-1 + COUNT(variable_t)), $AP3-1))),
INDEX(EDit27[], $AN$6, IF($AP3-1 = 0,  ($AP3-1 + COUNT(variable_t)), $AP3-1)),
)</f>
        <v>3.8237101557500002</v>
      </c>
      <c r="AJ18" s="76" t="s">
        <v>34</v>
      </c>
      <c r="AK18" s="77" cm="1">
        <f t="array" ref="AK18">INDEX(NDit26[], $AN$6, $AP3)</f>
        <v>3.8237101999999998</v>
      </c>
      <c r="AL18" s="31"/>
    </row>
    <row r="19" spans="2:38" ht="26.25" thickBot="1" x14ac:dyDescent="0.3">
      <c r="B19" s="30"/>
      <c r="C19" s="36" t="s">
        <v>44</v>
      </c>
      <c r="D19" s="45" t="s">
        <v>0</v>
      </c>
      <c r="E19" s="45" t="s">
        <v>1</v>
      </c>
      <c r="F19" s="45" t="s">
        <v>2</v>
      </c>
      <c r="G19" s="46" t="s">
        <v>3</v>
      </c>
      <c r="H19" s="45" t="s">
        <v>4</v>
      </c>
      <c r="I19" s="56" t="s">
        <v>5</v>
      </c>
      <c r="J19" s="31"/>
      <c r="V19" s="32" t="s">
        <v>1</v>
      </c>
      <c r="W19" s="75" cm="1">
        <f t="array" ref="W19">SUM(SUM(
SUMPRODUCT(INDEX(Glasgow_PerC, $AR$3:$AR$5, $AN$3)*INDEX(TRit24[], $AN$3, IF($AP4-$AR$3:$AR$5 &lt;= 0,  ($AP4-$AR$3:$AR$5 + COUNT(variable_t)), $AP4-$AR$3:$AR$5))),
SUMPRODUCT(INDEX(Manchester_PerC, $AR$3:$AR$5, $AN$3)*INDEX(TRit24[], $AN$4, IF($AP4-$AR$3:$AR$5 &lt;= 0,  ($AP4-$AR$3:$AR$5 + COUNT(variable_t)), $AP4-$AR$3:$AR$5))),
SUMPRODUCT(INDEX(Birmingham_PerC, $AR$3:$AR$5, $AN$3)*INDEX(TRit24[], $AN$5, IF($AP4-$AR$3:$AR$5 &lt;= 0,  ($AP4-$AR$3:$AR$5 + COUNT(variable_t)), $AP4-$AR$3:$AR$5))),
SUMPRODUCT(INDEX(Plymouth_PerC, $AR$3:$AR$5, $AN$3)*INDEX(TRit24[], $AN$6, IF($AP4-$AR$3:$AR$5 &lt;= 0,  ($AP4-$AR$3:$AR$5 + COUNT(variable_t)), $AP4-$AR$3:$AR$5))))/100*
Damaged_CarsPerC/100,
SUM(
INDEX(TD1jt33[],  $AN$3, IF($AP4-1 = 0,  ($AP4-1 + COUNT(variable_t)), $AP4-1)),
INDEX(TD2jt34[],  $AN$3, IF($AP4-1 = 0,  ($AP4-1 + COUNT(variable_t)), $AP4-1)),
INDEX(TD3jt35[],  $AN$3, IF($AP4-1 = 0,  ($AP4-1 + COUNT(variable_t)), $AP4-1)),
INDEX(TD4jt36[],  $AN$3, IF($AP4-1 = 0,  ($AP4-1 + COUNT(variable_t)), $AP4-1))),
INDEX(EDit27[], $AN$3, IF($AP4-1 = 0,  ($AP4-1 + COUNT(variable_t)), $AP4-1)),
)</f>
        <v>10.114693705499999</v>
      </c>
      <c r="X19" s="76" t="s">
        <v>34</v>
      </c>
      <c r="Y19" s="77" cm="1">
        <f t="array" ref="Y19">INDEX(NDit26[], $AN$3, $AP4)</f>
        <v>10.114694</v>
      </c>
      <c r="Z19" s="76"/>
      <c r="AA19" s="75" cm="1">
        <f t="array" ref="AA19">SUM(SUM(
SUMPRODUCT(INDEX(Glasgow_PerC, $AR$3:$AR$5, $AN$4)*INDEX(TRit24[], $AN$3, IF($AP4-$AR$3:$AR$5 &lt;= 0,  ($AP4-$AR$3:$AR$5 + COUNT(variable_t)), $AP4-$AR$3:$AR$5))),
SUMPRODUCT(INDEX(Manchester_PerC, $AR$3:$AR$5, $AN$4)*INDEX(TRit24[], $AN$4, IF($AP4-$AR$3:$AR$5 &lt;= 0,  ($AP4-$AR$3:$AR$5 + COUNT(variable_t)), $AP4-$AR$3:$AR$5))),
SUMPRODUCT(INDEX(Birmingham_PerC, $AR$3:$AR$5, $AN$4)*INDEX(TRit24[], $AN$5, IF($AP4-$AR$3:$AR$5 &lt;= 0,  ($AP4-$AR$3:$AR$5 + COUNT(variable_t)), $AP4-$AR$3:$AR$5))),
SUMPRODUCT(INDEX(Plymouth_PerC, $AR$3:$AR$5, $AN$4)*INDEX(TRit24[], $AN$6, IF($AP4-$AR$3:$AR$5 &lt;= 0,  ($AP4-$AR$3:$AR$5 + COUNT(variable_t)), $AP4-$AR$3:$AR$5))))/100*
Damaged_CarsPerC/100,
SUM(
INDEX(TD1jt33[],  $AN$4, IF($AP4-1 = 0,  ($AP4-1 + COUNT(variable_t)), $AP4-1)),
INDEX(TD2jt34[],  $AN$4, IF($AP4-1 = 0,  ($AP4-1 + COUNT(variable_t)), $AP4-1)),
INDEX(TD3jt35[],  $AN$4, IF($AP4-1 = 0,  ($AP4-1 + COUNT(variable_t)), $AP4-1)),
INDEX(TD4jt36[],  $AN$4, IF($AP4-1 = 0,  ($AP4-1 + COUNT(variable_t)), $AP4-1))),
INDEX(EDit27[], $AN$4, IF($AP4-1 = 0,  ($AP4-1 + COUNT(variable_t)), $AP4-1)),
)</f>
        <v>22.000000029499997</v>
      </c>
      <c r="AB19" s="76" t="s">
        <v>34</v>
      </c>
      <c r="AC19" s="77" cm="1">
        <f t="array" ref="AC19">INDEX(NDit26[], $AN$4, $AP4)</f>
        <v>22</v>
      </c>
      <c r="AD19" s="76"/>
      <c r="AE19" s="75" cm="1">
        <f t="array" ref="AE19">SUM(SUM(
SUMPRODUCT(INDEX(Glasgow_PerC, $AR$3:$AR$5, $AN$5)*INDEX(TRit24[], $AN$3, IF($AP4-$AR$3:$AR$5 &lt;= 0,  ($AP4-$AR$3:$AR$5 + COUNT(variable_t)), $AP4-$AR$3:$AR$5))),
SUMPRODUCT(INDEX(Manchester_PerC, $AR$3:$AR$5, $AN$5)*INDEX(TRit24[], $AN$4, IF($AP4-$AR$3:$AR$5 &lt;= 0,  ($AP4-$AR$3:$AR$5 + COUNT(variable_t)), $AP4-$AR$3:$AR$5))),
SUMPRODUCT(INDEX(Birmingham_PerC, $AR$3:$AR$5, $AN$5)*INDEX(TRit24[], $AN$5, IF($AP4-$AR$3:$AR$5 &lt;= 0,  ($AP4-$AR$3:$AR$5 + COUNT(variable_t)), $AP4-$AR$3:$AR$5))),
SUMPRODUCT(INDEX(Plymouth_PerC, $AR$3:$AR$5, $AN$5)*INDEX(TRit24[], $AN$6, IF($AP4-$AR$3:$AR$5 &lt;= 0,  ($AP4-$AR$3:$AR$5 + COUNT(variable_t)), $AP4-$AR$3:$AR$5))))/100*
Damaged_CarsPerC/100,
SUM(
INDEX(TD1jt33[],  $AN$5, IF($AP4-1 = 0,  ($AP4-1 + COUNT(variable_t)), $AP4-1)),
INDEX(TD2jt34[],  $AN$5, IF($AP4-1 = 0,  ($AP4-1 + COUNT(variable_t)), $AP4-1)),
INDEX(TD3jt35[],  $AN$5, IF($AP4-1 = 0,  ($AP4-1 + COUNT(variable_t)), $AP4-1)),
INDEX(TD4jt36[],  $AN$5, IF($AP4-1 = 0,  ($AP4-1 + COUNT(variable_t)), $AP4-1))),
INDEX(EDit27[], $AN$5, IF($AP4-1 = 0,  ($AP4-1 + COUNT(variable_t)), $AP4-1)),
)</f>
        <v>20.000000089499999</v>
      </c>
      <c r="AF19" s="76" t="s">
        <v>34</v>
      </c>
      <c r="AG19" s="77" cm="1">
        <f t="array" ref="AG19">INDEX(NDit26[], $AN$5, $AP4)</f>
        <v>20</v>
      </c>
      <c r="AH19" s="76"/>
      <c r="AI19" s="75" cm="1">
        <f t="array" ref="AI19">SUM(SUM(
SUMPRODUCT(INDEX(Glasgow_PerC, $AR$3:$AR$5, $AN$6)*INDEX(TRit24[], $AN$3, IF($AP4-$AR$3:$AR$5 &lt;= 0,  ($AP4-$AR$3:$AR$5 + COUNT(variable_t)), $AP4-$AR$3:$AR$5))),
SUMPRODUCT(INDEX(Manchester_PerC, $AR$3:$AR$5, $AN$6)*INDEX(TRit24[], $AN$4, IF($AP4-$AR$3:$AR$5 &lt;= 0,  ($AP4-$AR$3:$AR$5 + COUNT(variable_t)), $AP4-$AR$3:$AR$5))),
SUMPRODUCT(INDEX(Birmingham_PerC, $AR$3:$AR$5, $AN$6)*INDEX(TRit24[], $AN$5, IF($AP4-$AR$3:$AR$5 &lt;= 0,  ($AP4-$AR$3:$AR$5 + COUNT(variable_t)), $AP4-$AR$3:$AR$5))),
SUMPRODUCT(INDEX(Plymouth_PerC, $AR$3:$AR$5, $AN$6)*INDEX(TRit24[], $AN$6, IF($AP4-$AR$3:$AR$5 &lt;= 0,  ($AP4-$AR$3:$AR$5 + COUNT(variable_t)), $AP4-$AR$3:$AR$5))))/100*
Damaged_CarsPerC/100,
SUM(
INDEX(TD1jt33[],  $AN$6, IF($AP4-1 = 0,  ($AP4-1 + COUNT(variable_t)), $AP4-1)),
INDEX(TD2jt34[],  $AN$6, IF($AP4-1 = 0,  ($AP4-1 + COUNT(variable_t)), $AP4-1)),
INDEX(TD3jt35[],  $AN$6, IF($AP4-1 = 0,  ($AP4-1 + COUNT(variable_t)), $AP4-1)),
INDEX(TD4jt36[],  $AN$6, IF($AP4-1 = 0,  ($AP4-1 + COUNT(variable_t)), $AP4-1))),
INDEX(EDit27[], $AN$6, IF($AP4-1 = 0,  ($AP4-1 + COUNT(variable_t)), $AP4-1)),
)</f>
        <v>6.2347326004999992</v>
      </c>
      <c r="AJ19" s="76" t="s">
        <v>34</v>
      </c>
      <c r="AK19" s="77" cm="1">
        <f t="array" ref="AK19">INDEX(NDit26[], $AN$6, $AP4)</f>
        <v>6.2347326000000001</v>
      </c>
      <c r="AL19" s="31"/>
    </row>
    <row r="20" spans="2:38" ht="15.95" customHeight="1" thickBot="1" x14ac:dyDescent="0.3">
      <c r="B20" s="32"/>
      <c r="C20" s="23" t="s">
        <v>6</v>
      </c>
      <c r="D20" s="21">
        <v>7.5363144999999996</v>
      </c>
      <c r="E20" s="21">
        <v>10.114694</v>
      </c>
      <c r="F20" s="21">
        <v>9.7634112999999996</v>
      </c>
      <c r="G20" s="20">
        <v>10.770593</v>
      </c>
      <c r="H20" s="20">
        <v>10.445320000000001</v>
      </c>
      <c r="I20" s="54">
        <v>10.105290999999999</v>
      </c>
      <c r="J20" s="31"/>
      <c r="V20" s="32" t="s">
        <v>2</v>
      </c>
      <c r="W20" s="75" cm="1">
        <f t="array" ref="W20">SUM(SUM(
SUMPRODUCT(INDEX(Glasgow_PerC, $AR$3:$AR$5, $AN$3)*INDEX(TRit24[], $AN$3, IF($AP5-$AR$3:$AR$5 &lt;= 0,  ($AP5-$AR$3:$AR$5 + COUNT(variable_t)), $AP5-$AR$3:$AR$5))),
SUMPRODUCT(INDEX(Manchester_PerC, $AR$3:$AR$5, $AN$3)*INDEX(TRit24[], $AN$4, IF($AP5-$AR$3:$AR$5 &lt;= 0,  ($AP5-$AR$3:$AR$5 + COUNT(variable_t)), $AP5-$AR$3:$AR$5))),
SUMPRODUCT(INDEX(Birmingham_PerC, $AR$3:$AR$5, $AN$3)*INDEX(TRit24[], $AN$5, IF($AP5-$AR$3:$AR$5 &lt;= 0,  ($AP5-$AR$3:$AR$5 + COUNT(variable_t)), $AP5-$AR$3:$AR$5))),
SUMPRODUCT(INDEX(Plymouth_PerC, $AR$3:$AR$5, $AN$3)*INDEX(TRit24[], $AN$6, IF($AP5-$AR$3:$AR$5 &lt;= 0,  ($AP5-$AR$3:$AR$5 + COUNT(variable_t)), $AP5-$AR$3:$AR$5))))/100*
Damaged_CarsPerC/100,
SUM(
INDEX(TD1jt33[],  $AN$3, IF($AP5-1 = 0,  ($AP5-1 + COUNT(variable_t)), $AP5-1)),
INDEX(TD2jt34[],  $AN$3, IF($AP5-1 = 0,  ($AP5-1 + COUNT(variable_t)), $AP5-1)),
INDEX(TD3jt35[],  $AN$3, IF($AP5-1 = 0,  ($AP5-1 + COUNT(variable_t)), $AP5-1)),
INDEX(TD4jt36[],  $AN$3, IF($AP5-1 = 0,  ($AP5-1 + COUNT(variable_t)), $AP5-1))),
INDEX(EDit27[], $AN$3, IF($AP5-1 = 0,  ($AP5-1 + COUNT(variable_t)), $AP5-1)),
)</f>
        <v>9.7634113351999989</v>
      </c>
      <c r="X20" s="76" t="s">
        <v>34</v>
      </c>
      <c r="Y20" s="77" cm="1">
        <f t="array" ref="Y20">INDEX(NDit26[], $AN$3, $AP5)</f>
        <v>9.7634112999999996</v>
      </c>
      <c r="Z20" s="76"/>
      <c r="AA20" s="75" cm="1">
        <f t="array" ref="AA20">SUM(SUM(
SUMPRODUCT(INDEX(Glasgow_PerC, $AR$3:$AR$5, $AN$4)*INDEX(TRit24[], $AN$3, IF($AP5-$AR$3:$AR$5 &lt;= 0,  ($AP5-$AR$3:$AR$5 + COUNT(variable_t)), $AP5-$AR$3:$AR$5))),
SUMPRODUCT(INDEX(Manchester_PerC, $AR$3:$AR$5, $AN$4)*INDEX(TRit24[], $AN$4, IF($AP5-$AR$3:$AR$5 &lt;= 0,  ($AP5-$AR$3:$AR$5 + COUNT(variable_t)), $AP5-$AR$3:$AR$5))),
SUMPRODUCT(INDEX(Birmingham_PerC, $AR$3:$AR$5, $AN$4)*INDEX(TRit24[], $AN$5, IF($AP5-$AR$3:$AR$5 &lt;= 0,  ($AP5-$AR$3:$AR$5 + COUNT(variable_t)), $AP5-$AR$3:$AR$5))),
SUMPRODUCT(INDEX(Plymouth_PerC, $AR$3:$AR$5, $AN$4)*INDEX(TRit24[], $AN$6, IF($AP5-$AR$3:$AR$5 &lt;= 0,  ($AP5-$AR$3:$AR$5 + COUNT(variable_t)), $AP5-$AR$3:$AR$5))))/100*
Damaged_CarsPerC/100,
SUM(
INDEX(TD1jt33[],  $AN$4, IF($AP5-1 = 0,  ($AP5-1 + COUNT(variable_t)), $AP5-1)),
INDEX(TD2jt34[],  $AN$4, IF($AP5-1 = 0,  ($AP5-1 + COUNT(variable_t)), $AP5-1)),
INDEX(TD3jt35[],  $AN$4, IF($AP5-1 = 0,  ($AP5-1 + COUNT(variable_t)), $AP5-1)),
INDEX(TD4jt36[],  $AN$4, IF($AP5-1 = 0,  ($AP5-1 + COUNT(variable_t)), $AP5-1))),
INDEX(EDit27[], $AN$4, IF($AP5-1 = 0,  ($AP5-1 + COUNT(variable_t)), $AP5-1)),
)</f>
        <v>22.614516859800002</v>
      </c>
      <c r="AB20" s="76" t="s">
        <v>34</v>
      </c>
      <c r="AC20" s="77" cm="1">
        <f t="array" ref="AC20">INDEX(NDit26[], $AN$4, $AP5)</f>
        <v>22.614516999999999</v>
      </c>
      <c r="AD20" s="76"/>
      <c r="AE20" s="75" cm="1">
        <f t="array" ref="AE20">SUM(SUM(
SUMPRODUCT(INDEX(Glasgow_PerC, $AR$3:$AR$5, $AN$5)*INDEX(TRit24[], $AN$3, IF($AP5-$AR$3:$AR$5 &lt;= 0,  ($AP5-$AR$3:$AR$5 + COUNT(variable_t)), $AP5-$AR$3:$AR$5))),
SUMPRODUCT(INDEX(Manchester_PerC, $AR$3:$AR$5, $AN$5)*INDEX(TRit24[], $AN$4, IF($AP5-$AR$3:$AR$5 &lt;= 0,  ($AP5-$AR$3:$AR$5 + COUNT(variable_t)), $AP5-$AR$3:$AR$5))),
SUMPRODUCT(INDEX(Birmingham_PerC, $AR$3:$AR$5, $AN$5)*INDEX(TRit24[], $AN$5, IF($AP5-$AR$3:$AR$5 &lt;= 0,  ($AP5-$AR$3:$AR$5 + COUNT(variable_t)), $AP5-$AR$3:$AR$5))),
SUMPRODUCT(INDEX(Plymouth_PerC, $AR$3:$AR$5, $AN$5)*INDEX(TRit24[], $AN$6, IF($AP5-$AR$3:$AR$5 &lt;= 0,  ($AP5-$AR$3:$AR$5 + COUNT(variable_t)), $AP5-$AR$3:$AR$5))))/100*
Damaged_CarsPerC/100,
SUM(
INDEX(TD1jt33[],  $AN$5, IF($AP5-1 = 0,  ($AP5-1 + COUNT(variable_t)), $AP5-1)),
INDEX(TD2jt34[],  $AN$5, IF($AP5-1 = 0,  ($AP5-1 + COUNT(variable_t)), $AP5-1)),
INDEX(TD3jt35[],  $AN$5, IF($AP5-1 = 0,  ($AP5-1 + COUNT(variable_t)), $AP5-1)),
INDEX(TD4jt36[],  $AN$5, IF($AP5-1 = 0,  ($AP5-1 + COUNT(variable_t)), $AP5-1))),
INDEX(EDit27[], $AN$5, IF($AP5-1 = 0,  ($AP5-1 + COUNT(variable_t)), $AP5-1)),
)</f>
        <v>20.103749463050001</v>
      </c>
      <c r="AF20" s="76" t="s">
        <v>34</v>
      </c>
      <c r="AG20" s="77" cm="1">
        <f t="array" ref="AG20">INDEX(NDit26[], $AN$5, $AP5)</f>
        <v>20.103749000000001</v>
      </c>
      <c r="AH20" s="76"/>
      <c r="AI20" s="75" cm="1">
        <f t="array" ref="AI20">SUM(SUM(
SUMPRODUCT(INDEX(Glasgow_PerC, $AR$3:$AR$5, $AN$6)*INDEX(TRit24[], $AN$3, IF($AP5-$AR$3:$AR$5 &lt;= 0,  ($AP5-$AR$3:$AR$5 + COUNT(variable_t)), $AP5-$AR$3:$AR$5))),
SUMPRODUCT(INDEX(Manchester_PerC, $AR$3:$AR$5, $AN$6)*INDEX(TRit24[], $AN$4, IF($AP5-$AR$3:$AR$5 &lt;= 0,  ($AP5-$AR$3:$AR$5 + COUNT(variable_t)), $AP5-$AR$3:$AR$5))),
SUMPRODUCT(INDEX(Birmingham_PerC, $AR$3:$AR$5, $AN$6)*INDEX(TRit24[], $AN$5, IF($AP5-$AR$3:$AR$5 &lt;= 0,  ($AP5-$AR$3:$AR$5 + COUNT(variable_t)), $AP5-$AR$3:$AR$5))),
SUMPRODUCT(INDEX(Plymouth_PerC, $AR$3:$AR$5, $AN$6)*INDEX(TRit24[], $AN$6, IF($AP5-$AR$3:$AR$5 &lt;= 0,  ($AP5-$AR$3:$AR$5 + COUNT(variable_t)), $AP5-$AR$3:$AR$5))))/100*
Damaged_CarsPerC/100,
SUM(
INDEX(TD1jt33[],  $AN$6, IF($AP5-1 = 0,  ($AP5-1 + COUNT(variable_t)), $AP5-1)),
INDEX(TD2jt34[],  $AN$6, IF($AP5-1 = 0,  ($AP5-1 + COUNT(variable_t)), $AP5-1)),
INDEX(TD3jt35[],  $AN$6, IF($AP5-1 = 0,  ($AP5-1 + COUNT(variable_t)), $AP5-1)),
INDEX(TD4jt36[],  $AN$6, IF($AP5-1 = 0,  ($AP5-1 + COUNT(variable_t)), $AP5-1))),
INDEX(EDit27[], $AN$6, IF($AP5-1 = 0,  ($AP5-1 + COUNT(variable_t)), $AP5-1)),
)</f>
        <v>5.7992664469500008</v>
      </c>
      <c r="AJ20" s="76" t="s">
        <v>34</v>
      </c>
      <c r="AK20" s="77" cm="1">
        <f t="array" ref="AK20">INDEX(NDit26[], $AN$6, $AP5)</f>
        <v>5.7992664999999999</v>
      </c>
      <c r="AL20" s="31"/>
    </row>
    <row r="21" spans="2:38" ht="15.95" customHeight="1" thickBot="1" x14ac:dyDescent="0.3">
      <c r="B21" s="32"/>
      <c r="C21" s="24" t="s">
        <v>9</v>
      </c>
      <c r="D21" s="22">
        <v>25.669730000000001</v>
      </c>
      <c r="E21" s="22">
        <v>22</v>
      </c>
      <c r="F21" s="22">
        <v>22.614516999999999</v>
      </c>
      <c r="G21" s="19">
        <v>24.057991000000001</v>
      </c>
      <c r="H21" s="19">
        <v>26.230231</v>
      </c>
      <c r="I21" s="55">
        <v>28.627063</v>
      </c>
      <c r="J21" s="31"/>
      <c r="V21" s="32" t="s">
        <v>3</v>
      </c>
      <c r="W21" s="75" cm="1">
        <f t="array" ref="W21">SUM(SUM(
SUMPRODUCT(INDEX(Glasgow_PerC, $AR$3:$AR$5, $AN$3)*INDEX(TRit24[], $AN$3, IF($AP6-$AR$3:$AR$5 &lt;= 0,  ($AP6-$AR$3:$AR$5 + COUNT(variable_t)), $AP6-$AR$3:$AR$5))),
SUMPRODUCT(INDEX(Manchester_PerC, $AR$3:$AR$5, $AN$3)*INDEX(TRit24[], $AN$4, IF($AP6-$AR$3:$AR$5 &lt;= 0,  ($AP6-$AR$3:$AR$5 + COUNT(variable_t)), $AP6-$AR$3:$AR$5))),
SUMPRODUCT(INDEX(Birmingham_PerC, $AR$3:$AR$5, $AN$3)*INDEX(TRit24[], $AN$5, IF($AP6-$AR$3:$AR$5 &lt;= 0,  ($AP6-$AR$3:$AR$5 + COUNT(variable_t)), $AP6-$AR$3:$AR$5))),
SUMPRODUCT(INDEX(Plymouth_PerC, $AR$3:$AR$5, $AN$3)*INDEX(TRit24[], $AN$6, IF($AP6-$AR$3:$AR$5 &lt;= 0,  ($AP6-$AR$3:$AR$5 + COUNT(variable_t)), $AP6-$AR$3:$AR$5))))/100*
Damaged_CarsPerC/100,
SUM(
INDEX(TD1jt33[],  $AN$3, IF($AP6-1 = 0,  ($AP6-1 + COUNT(variable_t)), $AP6-1)),
INDEX(TD2jt34[],  $AN$3, IF($AP6-1 = 0,  ($AP6-1 + COUNT(variable_t)), $AP6-1)),
INDEX(TD3jt35[],  $AN$3, IF($AP6-1 = 0,  ($AP6-1 + COUNT(variable_t)), $AP6-1)),
INDEX(TD4jt36[],  $AN$3, IF($AP6-1 = 0,  ($AP6-1 + COUNT(variable_t)), $AP6-1))),
INDEX(EDit27[], $AN$3, IF($AP6-1 = 0,  ($AP6-1 + COUNT(variable_t)), $AP6-1)),
)</f>
        <v>10.7705934045</v>
      </c>
      <c r="X21" s="76" t="s">
        <v>34</v>
      </c>
      <c r="Y21" s="77" cm="1">
        <f t="array" ref="Y21">INDEX(NDit26[], $AN$3, $AP6)</f>
        <v>10.770593</v>
      </c>
      <c r="Z21" s="76"/>
      <c r="AA21" s="75" cm="1">
        <f t="array" ref="AA21">SUM(SUM(
SUMPRODUCT(INDEX(Glasgow_PerC, $AR$3:$AR$5, $AN$4)*INDEX(TRit24[], $AN$3, IF($AP6-$AR$3:$AR$5 &lt;= 0,  ($AP6-$AR$3:$AR$5 + COUNT(variable_t)), $AP6-$AR$3:$AR$5))),
SUMPRODUCT(INDEX(Manchester_PerC, $AR$3:$AR$5, $AN$4)*INDEX(TRit24[], $AN$4, IF($AP6-$AR$3:$AR$5 &lt;= 0,  ($AP6-$AR$3:$AR$5 + COUNT(variable_t)), $AP6-$AR$3:$AR$5))),
SUMPRODUCT(INDEX(Birmingham_PerC, $AR$3:$AR$5, $AN$4)*INDEX(TRit24[], $AN$5, IF($AP6-$AR$3:$AR$5 &lt;= 0,  ($AP6-$AR$3:$AR$5 + COUNT(variable_t)), $AP6-$AR$3:$AR$5))),
SUMPRODUCT(INDEX(Plymouth_PerC, $AR$3:$AR$5, $AN$4)*INDEX(TRit24[], $AN$6, IF($AP6-$AR$3:$AR$5 &lt;= 0,  ($AP6-$AR$3:$AR$5 + COUNT(variable_t)), $AP6-$AR$3:$AR$5))))/100*
Damaged_CarsPerC/100,
SUM(
INDEX(TD1jt33[],  $AN$4, IF($AP6-1 = 0,  ($AP6-1 + COUNT(variable_t)), $AP6-1)),
INDEX(TD2jt34[],  $AN$4, IF($AP6-1 = 0,  ($AP6-1 + COUNT(variable_t)), $AP6-1)),
INDEX(TD3jt35[],  $AN$4, IF($AP6-1 = 0,  ($AP6-1 + COUNT(variable_t)), $AP6-1)),
INDEX(TD4jt36[],  $AN$4, IF($AP6-1 = 0,  ($AP6-1 + COUNT(variable_t)), $AP6-1))),
INDEX(EDit27[], $AN$4, IF($AP6-1 = 0,  ($AP6-1 + COUNT(variable_t)), $AP6-1)),
)</f>
        <v>24.057990684000004</v>
      </c>
      <c r="AB21" s="76" t="s">
        <v>34</v>
      </c>
      <c r="AC21" s="77" cm="1">
        <f t="array" ref="AC21">INDEX(NDit26[], $AN$4, $AP6)</f>
        <v>24.057991000000001</v>
      </c>
      <c r="AD21" s="76"/>
      <c r="AE21" s="75" cm="1">
        <f t="array" ref="AE21">SUM(SUM(
SUMPRODUCT(INDEX(Glasgow_PerC, $AR$3:$AR$5, $AN$5)*INDEX(TRit24[], $AN$3, IF($AP6-$AR$3:$AR$5 &lt;= 0,  ($AP6-$AR$3:$AR$5 + COUNT(variable_t)), $AP6-$AR$3:$AR$5))),
SUMPRODUCT(INDEX(Manchester_PerC, $AR$3:$AR$5, $AN$5)*INDEX(TRit24[], $AN$4, IF($AP6-$AR$3:$AR$5 &lt;= 0,  ($AP6-$AR$3:$AR$5 + COUNT(variable_t)), $AP6-$AR$3:$AR$5))),
SUMPRODUCT(INDEX(Birmingham_PerC, $AR$3:$AR$5, $AN$5)*INDEX(TRit24[], $AN$5, IF($AP6-$AR$3:$AR$5 &lt;= 0,  ($AP6-$AR$3:$AR$5 + COUNT(variable_t)), $AP6-$AR$3:$AR$5))),
SUMPRODUCT(INDEX(Plymouth_PerC, $AR$3:$AR$5, $AN$5)*INDEX(TRit24[], $AN$6, IF($AP6-$AR$3:$AR$5 &lt;= 0,  ($AP6-$AR$3:$AR$5 + COUNT(variable_t)), $AP6-$AR$3:$AR$5))))/100*
Damaged_CarsPerC/100,
SUM(
INDEX(TD1jt33[],  $AN$5, IF($AP6-1 = 0,  ($AP6-1 + COUNT(variable_t)), $AP6-1)),
INDEX(TD2jt34[],  $AN$5, IF($AP6-1 = 0,  ($AP6-1 + COUNT(variable_t)), $AP6-1)),
INDEX(TD3jt35[],  $AN$5, IF($AP6-1 = 0,  ($AP6-1 + COUNT(variable_t)), $AP6-1)),
INDEX(TD4jt36[],  $AN$5, IF($AP6-1 = 0,  ($AP6-1 + COUNT(variable_t)), $AP6-1))),
INDEX(EDit27[], $AN$5, IF($AP6-1 = 0,  ($AP6-1 + COUNT(variable_t)), $AP6-1)),
)</f>
        <v>21.791069496499997</v>
      </c>
      <c r="AF21" s="76" t="s">
        <v>34</v>
      </c>
      <c r="AG21" s="77" cm="1">
        <f t="array" ref="AG21">INDEX(NDit26[], $AN$5, $AP6)</f>
        <v>21.791070000000001</v>
      </c>
      <c r="AH21" s="76"/>
      <c r="AI21" s="75" cm="1">
        <f t="array" ref="AI21">SUM(SUM(
SUMPRODUCT(INDEX(Glasgow_PerC, $AR$3:$AR$5, $AN$6)*INDEX(TRit24[], $AN$3, IF($AP6-$AR$3:$AR$5 &lt;= 0,  ($AP6-$AR$3:$AR$5 + COUNT(variable_t)), $AP6-$AR$3:$AR$5))),
SUMPRODUCT(INDEX(Manchester_PerC, $AR$3:$AR$5, $AN$6)*INDEX(TRit24[], $AN$4, IF($AP6-$AR$3:$AR$5 &lt;= 0,  ($AP6-$AR$3:$AR$5 + COUNT(variable_t)), $AP6-$AR$3:$AR$5))),
SUMPRODUCT(INDEX(Birmingham_PerC, $AR$3:$AR$5, $AN$6)*INDEX(TRit24[], $AN$5, IF($AP6-$AR$3:$AR$5 &lt;= 0,  ($AP6-$AR$3:$AR$5 + COUNT(variable_t)), $AP6-$AR$3:$AR$5))),
SUMPRODUCT(INDEX(Plymouth_PerC, $AR$3:$AR$5, $AN$6)*INDEX(TRit24[], $AN$6, IF($AP6-$AR$3:$AR$5 &lt;= 0,  ($AP6-$AR$3:$AR$5 + COUNT(variable_t)), $AP6-$AR$3:$AR$5))))/100*
Damaged_CarsPerC/100,
SUM(
INDEX(TD1jt33[],  $AN$6, IF($AP6-1 = 0,  ($AP6-1 + COUNT(variable_t)), $AP6-1)),
INDEX(TD2jt34[],  $AN$6, IF($AP6-1 = 0,  ($AP6-1 + COUNT(variable_t)), $AP6-1)),
INDEX(TD3jt35[],  $AN$6, IF($AP6-1 = 0,  ($AP6-1 + COUNT(variable_t)), $AP6-1)),
INDEX(TD4jt36[],  $AN$6, IF($AP6-1 = 0,  ($AP6-1 + COUNT(variable_t)), $AP6-1))),
INDEX(EDit27[], $AN$6, IF($AP6-1 = 0,  ($AP6-1 + COUNT(variable_t)), $AP6-1)),
)</f>
        <v>6.905855025000001</v>
      </c>
      <c r="AJ21" s="76" t="s">
        <v>34</v>
      </c>
      <c r="AK21" s="77" cm="1">
        <f t="array" ref="AK21">INDEX(NDit26[], $AN$6, $AP6)</f>
        <v>6.9058549999999999</v>
      </c>
      <c r="AL21" s="31"/>
    </row>
    <row r="22" spans="2:38" ht="15.95" customHeight="1" thickBot="1" x14ac:dyDescent="0.3">
      <c r="B22" s="32"/>
      <c r="C22" s="24" t="s">
        <v>7</v>
      </c>
      <c r="D22" s="22">
        <v>20</v>
      </c>
      <c r="E22" s="22">
        <v>20</v>
      </c>
      <c r="F22" s="22">
        <v>20.103749000000001</v>
      </c>
      <c r="G22" s="19">
        <v>21.791070000000001</v>
      </c>
      <c r="H22" s="19">
        <v>24.931197999999998</v>
      </c>
      <c r="I22" s="55">
        <v>20</v>
      </c>
      <c r="J22" s="31"/>
      <c r="V22" s="32" t="s">
        <v>4</v>
      </c>
      <c r="W22" s="75" cm="1">
        <f t="array" ref="W22">SUM(SUM(
SUMPRODUCT(INDEX(Glasgow_PerC, $AR$3:$AR$5, $AN$3)*INDEX(TRit24[], $AN$3, IF($AP7-$AR$3:$AR$5 &lt;= 0,  ($AP7-$AR$3:$AR$5 + COUNT(variable_t)), $AP7-$AR$3:$AR$5))),
SUMPRODUCT(INDEX(Manchester_PerC, $AR$3:$AR$5, $AN$3)*INDEX(TRit24[], $AN$4, IF($AP7-$AR$3:$AR$5 &lt;= 0,  ($AP7-$AR$3:$AR$5 + COUNT(variable_t)), $AP7-$AR$3:$AR$5))),
SUMPRODUCT(INDEX(Birmingham_PerC, $AR$3:$AR$5, $AN$3)*INDEX(TRit24[], $AN$5, IF($AP7-$AR$3:$AR$5 &lt;= 0,  ($AP7-$AR$3:$AR$5 + COUNT(variable_t)), $AP7-$AR$3:$AR$5))),
SUMPRODUCT(INDEX(Plymouth_PerC, $AR$3:$AR$5, $AN$3)*INDEX(TRit24[], $AN$6, IF($AP7-$AR$3:$AR$5 &lt;= 0,  ($AP7-$AR$3:$AR$5 + COUNT(variable_t)), $AP7-$AR$3:$AR$5))))/100*
Damaged_CarsPerC/100,
SUM(
INDEX(TD1jt33[],  $AN$3, IF($AP7-1 = 0,  ($AP7-1 + COUNT(variable_t)), $AP7-1)),
INDEX(TD2jt34[],  $AN$3, IF($AP7-1 = 0,  ($AP7-1 + COUNT(variable_t)), $AP7-1)),
INDEX(TD3jt35[],  $AN$3, IF($AP7-1 = 0,  ($AP7-1 + COUNT(variable_t)), $AP7-1)),
INDEX(TD4jt36[],  $AN$3, IF($AP7-1 = 0,  ($AP7-1 + COUNT(variable_t)), $AP7-1))),
INDEX(EDit27[], $AN$3, IF($AP7-1 = 0,  ($AP7-1 + COUNT(variable_t)), $AP7-1)),
)</f>
        <v>10.445320127299999</v>
      </c>
      <c r="X22" s="76" t="s">
        <v>34</v>
      </c>
      <c r="Y22" s="77" cm="1">
        <f t="array" ref="Y22">INDEX(NDit26[], $AN$3, $AP7)</f>
        <v>10.445320000000001</v>
      </c>
      <c r="Z22" s="76"/>
      <c r="AA22" s="75" cm="1">
        <f t="array" ref="AA22">SUM(SUM(
SUMPRODUCT(INDEX(Glasgow_PerC, $AR$3:$AR$5, $AN$4)*INDEX(TRit24[], $AN$3, IF($AP7-$AR$3:$AR$5 &lt;= 0,  ($AP7-$AR$3:$AR$5 + COUNT(variable_t)), $AP7-$AR$3:$AR$5))),
SUMPRODUCT(INDEX(Manchester_PerC, $AR$3:$AR$5, $AN$4)*INDEX(TRit24[], $AN$4, IF($AP7-$AR$3:$AR$5 &lt;= 0,  ($AP7-$AR$3:$AR$5 + COUNT(variable_t)), $AP7-$AR$3:$AR$5))),
SUMPRODUCT(INDEX(Birmingham_PerC, $AR$3:$AR$5, $AN$4)*INDEX(TRit24[], $AN$5, IF($AP7-$AR$3:$AR$5 &lt;= 0,  ($AP7-$AR$3:$AR$5 + COUNT(variable_t)), $AP7-$AR$3:$AR$5))),
SUMPRODUCT(INDEX(Plymouth_PerC, $AR$3:$AR$5, $AN$4)*INDEX(TRit24[], $AN$6, IF($AP7-$AR$3:$AR$5 &lt;= 0,  ($AP7-$AR$3:$AR$5 + COUNT(variable_t)), $AP7-$AR$3:$AR$5))))/100*
Damaged_CarsPerC/100,
SUM(
INDEX(TD1jt33[],  $AN$4, IF($AP7-1 = 0,  ($AP7-1 + COUNT(variable_t)), $AP7-1)),
INDEX(TD2jt34[],  $AN$4, IF($AP7-1 = 0,  ($AP7-1 + COUNT(variable_t)), $AP7-1)),
INDEX(TD3jt35[],  $AN$4, IF($AP7-1 = 0,  ($AP7-1 + COUNT(variable_t)), $AP7-1)),
INDEX(TD4jt36[],  $AN$4, IF($AP7-1 = 0,  ($AP7-1 + COUNT(variable_t)), $AP7-1))),
INDEX(EDit27[], $AN$4, IF($AP7-1 = 0,  ($AP7-1 + COUNT(variable_t)), $AP7-1)),
)</f>
        <v>26.2302305917</v>
      </c>
      <c r="AB22" s="76" t="s">
        <v>34</v>
      </c>
      <c r="AC22" s="77" cm="1">
        <f t="array" ref="AC22">INDEX(NDit26[], $AN$4, $AP7)</f>
        <v>26.230231</v>
      </c>
      <c r="AD22" s="76"/>
      <c r="AE22" s="75" cm="1">
        <f t="array" ref="AE22">SUM(SUM(
SUMPRODUCT(INDEX(Glasgow_PerC, $AR$3:$AR$5, $AN$5)*INDEX(TRit24[], $AN$3, IF($AP7-$AR$3:$AR$5 &lt;= 0,  ($AP7-$AR$3:$AR$5 + COUNT(variable_t)), $AP7-$AR$3:$AR$5))),
SUMPRODUCT(INDEX(Manchester_PerC, $AR$3:$AR$5, $AN$5)*INDEX(TRit24[], $AN$4, IF($AP7-$AR$3:$AR$5 &lt;= 0,  ($AP7-$AR$3:$AR$5 + COUNT(variable_t)), $AP7-$AR$3:$AR$5))),
SUMPRODUCT(INDEX(Birmingham_PerC, $AR$3:$AR$5, $AN$5)*INDEX(TRit24[], $AN$5, IF($AP7-$AR$3:$AR$5 &lt;= 0,  ($AP7-$AR$3:$AR$5 + COUNT(variable_t)), $AP7-$AR$3:$AR$5))),
SUMPRODUCT(INDEX(Plymouth_PerC, $AR$3:$AR$5, $AN$5)*INDEX(TRit24[], $AN$6, IF($AP7-$AR$3:$AR$5 &lt;= 0,  ($AP7-$AR$3:$AR$5 + COUNT(variable_t)), $AP7-$AR$3:$AR$5))))/100*
Damaged_CarsPerC/100,
SUM(
INDEX(TD1jt33[],  $AN$5, IF($AP7-1 = 0,  ($AP7-1 + COUNT(variable_t)), $AP7-1)),
INDEX(TD2jt34[],  $AN$5, IF($AP7-1 = 0,  ($AP7-1 + COUNT(variable_t)), $AP7-1)),
INDEX(TD3jt35[],  $AN$5, IF($AP7-1 = 0,  ($AP7-1 + COUNT(variable_t)), $AP7-1)),
INDEX(TD4jt36[],  $AN$5, IF($AP7-1 = 0,  ($AP7-1 + COUNT(variable_t)), $AP7-1))),
INDEX(EDit27[], $AN$5, IF($AP7-1 = 0,  ($AP7-1 + COUNT(variable_t)), $AP7-1)),
)</f>
        <v>24.931197444699997</v>
      </c>
      <c r="AF22" s="76" t="s">
        <v>34</v>
      </c>
      <c r="AG22" s="77" cm="1">
        <f t="array" ref="AG22">INDEX(NDit26[], $AN$5, $AP7)</f>
        <v>24.931197999999998</v>
      </c>
      <c r="AH22" s="76"/>
      <c r="AI22" s="75" cm="1">
        <f t="array" ref="AI22">SUM(SUM(
SUMPRODUCT(INDEX(Glasgow_PerC, $AR$3:$AR$5, $AN$6)*INDEX(TRit24[], $AN$3, IF($AP7-$AR$3:$AR$5 &lt;= 0,  ($AP7-$AR$3:$AR$5 + COUNT(variable_t)), $AP7-$AR$3:$AR$5))),
SUMPRODUCT(INDEX(Manchester_PerC, $AR$3:$AR$5, $AN$6)*INDEX(TRit24[], $AN$4, IF($AP7-$AR$3:$AR$5 &lt;= 0,  ($AP7-$AR$3:$AR$5 + COUNT(variable_t)), $AP7-$AR$3:$AR$5))),
SUMPRODUCT(INDEX(Birmingham_PerC, $AR$3:$AR$5, $AN$6)*INDEX(TRit24[], $AN$5, IF($AP7-$AR$3:$AR$5 &lt;= 0,  ($AP7-$AR$3:$AR$5 + COUNT(variable_t)), $AP7-$AR$3:$AR$5))),
SUMPRODUCT(INDEX(Plymouth_PerC, $AR$3:$AR$5, $AN$6)*INDEX(TRit24[], $AN$6, IF($AP7-$AR$3:$AR$5 &lt;= 0,  ($AP7-$AR$3:$AR$5 + COUNT(variable_t)), $AP7-$AR$3:$AR$5))))/100*
Damaged_CarsPerC/100,
SUM(
INDEX(TD1jt33[],  $AN$6, IF($AP7-1 = 0,  ($AP7-1 + COUNT(variable_t)), $AP7-1)),
INDEX(TD2jt34[],  $AN$6, IF($AP7-1 = 0,  ($AP7-1 + COUNT(variable_t)), $AP7-1)),
INDEX(TD3jt35[],  $AN$6, IF($AP7-1 = 0,  ($AP7-1 + COUNT(variable_t)), $AP7-1)),
INDEX(TD4jt36[],  $AN$6, IF($AP7-1 = 0,  ($AP7-1 + COUNT(variable_t)), $AP7-1))),
INDEX(EDit27[], $AN$6, IF($AP7-1 = 0,  ($AP7-1 + COUNT(variable_t)), $AP7-1)),
)</f>
        <v>6.4966055112999994</v>
      </c>
      <c r="AJ22" s="76" t="s">
        <v>34</v>
      </c>
      <c r="AK22" s="77" cm="1">
        <f t="array" ref="AK22">INDEX(NDit26[], $AN$6, $AP7)</f>
        <v>6.4966055000000003</v>
      </c>
      <c r="AL22" s="31"/>
    </row>
    <row r="23" spans="2:38" ht="15.95" customHeight="1" thickBot="1" x14ac:dyDescent="0.3">
      <c r="B23" s="32"/>
      <c r="C23" s="25" t="s">
        <v>8</v>
      </c>
      <c r="D23" s="57">
        <v>3.8237101999999998</v>
      </c>
      <c r="E23" s="57">
        <v>6.2347326000000001</v>
      </c>
      <c r="F23" s="57">
        <v>5.7992664999999999</v>
      </c>
      <c r="G23" s="58">
        <v>6.9058549999999999</v>
      </c>
      <c r="H23" s="58">
        <v>6.4966055000000003</v>
      </c>
      <c r="I23" s="59">
        <v>10.347731</v>
      </c>
      <c r="J23" s="31"/>
      <c r="V23" s="32" t="s">
        <v>5</v>
      </c>
      <c r="W23" s="75" cm="1">
        <f t="array" ref="W23">SUM(SUM(
SUMPRODUCT(INDEX(Glasgow_PerC, $AR$3:$AR$5, $AN$3)*INDEX(TRit24[], $AN$3, IF($AP8-$AR$3:$AR$5 &lt;= 0,  ($AP8-$AR$3:$AR$5 + COUNT(variable_t)), $AP8-$AR$3:$AR$5))),
SUMPRODUCT(INDEX(Manchester_PerC, $AR$3:$AR$5, $AN$3)*INDEX(TRit24[], $AN$4, IF($AP8-$AR$3:$AR$5 &lt;= 0,  ($AP8-$AR$3:$AR$5 + COUNT(variable_t)), $AP8-$AR$3:$AR$5))),
SUMPRODUCT(INDEX(Birmingham_PerC, $AR$3:$AR$5, $AN$3)*INDEX(TRit24[], $AN$5, IF($AP8-$AR$3:$AR$5 &lt;= 0,  ($AP8-$AR$3:$AR$5 + COUNT(variable_t)), $AP8-$AR$3:$AR$5))),
SUMPRODUCT(INDEX(Plymouth_PerC, $AR$3:$AR$5, $AN$3)*INDEX(TRit24[], $AN$6, IF($AP8-$AR$3:$AR$5 &lt;= 0,  ($AP8-$AR$3:$AR$5 + COUNT(variable_t)), $AP8-$AR$3:$AR$5))))/100*
Damaged_CarsPerC/100,
SUM(
INDEX(TD1jt33[],  $AN$3, IF($AP8-1 = 0,  ($AP8-1 + COUNT(variable_t)), $AP8-1)),
INDEX(TD2jt34[],  $AN$3, IF($AP8-1 = 0,  ($AP8-1 + COUNT(variable_t)), $AP8-1)),
INDEX(TD3jt35[],  $AN$3, IF($AP8-1 = 0,  ($AP8-1 + COUNT(variable_t)), $AP8-1)),
INDEX(TD4jt36[],  $AN$3, IF($AP8-1 = 0,  ($AP8-1 + COUNT(variable_t)), $AP8-1))),
INDEX(EDit27[], $AN$3, IF($AP8-1 = 0,  ($AP8-1 + COUNT(variable_t)), $AP8-1)),
)</f>
        <v>10.105290516</v>
      </c>
      <c r="X23" s="76" t="s">
        <v>34</v>
      </c>
      <c r="Y23" s="77" cm="1">
        <f t="array" ref="Y23">INDEX(NDit26[], $AN$3, $AP8)</f>
        <v>10.105290999999999</v>
      </c>
      <c r="Z23" s="76"/>
      <c r="AA23" s="75" cm="1">
        <f t="array" ref="AA23">SUM(SUM(
SUMPRODUCT(INDEX(Glasgow_PerC, $AR$3:$AR$5, $AN$4)*INDEX(TRit24[], $AN$3, IF($AP8-$AR$3:$AR$5 &lt;= 0,  ($AP8-$AR$3:$AR$5 + COUNT(variable_t)), $AP8-$AR$3:$AR$5))),
SUMPRODUCT(INDEX(Manchester_PerC, $AR$3:$AR$5, $AN$4)*INDEX(TRit24[], $AN$4, IF($AP8-$AR$3:$AR$5 &lt;= 0,  ($AP8-$AR$3:$AR$5 + COUNT(variable_t)), $AP8-$AR$3:$AR$5))),
SUMPRODUCT(INDEX(Birmingham_PerC, $AR$3:$AR$5, $AN$4)*INDEX(TRit24[], $AN$5, IF($AP8-$AR$3:$AR$5 &lt;= 0,  ($AP8-$AR$3:$AR$5 + COUNT(variable_t)), $AP8-$AR$3:$AR$5))),
SUMPRODUCT(INDEX(Plymouth_PerC, $AR$3:$AR$5, $AN$4)*INDEX(TRit24[], $AN$6, IF($AP8-$AR$3:$AR$5 &lt;= 0,  ($AP8-$AR$3:$AR$5 + COUNT(variable_t)), $AP8-$AR$3:$AR$5))))/100*
Damaged_CarsPerC/100,
SUM(
INDEX(TD1jt33[],  $AN$4, IF($AP8-1 = 0,  ($AP8-1 + COUNT(variable_t)), $AP8-1)),
INDEX(TD2jt34[],  $AN$4, IF($AP8-1 = 0,  ($AP8-1 + COUNT(variable_t)), $AP8-1)),
INDEX(TD3jt35[],  $AN$4, IF($AP8-1 = 0,  ($AP8-1 + COUNT(variable_t)), $AP8-1)),
INDEX(TD4jt36[],  $AN$4, IF($AP8-1 = 0,  ($AP8-1 + COUNT(variable_t)), $AP8-1))),
INDEX(EDit27[], $AN$4, IF($AP8-1 = 0,  ($AP8-1 + COUNT(variable_t)), $AP8-1)),
)</f>
        <v>28.6270630705</v>
      </c>
      <c r="AB23" s="76" t="s">
        <v>34</v>
      </c>
      <c r="AC23" s="77" cm="1">
        <f t="array" ref="AC23">INDEX(NDit26[], $AN$4, $AP8)</f>
        <v>28.627063</v>
      </c>
      <c r="AD23" s="76"/>
      <c r="AE23" s="75" cm="1">
        <f t="array" ref="AE23">SUM(SUM(
SUMPRODUCT(INDEX(Glasgow_PerC, $AR$3:$AR$5, $AN$5)*INDEX(TRit24[], $AN$3, IF($AP8-$AR$3:$AR$5 &lt;= 0,  ($AP8-$AR$3:$AR$5 + COUNT(variable_t)), $AP8-$AR$3:$AR$5))),
SUMPRODUCT(INDEX(Manchester_PerC, $AR$3:$AR$5, $AN$5)*INDEX(TRit24[], $AN$4, IF($AP8-$AR$3:$AR$5 &lt;= 0,  ($AP8-$AR$3:$AR$5 + COUNT(variable_t)), $AP8-$AR$3:$AR$5))),
SUMPRODUCT(INDEX(Birmingham_PerC, $AR$3:$AR$5, $AN$5)*INDEX(TRit24[], $AN$5, IF($AP8-$AR$3:$AR$5 &lt;= 0,  ($AP8-$AR$3:$AR$5 + COUNT(variable_t)), $AP8-$AR$3:$AR$5))),
SUMPRODUCT(INDEX(Plymouth_PerC, $AR$3:$AR$5, $AN$5)*INDEX(TRit24[], $AN$6, IF($AP8-$AR$3:$AR$5 &lt;= 0,  ($AP8-$AR$3:$AR$5 + COUNT(variable_t)), $AP8-$AR$3:$AR$5))))/100*
Damaged_CarsPerC/100,
SUM(
INDEX(TD1jt33[],  $AN$5, IF($AP8-1 = 0,  ($AP8-1 + COUNT(variable_t)), $AP8-1)),
INDEX(TD2jt34[],  $AN$5, IF($AP8-1 = 0,  ($AP8-1 + COUNT(variable_t)), $AP8-1)),
INDEX(TD3jt35[],  $AN$5, IF($AP8-1 = 0,  ($AP8-1 + COUNT(variable_t)), $AP8-1)),
INDEX(TD4jt36[],  $AN$5, IF($AP8-1 = 0,  ($AP8-1 + COUNT(variable_t)), $AP8-1))),
INDEX(EDit27[], $AN$5, IF($AP8-1 = 0,  ($AP8-1 + COUNT(variable_t)), $AP8-1)),
)</f>
        <v>20.000000070000002</v>
      </c>
      <c r="AF23" s="76" t="s">
        <v>34</v>
      </c>
      <c r="AG23" s="77" cm="1">
        <f t="array" ref="AG23">INDEX(NDit26[], $AN$5, $AP8)</f>
        <v>20</v>
      </c>
      <c r="AH23" s="76"/>
      <c r="AI23" s="75" cm="1">
        <f t="array" ref="AI23">SUM(SUM(
SUMPRODUCT(INDEX(Glasgow_PerC, $AR$3:$AR$5, $AN$6)*INDEX(TRit24[], $AN$3, IF($AP8-$AR$3:$AR$5 &lt;= 0,  ($AP8-$AR$3:$AR$5 + COUNT(variable_t)), $AP8-$AR$3:$AR$5))),
SUMPRODUCT(INDEX(Manchester_PerC, $AR$3:$AR$5, $AN$6)*INDEX(TRit24[], $AN$4, IF($AP8-$AR$3:$AR$5 &lt;= 0,  ($AP8-$AR$3:$AR$5 + COUNT(variable_t)), $AP8-$AR$3:$AR$5))),
SUMPRODUCT(INDEX(Birmingham_PerC, $AR$3:$AR$5, $AN$6)*INDEX(TRit24[], $AN$5, IF($AP8-$AR$3:$AR$5 &lt;= 0,  ($AP8-$AR$3:$AR$5 + COUNT(variable_t)), $AP8-$AR$3:$AR$5))),
SUMPRODUCT(INDEX(Plymouth_PerC, $AR$3:$AR$5, $AN$6)*INDEX(TRit24[], $AN$6, IF($AP8-$AR$3:$AR$5 &lt;= 0,  ($AP8-$AR$3:$AR$5 + COUNT(variable_t)), $AP8-$AR$3:$AR$5))))/100*
Damaged_CarsPerC/100,
SUM(
INDEX(TD1jt33[],  $AN$6, IF($AP8-1 = 0,  ($AP8-1 + COUNT(variable_t)), $AP8-1)),
INDEX(TD2jt34[],  $AN$6, IF($AP8-1 = 0,  ($AP8-1 + COUNT(variable_t)), $AP8-1)),
INDEX(TD3jt35[],  $AN$6, IF($AP8-1 = 0,  ($AP8-1 + COUNT(variable_t)), $AP8-1)),
INDEX(TD4jt36[],  $AN$6, IF($AP8-1 = 0,  ($AP8-1 + COUNT(variable_t)), $AP8-1))),
INDEX(EDit27[], $AN$6, IF($AP8-1 = 0,  ($AP8-1 + COUNT(variable_t)), $AP8-1)),
)</f>
        <v>10.347731248500001</v>
      </c>
      <c r="AJ23" s="76" t="s">
        <v>34</v>
      </c>
      <c r="AK23" s="77" cm="1">
        <f t="array" ref="AK23">INDEX(NDit26[], $AN$6, $AP8)</f>
        <v>10.347731</v>
      </c>
      <c r="AL23" s="31"/>
    </row>
    <row r="24" spans="2:38" ht="15.95" customHeight="1" thickBot="1" x14ac:dyDescent="0.3">
      <c r="B24" s="33"/>
      <c r="C24" s="26"/>
      <c r="D24" s="26"/>
      <c r="E24" s="26"/>
      <c r="F24" s="26"/>
      <c r="G24" s="26"/>
      <c r="H24" s="26"/>
      <c r="I24" s="26"/>
      <c r="J24" s="34"/>
      <c r="V24" s="33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34"/>
    </row>
    <row r="25" spans="2:38" ht="15.95" customHeight="1" thickTop="1" thickBot="1" x14ac:dyDescent="0.3"/>
    <row r="26" spans="2:38" ht="15.95" customHeight="1" thickTop="1" thickBot="1" x14ac:dyDescent="0.3">
      <c r="B26" s="27"/>
      <c r="C26" s="28"/>
      <c r="D26" s="28"/>
      <c r="E26" s="28"/>
      <c r="F26" s="28"/>
      <c r="G26" s="28"/>
      <c r="H26" s="28"/>
      <c r="I26" s="28"/>
      <c r="J26" s="29"/>
      <c r="V26" s="27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9"/>
    </row>
    <row r="27" spans="2:38" ht="26.25" thickBot="1" x14ac:dyDescent="0.3">
      <c r="B27" s="30"/>
      <c r="C27" s="36" t="s">
        <v>44</v>
      </c>
      <c r="D27" s="45" t="s">
        <v>0</v>
      </c>
      <c r="E27" s="45" t="s">
        <v>1</v>
      </c>
      <c r="F27" s="45" t="s">
        <v>2</v>
      </c>
      <c r="G27" s="46" t="s">
        <v>3</v>
      </c>
      <c r="H27" s="45" t="s">
        <v>4</v>
      </c>
      <c r="I27" s="56" t="s">
        <v>5</v>
      </c>
      <c r="J27" s="31"/>
      <c r="V27" s="32"/>
      <c r="W27" s="149" t="s">
        <v>43</v>
      </c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31"/>
    </row>
    <row r="28" spans="2:38" ht="15.95" customHeight="1" thickBot="1" x14ac:dyDescent="0.3">
      <c r="B28" s="32"/>
      <c r="C28" s="23" t="s">
        <v>6</v>
      </c>
      <c r="D28" s="21">
        <v>100</v>
      </c>
      <c r="E28" s="21">
        <v>91.032242999999994</v>
      </c>
      <c r="F28" s="21">
        <v>87.870701999999994</v>
      </c>
      <c r="G28" s="20">
        <v>83</v>
      </c>
      <c r="H28" s="20">
        <v>94.007880999999998</v>
      </c>
      <c r="I28" s="54">
        <v>58.774445</v>
      </c>
      <c r="J28" s="31"/>
      <c r="V28" s="32"/>
      <c r="W28" s="135"/>
      <c r="AL28" s="31"/>
    </row>
    <row r="29" spans="2:38" ht="15.95" customHeight="1" thickBot="1" x14ac:dyDescent="0.3">
      <c r="B29" s="32"/>
      <c r="C29" s="24" t="s">
        <v>9</v>
      </c>
      <c r="D29" s="22">
        <v>250</v>
      </c>
      <c r="E29" s="22">
        <v>143</v>
      </c>
      <c r="F29" s="22">
        <v>80</v>
      </c>
      <c r="G29" s="19">
        <v>210.24522999999999</v>
      </c>
      <c r="H29" s="19">
        <v>189.37903</v>
      </c>
      <c r="I29" s="55">
        <v>0</v>
      </c>
      <c r="J29" s="31"/>
      <c r="V29" s="32"/>
      <c r="W29" s="150" t="s">
        <v>6</v>
      </c>
      <c r="X29" s="150"/>
      <c r="Y29" s="150"/>
      <c r="AA29" s="151" t="s">
        <v>9</v>
      </c>
      <c r="AB29" s="151"/>
      <c r="AC29" s="151"/>
      <c r="AE29" s="151" t="s">
        <v>7</v>
      </c>
      <c r="AF29" s="151"/>
      <c r="AG29" s="151"/>
      <c r="AI29" s="151" t="s">
        <v>8</v>
      </c>
      <c r="AJ29" s="151"/>
      <c r="AK29" s="151"/>
      <c r="AL29" s="31"/>
    </row>
    <row r="30" spans="2:38" ht="15.95" customHeight="1" thickBot="1" x14ac:dyDescent="0.3">
      <c r="B30" s="32"/>
      <c r="C30" s="24" t="s">
        <v>7</v>
      </c>
      <c r="D30" s="22">
        <v>95</v>
      </c>
      <c r="E30" s="22">
        <v>195</v>
      </c>
      <c r="F30" s="22">
        <v>219.80280999999999</v>
      </c>
      <c r="G30" s="19">
        <v>111</v>
      </c>
      <c r="H30" s="19">
        <v>70</v>
      </c>
      <c r="I30" s="55">
        <v>124</v>
      </c>
      <c r="J30" s="31"/>
      <c r="V30" s="32" t="s">
        <v>0</v>
      </c>
      <c r="W30" s="75" cm="1">
        <f t="array" ref="W30">SUM(INDEX(TRit24[], $AN$3, $AP3), SUM(INDEX(TU1jt29[], $AN$3:$AN$6, $AP3)), INDEX(EUit28[], $AN$3, $AP3))</f>
        <v>100</v>
      </c>
      <c r="X30" s="76" t="s">
        <v>34</v>
      </c>
      <c r="Y30" s="77" cm="1">
        <f t="array" ref="Y30">INDEX(NUit37[], $AN$3, $AP3)</f>
        <v>100</v>
      </c>
      <c r="Z30" s="76"/>
      <c r="AA30" s="75" cm="1">
        <f t="array" ref="AA30">SUM(INDEX(TRit24[], $AN$4, $AP3), SUM(INDEX(TU2jt30[], $AN$3:$AN$6, $AP3)), INDEX(EUit28[], $AN$4, $AP3))</f>
        <v>250</v>
      </c>
      <c r="AB30" s="76" t="s">
        <v>34</v>
      </c>
      <c r="AC30" s="77" cm="1">
        <f t="array" ref="AC30">INDEX(NUit37[], $AN$4, $AP3)</f>
        <v>250</v>
      </c>
      <c r="AD30" s="76"/>
      <c r="AE30" s="75" cm="1">
        <f t="array" ref="AE30">SUM(INDEX(TRit24[], $AN$5, $AP3), SUM(INDEX(TU3jt31[], $AN$3:$AN$6, $AP3)), INDEX(EUit28[], $AN$5, $AP3))</f>
        <v>233.87571</v>
      </c>
      <c r="AF30" s="76" t="s">
        <v>34</v>
      </c>
      <c r="AG30" s="77" cm="1">
        <f t="array" ref="AG30">INDEX(NUit37[], $AN$5, $AP3)</f>
        <v>233.87571</v>
      </c>
      <c r="AH30" s="76"/>
      <c r="AI30" s="75" cm="1">
        <f t="array" ref="AI30">SUM(INDEX(TRit24[], $AN$6, $AP3), SUM(INDEX(TU4jt32[], $AN$3:$AN$6, $AP3)), INDEX(EUit28[], $AN$6, $AP3))</f>
        <v>88.959519999999998</v>
      </c>
      <c r="AJ30" s="76" t="s">
        <v>34</v>
      </c>
      <c r="AK30" s="77" cm="1">
        <f t="array" ref="AK30">INDEX(NUit37[], $AN$6, $AP3)</f>
        <v>88.959519999999998</v>
      </c>
      <c r="AL30" s="31"/>
    </row>
    <row r="31" spans="2:38" ht="15.95" customHeight="1" thickBot="1" x14ac:dyDescent="0.3">
      <c r="B31" s="32"/>
      <c r="C31" s="25" t="s">
        <v>8</v>
      </c>
      <c r="D31" s="57">
        <v>88.959519999999998</v>
      </c>
      <c r="E31" s="57">
        <v>56.112592999999997</v>
      </c>
      <c r="F31" s="57">
        <v>52.193398000000002</v>
      </c>
      <c r="G31" s="58">
        <v>62.152695000000001</v>
      </c>
      <c r="H31" s="58">
        <v>58.469450000000002</v>
      </c>
      <c r="I31" s="59">
        <v>0</v>
      </c>
      <c r="J31" s="31"/>
      <c r="V31" s="32" t="s">
        <v>1</v>
      </c>
      <c r="W31" s="75" cm="1">
        <f t="array" ref="W31">SUM(INDEX(TRit24[], $AN$3, $AP4), SUM(INDEX(TU1jt29[], $AN$3:$AN$6, $AP4)), INDEX(EUit28[], $AN$3, $AP4))</f>
        <v>91.032242999999994</v>
      </c>
      <c r="X31" s="76" t="s">
        <v>34</v>
      </c>
      <c r="Y31" s="77" cm="1">
        <f t="array" ref="Y31">INDEX(NUit37[], $AN$3, $AP4)</f>
        <v>91.032242999999994</v>
      </c>
      <c r="Z31" s="76"/>
      <c r="AA31" s="75" cm="1">
        <f t="array" ref="AA31">SUM(INDEX(TRit24[], $AN$4, $AP4), SUM(INDEX(TU2jt30[], $AN$3:$AN$6, $AP4)), INDEX(EUit28[], $AN$4, $AP4))</f>
        <v>153.62626</v>
      </c>
      <c r="AB31" s="76" t="s">
        <v>34</v>
      </c>
      <c r="AC31" s="77" cm="1">
        <f t="array" ref="AC31">INDEX(NUit37[], $AN$4, $AP4)</f>
        <v>153.62626</v>
      </c>
      <c r="AD31" s="76"/>
      <c r="AE31" s="75" cm="1">
        <f t="array" ref="AE31">SUM(INDEX(TRit24[], $AN$5, $AP4), SUM(INDEX(TU3jt31[], $AN$3:$AN$6, $AP4)), INDEX(EUit28[], $AN$5, $AP4))</f>
        <v>269.98165899999998</v>
      </c>
      <c r="AF31" s="76" t="s">
        <v>34</v>
      </c>
      <c r="AG31" s="77" cm="1">
        <f t="array" ref="AG31">INDEX(NUit37[], $AN$5, $AP4)</f>
        <v>269.98165999999998</v>
      </c>
      <c r="AH31" s="76"/>
      <c r="AI31" s="75" cm="1">
        <f t="array" ref="AI31">SUM(INDEX(TRit24[], $AN$6, $AP4), SUM(INDEX(TU4jt32[], $AN$3:$AN$6, $AP4)), INDEX(EUit28[], $AN$6, $AP4))</f>
        <v>56.112592999999997</v>
      </c>
      <c r="AJ31" s="76" t="s">
        <v>34</v>
      </c>
      <c r="AK31" s="77" cm="1">
        <f t="array" ref="AK31">INDEX(NUit37[], $AN$6, $AP4)</f>
        <v>56.112592999999997</v>
      </c>
      <c r="AL31" s="31"/>
    </row>
    <row r="32" spans="2:38" ht="15.95" customHeight="1" thickBot="1" x14ac:dyDescent="0.3">
      <c r="B32" s="33"/>
      <c r="C32" s="26"/>
      <c r="D32" s="26"/>
      <c r="E32" s="26"/>
      <c r="F32" s="26"/>
      <c r="G32" s="26"/>
      <c r="H32" s="26"/>
      <c r="I32" s="26"/>
      <c r="J32" s="34"/>
      <c r="V32" s="32" t="s">
        <v>2</v>
      </c>
      <c r="W32" s="75" cm="1">
        <f t="array" ref="W32">SUM(INDEX(TRit24[], $AN$3, $AP5), SUM(INDEX(TU1jt29[], $AN$3:$AN$6, $AP5)), INDEX(EUit28[], $AN$3, $AP5))</f>
        <v>87.870701999999994</v>
      </c>
      <c r="X32" s="76" t="s">
        <v>34</v>
      </c>
      <c r="Y32" s="77" cm="1">
        <f t="array" ref="Y32">INDEX(NUit37[], $AN$3, $AP5)</f>
        <v>87.870701999999994</v>
      </c>
      <c r="Z32" s="76"/>
      <c r="AA32" s="75" cm="1">
        <f t="array" ref="AA32">SUM(INDEX(TRit24[], $AN$4, $AP5), SUM(INDEX(TU2jt30[], $AN$3:$AN$6, $AP5)), INDEX(EUit28[], $AN$4, $AP5))</f>
        <v>145.12466599999999</v>
      </c>
      <c r="AB32" s="76" t="s">
        <v>34</v>
      </c>
      <c r="AC32" s="77" cm="1">
        <f t="array" ref="AC32">INDEX(NUit37[], $AN$4, $AP5)</f>
        <v>145.12467000000001</v>
      </c>
      <c r="AD32" s="76"/>
      <c r="AE32" s="75" cm="1">
        <f t="array" ref="AE32">SUM(INDEX(TRit24[], $AN$5, $AP5), SUM(INDEX(TU3jt31[], $AN$3:$AN$6, $AP5)), INDEX(EUit28[], $AN$5, $AP5))</f>
        <v>219.80280999999999</v>
      </c>
      <c r="AF32" s="76" t="s">
        <v>34</v>
      </c>
      <c r="AG32" s="77" cm="1">
        <f t="array" ref="AG32">INDEX(NUit37[], $AN$5, $AP5)</f>
        <v>219.80280999999999</v>
      </c>
      <c r="AH32" s="76"/>
      <c r="AI32" s="75" cm="1">
        <f t="array" ref="AI32">SUM(INDEX(TRit24[], $AN$6, $AP5), SUM(INDEX(TU4jt32[], $AN$3:$AN$6, $AP5)), INDEX(EUit28[], $AN$6, $AP5))</f>
        <v>52.193398000000002</v>
      </c>
      <c r="AJ32" s="76" t="s">
        <v>34</v>
      </c>
      <c r="AK32" s="77" cm="1">
        <f t="array" ref="AK32">INDEX(NUit37[], $AN$6, $AP5)</f>
        <v>52.193398000000002</v>
      </c>
      <c r="AL32" s="31"/>
    </row>
    <row r="33" spans="2:38" ht="15.95" customHeight="1" thickTop="1" thickBot="1" x14ac:dyDescent="0.3">
      <c r="V33" s="32" t="s">
        <v>3</v>
      </c>
      <c r="W33" s="75" cm="1">
        <f t="array" ref="W33">SUM(INDEX(TRit24[], $AN$3, $AP6), SUM(INDEX(TU1jt29[], $AN$3:$AN$6, $AP6)), INDEX(EUit28[], $AN$3, $AP6))</f>
        <v>96.935340999999994</v>
      </c>
      <c r="X33" s="76" t="s">
        <v>34</v>
      </c>
      <c r="Y33" s="77" cm="1">
        <f t="array" ref="Y33">INDEX(NUit37[], $AN$3, $AP6)</f>
        <v>96.935340999999994</v>
      </c>
      <c r="Z33" s="76"/>
      <c r="AA33" s="75" cm="1">
        <f t="array" ref="AA33">SUM(INDEX(TRit24[], $AN$4, $AP6), SUM(INDEX(TU2jt30[], $AN$3:$AN$6, $AP6)), INDEX(EUit28[], $AN$4, $AP6))</f>
        <v>210.24522999999999</v>
      </c>
      <c r="AB33" s="76" t="s">
        <v>34</v>
      </c>
      <c r="AC33" s="77" cm="1">
        <f t="array" ref="AC33">INDEX(NUit37[], $AN$4, $AP6)</f>
        <v>210.24522999999999</v>
      </c>
      <c r="AD33" s="76"/>
      <c r="AE33" s="75" cm="1">
        <f t="array" ref="AE33">SUM(INDEX(TRit24[], $AN$5, $AP6), SUM(INDEX(TU3jt31[], $AN$3:$AN$6, $AP6)), INDEX(EUit28[], $AN$5, $AP6))</f>
        <v>162.99248299999999</v>
      </c>
      <c r="AF33" s="76" t="s">
        <v>34</v>
      </c>
      <c r="AG33" s="77" cm="1">
        <f t="array" ref="AG33">INDEX(NUit37[], $AN$5, $AP6)</f>
        <v>162.99248</v>
      </c>
      <c r="AH33" s="76"/>
      <c r="AI33" s="75" cm="1">
        <f t="array" ref="AI33">SUM(INDEX(TRit24[], $AN$6, $AP6), SUM(INDEX(TU4jt32[], $AN$3:$AN$6, $AP6)), INDEX(EUit28[], $AN$6, $AP6))</f>
        <v>62.152695000000001</v>
      </c>
      <c r="AJ33" s="76" t="s">
        <v>34</v>
      </c>
      <c r="AK33" s="77" cm="1">
        <f t="array" ref="AK33">INDEX(NUit37[], $AN$6, $AP6)</f>
        <v>62.152695000000001</v>
      </c>
      <c r="AL33" s="31"/>
    </row>
    <row r="34" spans="2:38" ht="15.95" customHeight="1" thickTop="1" thickBot="1" x14ac:dyDescent="0.3">
      <c r="B34" s="27"/>
      <c r="C34" s="28"/>
      <c r="D34" s="28"/>
      <c r="E34" s="28"/>
      <c r="F34" s="28"/>
      <c r="G34" s="28"/>
      <c r="H34" s="28"/>
      <c r="I34" s="28"/>
      <c r="J34" s="29"/>
      <c r="V34" s="32" t="s">
        <v>4</v>
      </c>
      <c r="W34" s="75" cm="1">
        <f t="array" ref="W34">SUM(INDEX(TRit24[], $AN$3, $AP7), SUM(INDEX(TU1jt29[], $AN$3:$AN$6, $AP7)), INDEX(EUit28[], $AN$3, $AP7))</f>
        <v>94.007880999999998</v>
      </c>
      <c r="X34" s="76" t="s">
        <v>34</v>
      </c>
      <c r="Y34" s="77" cm="1">
        <f t="array" ref="Y34">INDEX(NUit37[], $AN$3, $AP7)</f>
        <v>94.007880999999998</v>
      </c>
      <c r="Z34" s="76"/>
      <c r="AA34" s="75" cm="1">
        <f t="array" ref="AA34">SUM(INDEX(TRit24[], $AN$4, $AP7), SUM(INDEX(TU2jt30[], $AN$3:$AN$6, $AP7)), INDEX(EUit28[], $AN$4, $AP7))</f>
        <v>189.37903</v>
      </c>
      <c r="AB34" s="76" t="s">
        <v>34</v>
      </c>
      <c r="AC34" s="77" cm="1">
        <f t="array" ref="AC34">INDEX(NUit37[], $AN$4, $AP7)</f>
        <v>189.37903</v>
      </c>
      <c r="AD34" s="76"/>
      <c r="AE34" s="75" cm="1">
        <f t="array" ref="AE34">SUM(INDEX(TRit24[], $AN$5, $AP7), SUM(INDEX(TU3jt31[], $AN$3:$AN$6, $AP7)), INDEX(EUit28[], $AN$5, $AP7))</f>
        <v>185.27206999999999</v>
      </c>
      <c r="AF34" s="76" t="s">
        <v>34</v>
      </c>
      <c r="AG34" s="77" cm="1">
        <f t="array" ref="AG34">INDEX(NUit37[], $AN$5, $AP7)</f>
        <v>185.27207000000001</v>
      </c>
      <c r="AH34" s="76"/>
      <c r="AI34" s="75" cm="1">
        <f t="array" ref="AI34">SUM(INDEX(TRit24[], $AN$6, $AP7), SUM(INDEX(TU4jt32[], $AN$3:$AN$6, $AP7)), INDEX(EUit28[], $AN$6, $AP7))</f>
        <v>58.469450000000002</v>
      </c>
      <c r="AJ34" s="76" t="s">
        <v>34</v>
      </c>
      <c r="AK34" s="77" cm="1">
        <f t="array" ref="AK34">INDEX(NUit37[], $AN$6, $AP7)</f>
        <v>58.469450000000002</v>
      </c>
      <c r="AL34" s="31"/>
    </row>
    <row r="35" spans="2:38" ht="26.25" thickBot="1" x14ac:dyDescent="0.3">
      <c r="B35" s="30"/>
      <c r="C35" s="36" t="s">
        <v>44</v>
      </c>
      <c r="D35" s="45" t="s">
        <v>0</v>
      </c>
      <c r="E35" s="45" t="s">
        <v>1</v>
      </c>
      <c r="F35" s="45" t="s">
        <v>2</v>
      </c>
      <c r="G35" s="46" t="s">
        <v>3</v>
      </c>
      <c r="H35" s="45" t="s">
        <v>4</v>
      </c>
      <c r="I35" s="56" t="s">
        <v>5</v>
      </c>
      <c r="J35" s="31"/>
      <c r="V35" s="32" t="s">
        <v>5</v>
      </c>
      <c r="W35" s="75" cm="1">
        <f t="array" ref="W35">SUM(INDEX(TRit24[], $AN$3, $AP8), SUM(INDEX(TU1jt29[], $AN$3:$AN$6, $AP8)), INDEX(EUit28[], $AN$3, $AP8))</f>
        <v>90.947614999999999</v>
      </c>
      <c r="X35" s="76" t="s">
        <v>34</v>
      </c>
      <c r="Y35" s="77" cm="1">
        <f t="array" ref="Y35">INDEX(NUit37[], $AN$3, $AP8)</f>
        <v>90.947614999999999</v>
      </c>
      <c r="Z35" s="76"/>
      <c r="AA35" s="75" cm="1">
        <f t="array" ref="AA35">SUM(INDEX(TRit24[], $AN$4, $AP8), SUM(INDEX(TU2jt30[], $AN$3:$AN$6, $AP8)), INDEX(EUit28[], $AN$4, $AP8))</f>
        <v>147.56361000000001</v>
      </c>
      <c r="AB35" s="76" t="s">
        <v>34</v>
      </c>
      <c r="AC35" s="77" cm="1">
        <f t="array" ref="AC35">INDEX(NUit37[], $AN$4, $AP8)</f>
        <v>147.56361000000001</v>
      </c>
      <c r="AD35" s="76"/>
      <c r="AE35" s="75" cm="1">
        <f t="array" ref="AE35">SUM(INDEX(TRit24[], $AN$5, $AP8), SUM(INDEX(TU3jt31[], $AN$3:$AN$6, $AP8)), INDEX(EUit28[], $AN$5, $AP8))</f>
        <v>251.00529</v>
      </c>
      <c r="AF35" s="76" t="s">
        <v>34</v>
      </c>
      <c r="AG35" s="77" cm="1">
        <f t="array" ref="AG35">INDEX(NUit37[], $AN$5, $AP8)</f>
        <v>251.00529</v>
      </c>
      <c r="AH35" s="76"/>
      <c r="AI35" s="75" cm="1">
        <f t="array" ref="AI35">SUM(INDEX(TRit24[], $AN$6, $AP8), SUM(INDEX(TU4jt32[], $AN$3:$AN$6, $AP8)), INDEX(EUit28[], $AN$6, $AP8))</f>
        <v>54.546129000000001</v>
      </c>
      <c r="AJ35" s="76" t="s">
        <v>34</v>
      </c>
      <c r="AK35" s="77" cm="1">
        <f t="array" ref="AK35">INDEX(NUit37[], $AN$6, $AP8)</f>
        <v>54.546129000000001</v>
      </c>
      <c r="AL35" s="31"/>
    </row>
    <row r="36" spans="2:38" ht="15.95" customHeight="1" thickBot="1" x14ac:dyDescent="0.3">
      <c r="B36" s="32"/>
      <c r="C36" s="23" t="s">
        <v>6</v>
      </c>
      <c r="D36" s="21">
        <v>0</v>
      </c>
      <c r="E36" s="21">
        <v>0</v>
      </c>
      <c r="F36" s="21">
        <v>0</v>
      </c>
      <c r="G36" s="20">
        <v>0</v>
      </c>
      <c r="H36" s="20">
        <v>0</v>
      </c>
      <c r="I36" s="54">
        <v>32.173169999999999</v>
      </c>
      <c r="J36" s="31"/>
      <c r="V36" s="33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34"/>
    </row>
    <row r="37" spans="2:38" ht="15.95" customHeight="1" thickBot="1" x14ac:dyDescent="0.3">
      <c r="B37" s="32"/>
      <c r="C37" s="24" t="s">
        <v>9</v>
      </c>
      <c r="D37" s="22">
        <v>0</v>
      </c>
      <c r="E37" s="22">
        <v>10.62626</v>
      </c>
      <c r="F37" s="22">
        <v>65.124666000000005</v>
      </c>
      <c r="G37" s="19">
        <v>0</v>
      </c>
      <c r="H37" s="19">
        <v>0</v>
      </c>
      <c r="I37" s="55">
        <v>147.56361000000001</v>
      </c>
      <c r="J37" s="31"/>
    </row>
    <row r="38" spans="2:38" ht="15.95" customHeight="1" thickTop="1" thickBot="1" x14ac:dyDescent="0.3">
      <c r="B38" s="32"/>
      <c r="C38" s="24" t="s">
        <v>7</v>
      </c>
      <c r="D38" s="22">
        <v>138.87571</v>
      </c>
      <c r="E38" s="22">
        <v>74.981658999999993</v>
      </c>
      <c r="F38" s="22">
        <v>0</v>
      </c>
      <c r="G38" s="19">
        <v>30.892294</v>
      </c>
      <c r="H38" s="19">
        <v>115.27207</v>
      </c>
      <c r="I38" s="55">
        <v>127.00529</v>
      </c>
      <c r="J38" s="31"/>
      <c r="V38" s="27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9"/>
    </row>
    <row r="39" spans="2:38" ht="15.95" customHeight="1" thickBot="1" x14ac:dyDescent="0.3">
      <c r="B39" s="32"/>
      <c r="C39" s="25" t="s">
        <v>8</v>
      </c>
      <c r="D39" s="57">
        <v>0</v>
      </c>
      <c r="E39" s="57">
        <v>0</v>
      </c>
      <c r="F39" s="57">
        <v>0</v>
      </c>
      <c r="G39" s="58">
        <v>0</v>
      </c>
      <c r="H39" s="58">
        <v>0</v>
      </c>
      <c r="I39" s="59">
        <v>54.546129000000001</v>
      </c>
      <c r="J39" s="31"/>
      <c r="V39" s="32"/>
      <c r="W39" s="149" t="s">
        <v>40</v>
      </c>
      <c r="X39" s="149"/>
      <c r="Y39" s="149"/>
      <c r="Z39" s="149"/>
      <c r="AA39" s="149"/>
      <c r="AB39" s="149"/>
      <c r="AC39" s="149"/>
      <c r="AD39" s="149"/>
      <c r="AE39" s="149"/>
      <c r="AF39" s="149"/>
      <c r="AG39" s="149"/>
      <c r="AH39" s="149"/>
      <c r="AI39" s="149"/>
      <c r="AJ39" s="149"/>
      <c r="AK39" s="149"/>
      <c r="AL39" s="31"/>
    </row>
    <row r="40" spans="2:38" ht="15.95" customHeight="1" thickBot="1" x14ac:dyDescent="0.3">
      <c r="B40" s="33"/>
      <c r="C40" s="26"/>
      <c r="D40" s="26"/>
      <c r="E40" s="26"/>
      <c r="F40" s="26"/>
      <c r="G40" s="26"/>
      <c r="H40" s="26"/>
      <c r="I40" s="26"/>
      <c r="J40" s="34"/>
      <c r="S40"/>
      <c r="V40" s="32"/>
      <c r="W40" s="135"/>
      <c r="AL40" s="31"/>
    </row>
    <row r="41" spans="2:38" ht="15.95" customHeight="1" thickTop="1" thickBot="1" x14ac:dyDescent="0.3">
      <c r="B41" s="28"/>
      <c r="C41" s="28"/>
      <c r="D41" s="28"/>
      <c r="E41" s="28"/>
      <c r="F41" s="28"/>
      <c r="G41" s="28"/>
      <c r="H41" s="28"/>
      <c r="I41" s="28"/>
      <c r="J41" s="28"/>
      <c r="V41" s="32"/>
      <c r="W41" s="150" t="s">
        <v>6</v>
      </c>
      <c r="X41" s="150"/>
      <c r="Y41" s="150"/>
      <c r="AA41" s="151" t="s">
        <v>9</v>
      </c>
      <c r="AB41" s="151"/>
      <c r="AC41" s="151"/>
      <c r="AE41" s="151" t="s">
        <v>7</v>
      </c>
      <c r="AF41" s="151"/>
      <c r="AG41" s="151"/>
      <c r="AI41" s="151" t="s">
        <v>8</v>
      </c>
      <c r="AJ41" s="151"/>
      <c r="AK41" s="151"/>
      <c r="AL41" s="31"/>
    </row>
    <row r="42" spans="2:38" ht="15.95" customHeight="1" thickTop="1" thickBot="1" x14ac:dyDescent="0.3">
      <c r="B42" s="27"/>
      <c r="C42" s="28"/>
      <c r="D42" s="28"/>
      <c r="E42" s="28"/>
      <c r="F42" s="28"/>
      <c r="G42" s="28"/>
      <c r="H42" s="28"/>
      <c r="I42" s="28"/>
      <c r="J42" s="29"/>
      <c r="V42" s="32" t="s">
        <v>0</v>
      </c>
      <c r="W42" s="75" cm="1">
        <f t="array" ref="W42">SUM(INDEX(RPit25[], $AN$3, $AP3), SUM(INDEX(TD1jt33[], $AN$3:$AN$6, $AP3)), INDEX(EDit27[], $AN$3, $AP3))</f>
        <v>7.5363144999999996</v>
      </c>
      <c r="X42" s="76" t="s">
        <v>34</v>
      </c>
      <c r="Y42" s="77" cm="1">
        <f t="array" ref="Y42">INDEX(NDit26[], $AN$3, $AP3)</f>
        <v>7.5363144999999996</v>
      </c>
      <c r="Z42" s="76"/>
      <c r="AA42" s="75" cm="1">
        <f t="array" ref="AA42">SUM(INDEX(RPit25[], $AN$4, $AP3), SUM(INDEX(TD2jt34[], $AN$3:$AN$6, $AP3)), INDEX(EDit27[], $AN$4, $AP3))</f>
        <v>25.6697302</v>
      </c>
      <c r="AB42" s="76" t="s">
        <v>34</v>
      </c>
      <c r="AC42" s="77" cm="1">
        <f t="array" ref="AC42">INDEX(NDit26[], $AN$4, $AP3)</f>
        <v>25.669730000000001</v>
      </c>
      <c r="AD42" s="76"/>
      <c r="AE42" s="75" cm="1">
        <f t="array" ref="AE42">SUM(INDEX(RPit25[], $AN$5, $AP3), SUM(INDEX(TD3jt35[], $AN$3:$AN$6, $AP3)), INDEX(EDit27[], $AN$5, $AP3))</f>
        <v>20</v>
      </c>
      <c r="AF42" s="76" t="s">
        <v>34</v>
      </c>
      <c r="AG42" s="77" cm="1">
        <f t="array" ref="AG42">INDEX(NDit26[], $AN$5, $AP3)</f>
        <v>20</v>
      </c>
      <c r="AH42" s="76"/>
      <c r="AI42" s="75" cm="1">
        <f t="array" ref="AI42">SUM(INDEX(RPit25[], $AN$6, $AP3), SUM(INDEX(TD4jt36[], $AN$3:$AN$6, $AP3)), INDEX(EDit27[], $AN$6, $AP3))</f>
        <v>3.8237101999999998</v>
      </c>
      <c r="AJ42" s="76" t="s">
        <v>34</v>
      </c>
      <c r="AK42" s="77" cm="1">
        <f t="array" ref="AK42">INDEX(NDit26[], $AN$6, $AP3)</f>
        <v>3.8237101999999998</v>
      </c>
      <c r="AL42" s="31"/>
    </row>
    <row r="43" spans="2:38" ht="15.95" customHeight="1" thickBot="1" x14ac:dyDescent="0.3">
      <c r="B43" s="30"/>
      <c r="C43" s="36" t="s">
        <v>44</v>
      </c>
      <c r="D43" s="45" t="s">
        <v>0</v>
      </c>
      <c r="E43" s="45" t="s">
        <v>1</v>
      </c>
      <c r="F43" s="45" t="s">
        <v>2</v>
      </c>
      <c r="G43" s="46" t="s">
        <v>3</v>
      </c>
      <c r="H43" s="45" t="s">
        <v>4</v>
      </c>
      <c r="I43" s="56" t="s">
        <v>5</v>
      </c>
      <c r="J43" s="31"/>
      <c r="V43" s="32" t="s">
        <v>1</v>
      </c>
      <c r="W43" s="75" cm="1">
        <f t="array" ref="W43">SUM(INDEX(RPit25[], $AN$3, $AP4), SUM(INDEX(TD1jt33[], $AN$3:$AN$6, $AP4)), INDEX(EDit27[], $AN$3, $AP4))</f>
        <v>10.114694</v>
      </c>
      <c r="X43" s="76" t="s">
        <v>34</v>
      </c>
      <c r="Y43" s="77" cm="1">
        <f t="array" ref="Y43">INDEX(NDit26[], $AN$3, $AP4)</f>
        <v>10.114694</v>
      </c>
      <c r="Z43" s="76"/>
      <c r="AA43" s="75" cm="1">
        <f t="array" ref="AA43">SUM(INDEX(RPit25[], $AN$4, $AP4), SUM(INDEX(TD2jt34[], $AN$3:$AN$6, $AP4)), INDEX(EDit27[], $AN$4, $AP4))</f>
        <v>22</v>
      </c>
      <c r="AB43" s="76" t="s">
        <v>34</v>
      </c>
      <c r="AC43" s="77" cm="1">
        <f t="array" ref="AC43">INDEX(NDit26[], $AN$4, $AP4)</f>
        <v>22</v>
      </c>
      <c r="AD43" s="76"/>
      <c r="AE43" s="75" cm="1">
        <f t="array" ref="AE43">SUM(INDEX(RPit25[], $AN$5, $AP4), SUM(INDEX(TD3jt35[], $AN$3:$AN$6, $AP4)), INDEX(EDit27[], $AN$5, $AP4))</f>
        <v>20</v>
      </c>
      <c r="AF43" s="76" t="s">
        <v>34</v>
      </c>
      <c r="AG43" s="77" cm="1">
        <f t="array" ref="AG43">INDEX(NDit26[], $AN$5, $AP4)</f>
        <v>20</v>
      </c>
      <c r="AH43" s="76"/>
      <c r="AI43" s="75" cm="1">
        <f t="array" ref="AI43">SUM(INDEX(RPit25[], $AN$6, $AP4), SUM(INDEX(TD4jt36[], $AN$3:$AN$6, $AP4)), INDEX(EDit27[], $AN$6, $AP4))</f>
        <v>6.2347326000000001</v>
      </c>
      <c r="AJ43" s="76" t="s">
        <v>34</v>
      </c>
      <c r="AK43" s="77" cm="1">
        <f t="array" ref="AK43">INDEX(NDit26[], $AN$6, $AP4)</f>
        <v>6.2347326000000001</v>
      </c>
      <c r="AL43" s="31"/>
    </row>
    <row r="44" spans="2:38" ht="15.95" customHeight="1" thickBot="1" x14ac:dyDescent="0.3">
      <c r="B44" s="32"/>
      <c r="C44" s="23" t="s">
        <v>6</v>
      </c>
      <c r="D44" s="21">
        <v>0</v>
      </c>
      <c r="E44" s="21">
        <v>0</v>
      </c>
      <c r="F44" s="21">
        <v>0</v>
      </c>
      <c r="G44" s="20">
        <v>0</v>
      </c>
      <c r="H44" s="20">
        <v>0</v>
      </c>
      <c r="I44" s="54">
        <v>0</v>
      </c>
      <c r="J44" s="31"/>
      <c r="V44" s="32" t="s">
        <v>2</v>
      </c>
      <c r="W44" s="75" cm="1">
        <f t="array" ref="W44">SUM(INDEX(RPit25[], $AN$3, $AP5), SUM(INDEX(TD1jt33[], $AN$3:$AN$6, $AP5)), INDEX(EDit27[], $AN$3, $AP5))</f>
        <v>9.7634112999999996</v>
      </c>
      <c r="X44" s="76" t="s">
        <v>34</v>
      </c>
      <c r="Y44" s="77" cm="1">
        <f t="array" ref="Y44">INDEX(NDit26[], $AN$3, $AP5)</f>
        <v>9.7634112999999996</v>
      </c>
      <c r="Z44" s="76"/>
      <c r="AA44" s="75" cm="1">
        <f t="array" ref="AA44">SUM(INDEX(RPit25[], $AN$4, $AP5), SUM(INDEX(TD2jt34[], $AN$3:$AN$6, $AP5)), INDEX(EDit27[], $AN$4, $AP5))</f>
        <v>22.614516569999999</v>
      </c>
      <c r="AB44" s="76" t="s">
        <v>34</v>
      </c>
      <c r="AC44" s="77" cm="1">
        <f t="array" ref="AC44">INDEX(NDit26[], $AN$4, $AP5)</f>
        <v>22.614516999999999</v>
      </c>
      <c r="AD44" s="76"/>
      <c r="AE44" s="75" cm="1">
        <f t="array" ref="AE44">SUM(INDEX(RPit25[], $AN$5, $AP5), SUM(INDEX(TD3jt35[], $AN$3:$AN$6, $AP5)), INDEX(EDit27[], $AN$5, $AP5))</f>
        <v>20.10374947</v>
      </c>
      <c r="AF44" s="76" t="s">
        <v>34</v>
      </c>
      <c r="AG44" s="77" cm="1">
        <f t="array" ref="AG44">INDEX(NDit26[], $AN$5, $AP5)</f>
        <v>20.103749000000001</v>
      </c>
      <c r="AH44" s="76"/>
      <c r="AI44" s="75" cm="1">
        <f t="array" ref="AI44">SUM(INDEX(RPit25[], $AN$6, $AP5), SUM(INDEX(TD4jt36[], $AN$3:$AN$6, $AP5)), INDEX(EDit27[], $AN$6, $AP5))</f>
        <v>5.7992664999999999</v>
      </c>
      <c r="AJ44" s="76" t="s">
        <v>34</v>
      </c>
      <c r="AK44" s="77" cm="1">
        <f t="array" ref="AK44">INDEX(NDit26[], $AN$6, $AP5)</f>
        <v>5.7992664999999999</v>
      </c>
      <c r="AL44" s="31"/>
    </row>
    <row r="45" spans="2:38" ht="15.95" customHeight="1" thickBot="1" x14ac:dyDescent="0.3">
      <c r="B45" s="32"/>
      <c r="C45" s="24" t="s">
        <v>9</v>
      </c>
      <c r="D45" s="22">
        <v>3.6697302000000001</v>
      </c>
      <c r="E45" s="22">
        <v>0</v>
      </c>
      <c r="F45" s="22">
        <v>0.61451657000000004</v>
      </c>
      <c r="G45" s="19">
        <v>2.0579907999999998</v>
      </c>
      <c r="H45" s="19">
        <v>4.2302305999999996</v>
      </c>
      <c r="I45" s="55">
        <v>6.6270632000000003</v>
      </c>
      <c r="J45" s="31"/>
      <c r="S45" s="17"/>
      <c r="V45" s="32" t="s">
        <v>3</v>
      </c>
      <c r="W45" s="75" cm="1">
        <f t="array" ref="W45">SUM(INDEX(RPit25[], $AN$3, $AP6), SUM(INDEX(TD1jt33[], $AN$3:$AN$6, $AP6)), INDEX(EDit27[], $AN$3, $AP6))</f>
        <v>10.770593400000001</v>
      </c>
      <c r="X45" s="76" t="s">
        <v>34</v>
      </c>
      <c r="Y45" s="77" cm="1">
        <f t="array" ref="Y45">INDEX(NDit26[], $AN$3, $AP6)</f>
        <v>10.770593</v>
      </c>
      <c r="Z45" s="76"/>
      <c r="AA45" s="75" cm="1">
        <f t="array" ref="AA45">SUM(INDEX(RPit25[], $AN$4, $AP6), SUM(INDEX(TD2jt34[], $AN$3:$AN$6, $AP6)), INDEX(EDit27[], $AN$4, $AP6))</f>
        <v>24.057990799999999</v>
      </c>
      <c r="AB45" s="76" t="s">
        <v>34</v>
      </c>
      <c r="AC45" s="77" cm="1">
        <f t="array" ref="AC45">INDEX(NDit26[], $AN$4, $AP6)</f>
        <v>24.057991000000001</v>
      </c>
      <c r="AD45" s="76"/>
      <c r="AE45" s="75" cm="1">
        <f t="array" ref="AE45">SUM(INDEX(RPit25[], $AN$5, $AP6), SUM(INDEX(TD3jt35[], $AN$3:$AN$6, $AP6)), INDEX(EDit27[], $AN$5, $AP6))</f>
        <v>21.791069499999999</v>
      </c>
      <c r="AF45" s="76" t="s">
        <v>34</v>
      </c>
      <c r="AG45" s="77" cm="1">
        <f t="array" ref="AG45">INDEX(NDit26[], $AN$5, $AP6)</f>
        <v>21.791070000000001</v>
      </c>
      <c r="AH45" s="76"/>
      <c r="AI45" s="75" cm="1">
        <f t="array" ref="AI45">SUM(INDEX(RPit25[], $AN$6, $AP6), SUM(INDEX(TD4jt36[], $AN$3:$AN$6, $AP6)), INDEX(EDit27[], $AN$6, $AP6))</f>
        <v>6.9058549999999999</v>
      </c>
      <c r="AJ45" s="76" t="s">
        <v>34</v>
      </c>
      <c r="AK45" s="77" cm="1">
        <f t="array" ref="AK45">INDEX(NDit26[], $AN$6, $AP6)</f>
        <v>6.9058549999999999</v>
      </c>
      <c r="AL45" s="31"/>
    </row>
    <row r="46" spans="2:38" ht="15.95" customHeight="1" thickBot="1" x14ac:dyDescent="0.3">
      <c r="B46" s="32"/>
      <c r="C46" s="24" t="s">
        <v>7</v>
      </c>
      <c r="D46" s="22">
        <v>0</v>
      </c>
      <c r="E46" s="22">
        <v>0</v>
      </c>
      <c r="F46" s="22">
        <v>0.10374947</v>
      </c>
      <c r="G46" s="19">
        <v>1.7910695000000001</v>
      </c>
      <c r="H46" s="19">
        <v>4.9311976</v>
      </c>
      <c r="I46" s="55">
        <v>0</v>
      </c>
      <c r="J46" s="31"/>
      <c r="V46" s="32" t="s">
        <v>4</v>
      </c>
      <c r="W46" s="75" cm="1">
        <f t="array" ref="W46">SUM(INDEX(RPit25[], $AN$3, $AP7), SUM(INDEX(TD1jt33[], $AN$3:$AN$6, $AP7)), INDEX(EDit27[], $AN$3, $AP7))</f>
        <v>10.445320000000001</v>
      </c>
      <c r="X46" s="76" t="s">
        <v>34</v>
      </c>
      <c r="Y46" s="77" cm="1">
        <f t="array" ref="Y46">INDEX(NDit26[], $AN$3, $AP7)</f>
        <v>10.445320000000001</v>
      </c>
      <c r="Z46" s="76"/>
      <c r="AA46" s="75" cm="1">
        <f t="array" ref="AA46">SUM(INDEX(RPit25[], $AN$4, $AP7), SUM(INDEX(TD2jt34[], $AN$3:$AN$6, $AP7)), INDEX(EDit27[], $AN$4, $AP7))</f>
        <v>26.230230599999999</v>
      </c>
      <c r="AB46" s="76" t="s">
        <v>34</v>
      </c>
      <c r="AC46" s="77" cm="1">
        <f t="array" ref="AC46">INDEX(NDit26[], $AN$4, $AP7)</f>
        <v>26.230231</v>
      </c>
      <c r="AD46" s="76"/>
      <c r="AE46" s="75" cm="1">
        <f t="array" ref="AE46">SUM(INDEX(RPit25[], $AN$5, $AP7), SUM(INDEX(TD3jt35[], $AN$3:$AN$6, $AP7)), INDEX(EDit27[], $AN$5, $AP7))</f>
        <v>24.931197600000001</v>
      </c>
      <c r="AF46" s="76" t="s">
        <v>34</v>
      </c>
      <c r="AG46" s="77" cm="1">
        <f t="array" ref="AG46">INDEX(NDit26[], $AN$5, $AP7)</f>
        <v>24.931197999999998</v>
      </c>
      <c r="AH46" s="76"/>
      <c r="AI46" s="75" cm="1">
        <f t="array" ref="AI46">SUM(INDEX(RPit25[], $AN$6, $AP7), SUM(INDEX(TD4jt36[], $AN$3:$AN$6, $AP7)), INDEX(EDit27[], $AN$6, $AP7))</f>
        <v>6.4966055999999996</v>
      </c>
      <c r="AJ46" s="76" t="s">
        <v>34</v>
      </c>
      <c r="AK46" s="77" cm="1">
        <f t="array" ref="AK46">INDEX(NDit26[], $AN$6, $AP7)</f>
        <v>6.4966055000000003</v>
      </c>
      <c r="AL46" s="31"/>
    </row>
    <row r="47" spans="2:38" ht="15.95" customHeight="1" thickBot="1" x14ac:dyDescent="0.3">
      <c r="B47" s="32"/>
      <c r="C47" s="25" t="s">
        <v>8</v>
      </c>
      <c r="D47" s="57">
        <v>0</v>
      </c>
      <c r="E47" s="57">
        <v>0</v>
      </c>
      <c r="F47" s="57">
        <v>0</v>
      </c>
      <c r="G47" s="58">
        <v>0</v>
      </c>
      <c r="H47" s="58">
        <v>4.2870502999999998</v>
      </c>
      <c r="I47" s="59">
        <v>0</v>
      </c>
      <c r="J47" s="31"/>
      <c r="V47" s="32" t="s">
        <v>5</v>
      </c>
      <c r="W47" s="75" cm="1">
        <f t="array" ref="W47">SUM(INDEX(RPit25[], $AN$3, $AP8), SUM(INDEX(TD1jt33[], $AN$3:$AN$6, $AP8)), INDEX(EDit27[], $AN$3, $AP8))</f>
        <v>10.105290999999999</v>
      </c>
      <c r="X47" s="76" t="s">
        <v>34</v>
      </c>
      <c r="Y47" s="77" cm="1">
        <f t="array" ref="Y47">INDEX(NDit26[], $AN$3, $AP8)</f>
        <v>10.105290999999999</v>
      </c>
      <c r="Z47" s="76"/>
      <c r="AA47" s="75" cm="1">
        <f t="array" ref="AA47">SUM(INDEX(RPit25[], $AN$4, $AP8), SUM(INDEX(TD2jt34[], $AN$3:$AN$6, $AP8)), INDEX(EDit27[], $AN$4, $AP8))</f>
        <v>28.627063200000002</v>
      </c>
      <c r="AB47" s="76" t="s">
        <v>34</v>
      </c>
      <c r="AC47" s="77" cm="1">
        <f t="array" ref="AC47">INDEX(NDit26[], $AN$4, $AP8)</f>
        <v>28.627063</v>
      </c>
      <c r="AD47" s="76"/>
      <c r="AE47" s="75" cm="1">
        <f t="array" ref="AE47">SUM(INDEX(RPit25[], $AN$5, $AP8), SUM(INDEX(TD3jt35[], $AN$3:$AN$6, $AP8)), INDEX(EDit27[], $AN$5, $AP8))</f>
        <v>20</v>
      </c>
      <c r="AF47" s="76" t="s">
        <v>34</v>
      </c>
      <c r="AG47" s="77" cm="1">
        <f t="array" ref="AG47">INDEX(NDit26[], $AN$5, $AP8)</f>
        <v>20</v>
      </c>
      <c r="AH47" s="76"/>
      <c r="AI47" s="75" cm="1">
        <f t="array" ref="AI47">SUM(INDEX(RPit25[], $AN$6, $AP8), SUM(INDEX(TD4jt36[], $AN$3:$AN$6, $AP8)), INDEX(EDit27[], $AN$6, $AP8))</f>
        <v>10.347731</v>
      </c>
      <c r="AJ47" s="76" t="s">
        <v>34</v>
      </c>
      <c r="AK47" s="77" cm="1">
        <f t="array" ref="AK47">INDEX(NDit26[], $AN$6, $AP8)</f>
        <v>10.347731</v>
      </c>
      <c r="AL47" s="31"/>
    </row>
    <row r="48" spans="2:38" ht="15.95" customHeight="1" thickBot="1" x14ac:dyDescent="0.3">
      <c r="B48" s="33"/>
      <c r="C48" s="26"/>
      <c r="D48" s="26"/>
      <c r="E48" s="26"/>
      <c r="F48" s="26"/>
      <c r="G48" s="26"/>
      <c r="H48" s="26"/>
      <c r="I48" s="26"/>
      <c r="J48" s="34"/>
      <c r="V48" s="33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34"/>
    </row>
    <row r="49" spans="1:26" ht="15.95" customHeight="1" thickTop="1" thickBot="1" x14ac:dyDescent="0.3">
      <c r="B49" s="28"/>
      <c r="C49" s="28"/>
      <c r="D49" s="28"/>
      <c r="E49" s="28"/>
      <c r="F49" s="28"/>
      <c r="G49" s="28"/>
      <c r="H49" s="28"/>
      <c r="I49" s="28"/>
      <c r="J49" s="28"/>
      <c r="K49" s="40"/>
      <c r="L49" s="40"/>
      <c r="M49" s="40"/>
      <c r="N49" s="40"/>
      <c r="O49" s="40"/>
      <c r="P49" s="40"/>
      <c r="Q49" s="40"/>
      <c r="R49" s="40"/>
      <c r="S49" s="40"/>
    </row>
    <row r="50" spans="1:26" ht="15.95" customHeight="1" thickTop="1" thickBot="1" x14ac:dyDescent="0.3">
      <c r="B50" s="27"/>
      <c r="C50" s="28"/>
      <c r="D50" s="28"/>
      <c r="E50" s="28"/>
      <c r="F50" s="28"/>
      <c r="G50" s="28"/>
      <c r="H50" s="28"/>
      <c r="I50" s="28"/>
      <c r="J50" s="28"/>
      <c r="S50" s="41"/>
    </row>
    <row r="51" spans="1:26" ht="39.75" thickTop="1" thickBot="1" x14ac:dyDescent="0.3">
      <c r="B51" s="30"/>
      <c r="C51" s="37" t="s">
        <v>45</v>
      </c>
      <c r="D51" s="45" t="s">
        <v>0</v>
      </c>
      <c r="E51" s="45" t="s">
        <v>1</v>
      </c>
      <c r="F51" s="45" t="s">
        <v>2</v>
      </c>
      <c r="G51" s="46" t="s">
        <v>3</v>
      </c>
      <c r="H51" s="45" t="s">
        <v>4</v>
      </c>
      <c r="I51" s="56" t="s">
        <v>5</v>
      </c>
      <c r="L51" s="37" t="s">
        <v>45</v>
      </c>
      <c r="M51" s="45" t="s">
        <v>0</v>
      </c>
      <c r="N51" s="45" t="s">
        <v>1</v>
      </c>
      <c r="O51" s="45" t="s">
        <v>2</v>
      </c>
      <c r="P51" s="46" t="s">
        <v>3</v>
      </c>
      <c r="Q51" s="45" t="s">
        <v>4</v>
      </c>
      <c r="R51" s="56" t="s">
        <v>5</v>
      </c>
      <c r="S51" s="38"/>
      <c r="V51" s="27"/>
      <c r="W51" s="28"/>
      <c r="X51" s="28"/>
      <c r="Y51" s="28"/>
      <c r="Z51" s="29"/>
    </row>
    <row r="52" spans="1:26" ht="15.95" customHeight="1" thickBot="1" x14ac:dyDescent="0.3">
      <c r="B52" s="32"/>
      <c r="C52" s="23" t="s">
        <v>6</v>
      </c>
      <c r="D52" s="21">
        <v>0</v>
      </c>
      <c r="E52" s="21">
        <v>0</v>
      </c>
      <c r="F52" s="21">
        <v>0</v>
      </c>
      <c r="G52" s="20">
        <v>0</v>
      </c>
      <c r="H52" s="20">
        <v>0</v>
      </c>
      <c r="I52" s="54">
        <v>0</v>
      </c>
      <c r="L52" s="23" t="s">
        <v>6</v>
      </c>
      <c r="M52" s="21">
        <v>0</v>
      </c>
      <c r="N52" s="21">
        <v>0</v>
      </c>
      <c r="O52" s="21">
        <v>0</v>
      </c>
      <c r="P52" s="20">
        <v>0</v>
      </c>
      <c r="Q52" s="20">
        <v>0</v>
      </c>
      <c r="R52" s="54">
        <v>0</v>
      </c>
      <c r="S52" s="38"/>
      <c r="V52" s="32"/>
      <c r="W52" s="149" t="s">
        <v>37</v>
      </c>
      <c r="X52" s="149"/>
      <c r="Y52" s="149"/>
      <c r="Z52" s="31"/>
    </row>
    <row r="53" spans="1:26" ht="15.95" customHeight="1" thickBot="1" x14ac:dyDescent="0.3">
      <c r="B53" s="32"/>
      <c r="C53" s="24" t="s">
        <v>9</v>
      </c>
      <c r="D53" s="22">
        <v>0</v>
      </c>
      <c r="E53" s="22">
        <v>0</v>
      </c>
      <c r="F53" s="22">
        <v>0</v>
      </c>
      <c r="G53" s="19">
        <v>13.935340999999999</v>
      </c>
      <c r="H53" s="19">
        <v>0</v>
      </c>
      <c r="I53" s="55">
        <v>0</v>
      </c>
      <c r="L53" s="24" t="s">
        <v>9</v>
      </c>
      <c r="M53" s="22">
        <v>0</v>
      </c>
      <c r="N53" s="22">
        <v>0</v>
      </c>
      <c r="O53" s="22">
        <v>0</v>
      </c>
      <c r="P53" s="19">
        <v>0</v>
      </c>
      <c r="Q53" s="19">
        <v>0</v>
      </c>
      <c r="R53" s="55">
        <v>0</v>
      </c>
      <c r="S53" s="38"/>
      <c r="V53" s="32"/>
      <c r="Z53" s="31"/>
    </row>
    <row r="54" spans="1:26" ht="15.95" customHeight="1" thickBot="1" x14ac:dyDescent="0.3">
      <c r="B54" s="32"/>
      <c r="C54" s="24" t="s">
        <v>7</v>
      </c>
      <c r="D54" s="22">
        <v>0</v>
      </c>
      <c r="E54" s="22">
        <v>0</v>
      </c>
      <c r="F54" s="22">
        <v>0</v>
      </c>
      <c r="G54" s="19">
        <v>0</v>
      </c>
      <c r="H54" s="19">
        <v>0</v>
      </c>
      <c r="I54" s="55">
        <v>0</v>
      </c>
      <c r="L54" s="24" t="s">
        <v>7</v>
      </c>
      <c r="M54" s="22">
        <v>0</v>
      </c>
      <c r="N54" s="22">
        <v>0</v>
      </c>
      <c r="O54" s="22">
        <v>0</v>
      </c>
      <c r="P54" s="19">
        <v>0</v>
      </c>
      <c r="Q54" s="19">
        <v>0</v>
      </c>
      <c r="R54" s="55">
        <v>0</v>
      </c>
      <c r="S54" s="38"/>
      <c r="V54" s="137" t="s">
        <v>80</v>
      </c>
      <c r="W54" s="75" cm="1">
        <f t="array" ref="W54">SUM(
SUM(Data!J31/100*(INDEX(TRit24[],$AN$3:$AN$6,$AP$3))),
SUM(((Data!J30+Data!J31)/100)*(INDEX(TRit24[],$AN$3:$AN$6,$AP$4))),(INDEX(NUit37[],$AN$3:$AN$6,$AP$5)))</f>
        <v>856.79663619999997</v>
      </c>
      <c r="X54" s="76" t="s">
        <v>34</v>
      </c>
      <c r="Y54" s="77">
        <f>Cars_2</f>
        <v>856.79663000000005</v>
      </c>
      <c r="Z54" s="31"/>
    </row>
    <row r="55" spans="1:26" ht="15.95" customHeight="1" thickBot="1" x14ac:dyDescent="0.3">
      <c r="B55" s="32"/>
      <c r="C55" s="25" t="s">
        <v>8</v>
      </c>
      <c r="D55" s="57">
        <v>0</v>
      </c>
      <c r="E55" s="57">
        <v>0</v>
      </c>
      <c r="F55" s="57">
        <v>0</v>
      </c>
      <c r="G55" s="58">
        <v>0</v>
      </c>
      <c r="H55" s="58">
        <v>0</v>
      </c>
      <c r="I55" s="59">
        <v>0</v>
      </c>
      <c r="L55" s="25" t="s">
        <v>8</v>
      </c>
      <c r="M55" s="57">
        <v>0</v>
      </c>
      <c r="N55" s="57">
        <v>0</v>
      </c>
      <c r="O55" s="57">
        <v>0</v>
      </c>
      <c r="P55" s="58">
        <v>0</v>
      </c>
      <c r="Q55" s="58">
        <v>0</v>
      </c>
      <c r="R55" s="59">
        <v>0</v>
      </c>
      <c r="S55" s="38"/>
      <c r="V55" s="33"/>
      <c r="W55" s="26"/>
      <c r="X55" s="26"/>
      <c r="Y55" s="26"/>
      <c r="Z55" s="34"/>
    </row>
    <row r="56" spans="1:26" ht="15.95" customHeight="1" thickBot="1" x14ac:dyDescent="0.3">
      <c r="B56" s="32"/>
      <c r="S56" s="38"/>
    </row>
    <row r="57" spans="1:26" ht="39.75" thickTop="1" thickBot="1" x14ac:dyDescent="0.3">
      <c r="B57" s="32"/>
      <c r="C57" s="37" t="s">
        <v>45</v>
      </c>
      <c r="D57" s="45" t="s">
        <v>0</v>
      </c>
      <c r="E57" s="45" t="s">
        <v>1</v>
      </c>
      <c r="F57" s="45" t="s">
        <v>2</v>
      </c>
      <c r="G57" s="46" t="s">
        <v>3</v>
      </c>
      <c r="H57" s="45" t="s">
        <v>4</v>
      </c>
      <c r="I57" s="56" t="s">
        <v>5</v>
      </c>
      <c r="L57" s="37" t="s">
        <v>45</v>
      </c>
      <c r="M57" s="45" t="s">
        <v>0</v>
      </c>
      <c r="N57" s="45" t="s">
        <v>1</v>
      </c>
      <c r="O57" s="45" t="s">
        <v>2</v>
      </c>
      <c r="P57" s="46" t="s">
        <v>3</v>
      </c>
      <c r="Q57" s="45" t="s">
        <v>4</v>
      </c>
      <c r="R57" s="56" t="s">
        <v>5</v>
      </c>
      <c r="S57" s="38"/>
      <c r="V57" s="27"/>
      <c r="W57" s="28"/>
      <c r="X57" s="28"/>
      <c r="Y57" s="28"/>
      <c r="Z57" s="29"/>
    </row>
    <row r="58" spans="1:26" ht="15.95" customHeight="1" thickBot="1" x14ac:dyDescent="0.3">
      <c r="B58" s="32"/>
      <c r="C58" s="23" t="s">
        <v>6</v>
      </c>
      <c r="D58" s="21">
        <v>0</v>
      </c>
      <c r="E58" s="21">
        <v>0</v>
      </c>
      <c r="F58" s="21">
        <v>0</v>
      </c>
      <c r="G58" s="20">
        <v>0</v>
      </c>
      <c r="H58" s="20">
        <v>0</v>
      </c>
      <c r="I58" s="54">
        <v>0</v>
      </c>
      <c r="L58" s="23" t="s">
        <v>6</v>
      </c>
      <c r="M58" s="21">
        <v>0</v>
      </c>
      <c r="N58" s="21">
        <v>0</v>
      </c>
      <c r="O58" s="21">
        <v>0</v>
      </c>
      <c r="P58" s="20">
        <v>0</v>
      </c>
      <c r="Q58" s="20">
        <v>0</v>
      </c>
      <c r="R58" s="54">
        <v>0</v>
      </c>
      <c r="S58" s="38"/>
      <c r="V58" s="32"/>
      <c r="W58" s="149" t="s">
        <v>78</v>
      </c>
      <c r="X58" s="149"/>
      <c r="Y58" s="149"/>
      <c r="Z58" s="31"/>
    </row>
    <row r="59" spans="1:26" ht="15.95" customHeight="1" thickBot="1" x14ac:dyDescent="0.3">
      <c r="A59" s="38"/>
      <c r="C59" s="24" t="s">
        <v>9</v>
      </c>
      <c r="D59" s="22">
        <v>0</v>
      </c>
      <c r="E59" s="22">
        <v>0</v>
      </c>
      <c r="F59" s="22">
        <v>0</v>
      </c>
      <c r="G59" s="19">
        <v>21.100189</v>
      </c>
      <c r="H59" s="19">
        <v>0</v>
      </c>
      <c r="I59" s="55">
        <v>0</v>
      </c>
      <c r="L59" s="24" t="s">
        <v>9</v>
      </c>
      <c r="M59" s="22">
        <v>0</v>
      </c>
      <c r="N59" s="22">
        <v>0</v>
      </c>
      <c r="O59" s="22">
        <v>0</v>
      </c>
      <c r="P59" s="19">
        <v>0</v>
      </c>
      <c r="Q59" s="19">
        <v>0</v>
      </c>
      <c r="R59" s="55">
        <v>0</v>
      </c>
      <c r="S59" s="38"/>
      <c r="V59" s="32"/>
      <c r="Z59" s="31"/>
    </row>
    <row r="60" spans="1:26" ht="15.95" customHeight="1" thickBot="1" x14ac:dyDescent="0.3">
      <c r="A60" s="38"/>
      <c r="C60" s="24" t="s">
        <v>7</v>
      </c>
      <c r="D60" s="22">
        <v>0</v>
      </c>
      <c r="E60" s="22">
        <v>0</v>
      </c>
      <c r="F60" s="22">
        <v>0</v>
      </c>
      <c r="G60" s="19">
        <v>0</v>
      </c>
      <c r="H60" s="19">
        <v>0</v>
      </c>
      <c r="I60" s="55">
        <v>0</v>
      </c>
      <c r="L60" s="24" t="s">
        <v>7</v>
      </c>
      <c r="M60" s="22">
        <v>0</v>
      </c>
      <c r="N60" s="22">
        <v>0</v>
      </c>
      <c r="O60" s="22">
        <v>0</v>
      </c>
      <c r="P60" s="19">
        <v>0</v>
      </c>
      <c r="Q60" s="19">
        <v>0</v>
      </c>
      <c r="R60" s="55">
        <v>0</v>
      </c>
      <c r="S60" s="38"/>
      <c r="V60" s="32"/>
      <c r="W60" s="75">
        <f>SUM(E89,J89,O89,E93,J93)</f>
        <v>2</v>
      </c>
      <c r="X60" s="76" t="s">
        <v>79</v>
      </c>
      <c r="Y60" s="77">
        <v>3</v>
      </c>
      <c r="Z60" s="31"/>
    </row>
    <row r="61" spans="1:26" ht="15.95" customHeight="1" thickBot="1" x14ac:dyDescent="0.3">
      <c r="A61" s="38"/>
      <c r="C61" s="25" t="s">
        <v>8</v>
      </c>
      <c r="D61" s="57">
        <v>0</v>
      </c>
      <c r="E61" s="57">
        <v>0</v>
      </c>
      <c r="F61" s="57">
        <v>0</v>
      </c>
      <c r="G61" s="58">
        <v>0</v>
      </c>
      <c r="H61" s="58">
        <v>0</v>
      </c>
      <c r="I61" s="59">
        <v>0</v>
      </c>
      <c r="L61" s="25" t="s">
        <v>8</v>
      </c>
      <c r="M61" s="57">
        <v>0</v>
      </c>
      <c r="N61" s="57">
        <v>0</v>
      </c>
      <c r="O61" s="57">
        <v>0</v>
      </c>
      <c r="P61" s="58">
        <v>0</v>
      </c>
      <c r="Q61" s="58">
        <v>0</v>
      </c>
      <c r="R61" s="59">
        <v>0</v>
      </c>
      <c r="S61" s="38"/>
      <c r="V61" s="33"/>
      <c r="W61" s="26"/>
      <c r="X61" s="26"/>
      <c r="Y61" s="26"/>
      <c r="Z61" s="34"/>
    </row>
    <row r="62" spans="1:26" ht="15.95" customHeight="1" x14ac:dyDescent="0.25">
      <c r="A62" s="38"/>
      <c r="S62" s="38"/>
    </row>
    <row r="63" spans="1:26" ht="15.95" customHeight="1" thickBot="1" x14ac:dyDescent="0.3">
      <c r="A63" s="38"/>
      <c r="B63" s="39"/>
      <c r="C63" s="40"/>
      <c r="S63" s="42"/>
    </row>
    <row r="64" spans="1:26" ht="15.95" customHeight="1" thickTop="1" thickBot="1" x14ac:dyDescent="0.3"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</row>
    <row r="65" spans="1:19" ht="15.95" customHeight="1" thickTop="1" thickBot="1" x14ac:dyDescent="0.3">
      <c r="B65" s="27"/>
      <c r="C65" s="28"/>
      <c r="S65" s="41"/>
    </row>
    <row r="66" spans="1:19" ht="39" thickBot="1" x14ac:dyDescent="0.3">
      <c r="B66" s="30"/>
      <c r="C66" s="37" t="s">
        <v>45</v>
      </c>
      <c r="D66" s="45" t="s">
        <v>0</v>
      </c>
      <c r="E66" s="45" t="s">
        <v>1</v>
      </c>
      <c r="F66" s="45" t="s">
        <v>2</v>
      </c>
      <c r="G66" s="46" t="s">
        <v>3</v>
      </c>
      <c r="H66" s="45" t="s">
        <v>4</v>
      </c>
      <c r="I66" s="56" t="s">
        <v>5</v>
      </c>
      <c r="L66" s="37" t="s">
        <v>45</v>
      </c>
      <c r="M66" s="45" t="s">
        <v>0</v>
      </c>
      <c r="N66" s="45" t="s">
        <v>1</v>
      </c>
      <c r="O66" s="45" t="s">
        <v>2</v>
      </c>
      <c r="P66" s="46" t="s">
        <v>3</v>
      </c>
      <c r="Q66" s="45" t="s">
        <v>4</v>
      </c>
      <c r="R66" s="56" t="s">
        <v>5</v>
      </c>
      <c r="S66" s="38"/>
    </row>
    <row r="67" spans="1:19" ht="15.95" customHeight="1" thickBot="1" x14ac:dyDescent="0.3">
      <c r="B67" s="32"/>
      <c r="C67" s="23" t="s">
        <v>6</v>
      </c>
      <c r="D67" s="21">
        <v>0</v>
      </c>
      <c r="E67" s="21">
        <v>0</v>
      </c>
      <c r="F67" s="21">
        <v>0</v>
      </c>
      <c r="G67" s="20">
        <v>0</v>
      </c>
      <c r="H67" s="20">
        <v>0</v>
      </c>
      <c r="I67" s="54">
        <v>0</v>
      </c>
      <c r="L67" s="23" t="s">
        <v>6</v>
      </c>
      <c r="M67" s="21">
        <v>0</v>
      </c>
      <c r="N67" s="21">
        <v>0</v>
      </c>
      <c r="O67" s="21">
        <v>0</v>
      </c>
      <c r="P67" s="20">
        <v>0</v>
      </c>
      <c r="Q67" s="20">
        <v>0</v>
      </c>
      <c r="R67" s="54">
        <v>0</v>
      </c>
      <c r="S67" s="38"/>
    </row>
    <row r="68" spans="1:19" ht="15.95" customHeight="1" thickBot="1" x14ac:dyDescent="0.3">
      <c r="B68" s="32"/>
      <c r="C68" s="24" t="s">
        <v>9</v>
      </c>
      <c r="D68" s="22">
        <v>3.7051297999999999</v>
      </c>
      <c r="E68" s="22">
        <v>10.114694</v>
      </c>
      <c r="F68" s="22">
        <v>9.7634112999999996</v>
      </c>
      <c r="G68" s="19">
        <v>9.4674066000000003</v>
      </c>
      <c r="H68" s="19">
        <v>10.445320000000001</v>
      </c>
      <c r="I68" s="55">
        <v>10.105290999999999</v>
      </c>
      <c r="L68" s="24" t="s">
        <v>9</v>
      </c>
      <c r="M68" s="22">
        <v>0</v>
      </c>
      <c r="N68" s="22">
        <v>0</v>
      </c>
      <c r="O68" s="22">
        <v>0</v>
      </c>
      <c r="P68" s="19">
        <v>0</v>
      </c>
      <c r="Q68" s="19">
        <v>0</v>
      </c>
      <c r="R68" s="55">
        <v>0</v>
      </c>
      <c r="S68" s="38"/>
    </row>
    <row r="69" spans="1:19" ht="15.95" customHeight="1" thickBot="1" x14ac:dyDescent="0.3">
      <c r="B69" s="32"/>
      <c r="C69" s="24" t="s">
        <v>7</v>
      </c>
      <c r="D69" s="22">
        <v>3.8311847000000001</v>
      </c>
      <c r="E69" s="22">
        <v>0</v>
      </c>
      <c r="F69" s="22">
        <v>0</v>
      </c>
      <c r="G69" s="19">
        <v>1.3031868</v>
      </c>
      <c r="H69" s="19">
        <v>0</v>
      </c>
      <c r="I69" s="55">
        <v>0</v>
      </c>
      <c r="L69" s="24" t="s">
        <v>7</v>
      </c>
      <c r="M69" s="22">
        <v>0</v>
      </c>
      <c r="N69" s="22">
        <v>0</v>
      </c>
      <c r="O69" s="22">
        <v>0</v>
      </c>
      <c r="P69" s="19">
        <v>0</v>
      </c>
      <c r="Q69" s="19">
        <v>0</v>
      </c>
      <c r="R69" s="55">
        <v>0</v>
      </c>
      <c r="S69" s="38"/>
    </row>
    <row r="70" spans="1:19" ht="15.95" customHeight="1" thickBot="1" x14ac:dyDescent="0.3">
      <c r="B70" s="32"/>
      <c r="C70" s="25" t="s">
        <v>8</v>
      </c>
      <c r="D70" s="57">
        <v>0</v>
      </c>
      <c r="E70" s="57">
        <v>0</v>
      </c>
      <c r="F70" s="57">
        <v>0</v>
      </c>
      <c r="G70" s="58">
        <v>0</v>
      </c>
      <c r="H70" s="58">
        <v>0</v>
      </c>
      <c r="I70" s="59">
        <v>0</v>
      </c>
      <c r="L70" s="25" t="s">
        <v>8</v>
      </c>
      <c r="M70" s="57">
        <v>0</v>
      </c>
      <c r="N70" s="57">
        <v>0</v>
      </c>
      <c r="O70" s="57">
        <v>0</v>
      </c>
      <c r="P70" s="58">
        <v>0</v>
      </c>
      <c r="Q70" s="58">
        <v>0</v>
      </c>
      <c r="R70" s="59">
        <v>0</v>
      </c>
      <c r="S70" s="38"/>
    </row>
    <row r="71" spans="1:19" ht="15.95" customHeight="1" thickBot="1" x14ac:dyDescent="0.3">
      <c r="B71" s="32"/>
      <c r="S71" s="38"/>
    </row>
    <row r="72" spans="1:19" ht="39" thickBot="1" x14ac:dyDescent="0.3">
      <c r="B72" s="32"/>
      <c r="C72" s="37" t="s">
        <v>45</v>
      </c>
      <c r="D72" s="45" t="s">
        <v>0</v>
      </c>
      <c r="E72" s="45" t="s">
        <v>1</v>
      </c>
      <c r="F72" s="45" t="s">
        <v>2</v>
      </c>
      <c r="G72" s="46" t="s">
        <v>3</v>
      </c>
      <c r="H72" s="45" t="s">
        <v>4</v>
      </c>
      <c r="I72" s="56" t="s">
        <v>5</v>
      </c>
      <c r="L72" s="37" t="s">
        <v>45</v>
      </c>
      <c r="M72" s="45" t="s">
        <v>0</v>
      </c>
      <c r="N72" s="45" t="s">
        <v>1</v>
      </c>
      <c r="O72" s="45" t="s">
        <v>2</v>
      </c>
      <c r="P72" s="46" t="s">
        <v>3</v>
      </c>
      <c r="Q72" s="45" t="s">
        <v>4</v>
      </c>
      <c r="R72" s="56" t="s">
        <v>5</v>
      </c>
      <c r="S72" s="38"/>
    </row>
    <row r="73" spans="1:19" ht="15.95" customHeight="1" thickBot="1" x14ac:dyDescent="0.3">
      <c r="B73" s="32"/>
      <c r="C73" s="23" t="s">
        <v>6</v>
      </c>
      <c r="D73" s="21">
        <v>0</v>
      </c>
      <c r="E73" s="21">
        <v>0</v>
      </c>
      <c r="F73" s="21">
        <v>0</v>
      </c>
      <c r="G73" s="20">
        <v>0</v>
      </c>
      <c r="H73" s="20">
        <v>0</v>
      </c>
      <c r="I73" s="54">
        <v>0</v>
      </c>
      <c r="L73" s="23" t="s">
        <v>6</v>
      </c>
      <c r="M73" s="21">
        <v>0</v>
      </c>
      <c r="N73" s="21">
        <v>0</v>
      </c>
      <c r="O73" s="21">
        <v>0</v>
      </c>
      <c r="P73" s="20">
        <v>0</v>
      </c>
      <c r="Q73" s="20">
        <v>0</v>
      </c>
      <c r="R73" s="54">
        <v>0</v>
      </c>
      <c r="S73" s="38"/>
    </row>
    <row r="74" spans="1:19" ht="15.95" customHeight="1" thickBot="1" x14ac:dyDescent="0.3">
      <c r="A74" s="38"/>
      <c r="C74" s="24" t="s">
        <v>9</v>
      </c>
      <c r="D74" s="22">
        <v>0</v>
      </c>
      <c r="E74" s="22">
        <v>0</v>
      </c>
      <c r="F74" s="22">
        <v>0</v>
      </c>
      <c r="G74" s="19">
        <v>0</v>
      </c>
      <c r="H74" s="19">
        <v>0</v>
      </c>
      <c r="I74" s="55">
        <v>0</v>
      </c>
      <c r="L74" s="24" t="s">
        <v>9</v>
      </c>
      <c r="M74" s="22">
        <v>0</v>
      </c>
      <c r="N74" s="22">
        <v>0</v>
      </c>
      <c r="O74" s="22">
        <v>0</v>
      </c>
      <c r="P74" s="19">
        <v>0</v>
      </c>
      <c r="Q74" s="19">
        <v>0</v>
      </c>
      <c r="R74" s="55">
        <v>0</v>
      </c>
      <c r="S74" s="38"/>
    </row>
    <row r="75" spans="1:19" ht="15.95" customHeight="1" thickBot="1" x14ac:dyDescent="0.3">
      <c r="A75" s="38"/>
      <c r="C75" s="24" t="s">
        <v>7</v>
      </c>
      <c r="D75" s="22">
        <v>0</v>
      </c>
      <c r="E75" s="22">
        <v>0</v>
      </c>
      <c r="F75" s="22">
        <v>0</v>
      </c>
      <c r="G75" s="19">
        <v>0</v>
      </c>
      <c r="H75" s="19">
        <v>0</v>
      </c>
      <c r="I75" s="55">
        <v>0</v>
      </c>
      <c r="L75" s="24" t="s">
        <v>7</v>
      </c>
      <c r="M75" s="22">
        <v>3.8237101999999998</v>
      </c>
      <c r="N75" s="22">
        <v>6.2347326000000001</v>
      </c>
      <c r="O75" s="22">
        <v>5.7992664999999999</v>
      </c>
      <c r="P75" s="19">
        <v>6.9058549999999999</v>
      </c>
      <c r="Q75" s="19">
        <v>2.2095552999999999</v>
      </c>
      <c r="R75" s="55">
        <v>10.347731</v>
      </c>
      <c r="S75" s="38"/>
    </row>
    <row r="76" spans="1:19" ht="15.95" customHeight="1" thickBot="1" x14ac:dyDescent="0.3">
      <c r="A76" s="38"/>
      <c r="C76" s="25" t="s">
        <v>8</v>
      </c>
      <c r="D76" s="57">
        <v>0</v>
      </c>
      <c r="E76" s="57">
        <v>0</v>
      </c>
      <c r="F76" s="57">
        <v>0</v>
      </c>
      <c r="G76" s="58">
        <v>0</v>
      </c>
      <c r="H76" s="58">
        <v>0</v>
      </c>
      <c r="I76" s="59">
        <v>0</v>
      </c>
      <c r="L76" s="25" t="s">
        <v>8</v>
      </c>
      <c r="M76" s="57">
        <v>0</v>
      </c>
      <c r="N76" s="57">
        <v>0</v>
      </c>
      <c r="O76" s="57">
        <v>0</v>
      </c>
      <c r="P76" s="58">
        <v>0</v>
      </c>
      <c r="Q76" s="58">
        <v>0</v>
      </c>
      <c r="R76" s="59">
        <v>0</v>
      </c>
      <c r="S76" s="38"/>
    </row>
    <row r="77" spans="1:19" ht="12.75" x14ac:dyDescent="0.25">
      <c r="A77" s="38"/>
      <c r="S77" s="38"/>
    </row>
    <row r="78" spans="1:19" ht="15.95" customHeight="1" thickBot="1" x14ac:dyDescent="0.3">
      <c r="B78" s="39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2"/>
    </row>
    <row r="79" spans="1:19" ht="15.95" customHeight="1" thickTop="1" thickBot="1" x14ac:dyDescent="0.3">
      <c r="B79" s="28"/>
      <c r="C79" s="28"/>
      <c r="D79" s="28"/>
      <c r="E79" s="28"/>
      <c r="F79" s="28"/>
      <c r="G79" s="28"/>
      <c r="H79" s="28"/>
      <c r="I79" s="28"/>
      <c r="J79" s="28"/>
      <c r="L79" s="44"/>
    </row>
    <row r="80" spans="1:19" ht="15.95" customHeight="1" thickTop="1" thickBot="1" x14ac:dyDescent="0.3">
      <c r="B80" s="27"/>
      <c r="C80" s="28"/>
      <c r="D80" s="28"/>
      <c r="E80" s="28"/>
      <c r="F80" s="28"/>
      <c r="G80" s="28"/>
      <c r="H80" s="28"/>
      <c r="I80" s="28"/>
      <c r="J80" s="29"/>
    </row>
    <row r="81" spans="2:16" ht="26.25" thickBot="1" x14ac:dyDescent="0.3">
      <c r="B81" s="30"/>
      <c r="C81" s="36" t="s">
        <v>44</v>
      </c>
      <c r="D81" s="45" t="s">
        <v>0</v>
      </c>
      <c r="E81" s="45" t="s">
        <v>1</v>
      </c>
      <c r="F81" s="45" t="s">
        <v>2</v>
      </c>
      <c r="G81" s="46" t="s">
        <v>3</v>
      </c>
      <c r="H81" s="45" t="s">
        <v>4</v>
      </c>
      <c r="I81" s="56" t="s">
        <v>5</v>
      </c>
      <c r="J81" s="31"/>
    </row>
    <row r="82" spans="2:16" ht="15.95" customHeight="1" thickBot="1" x14ac:dyDescent="0.3">
      <c r="B82" s="32"/>
      <c r="C82" s="23" t="s">
        <v>6</v>
      </c>
      <c r="D82" s="21">
        <v>0</v>
      </c>
      <c r="E82" s="21">
        <v>0</v>
      </c>
      <c r="F82" s="21">
        <v>0</v>
      </c>
      <c r="G82" s="20">
        <v>0</v>
      </c>
      <c r="H82" s="20">
        <v>0</v>
      </c>
      <c r="I82" s="54">
        <v>0</v>
      </c>
      <c r="J82" s="31"/>
    </row>
    <row r="83" spans="2:16" ht="15.95" customHeight="1" thickBot="1" x14ac:dyDescent="0.3">
      <c r="B83" s="32"/>
      <c r="C83" s="24" t="s">
        <v>9</v>
      </c>
      <c r="D83" s="22">
        <v>22</v>
      </c>
      <c r="E83" s="22">
        <v>22</v>
      </c>
      <c r="F83" s="22">
        <v>22</v>
      </c>
      <c r="G83" s="19">
        <v>22</v>
      </c>
      <c r="H83" s="19">
        <v>22</v>
      </c>
      <c r="I83" s="55">
        <v>22</v>
      </c>
      <c r="J83" s="31"/>
    </row>
    <row r="84" spans="2:16" ht="15.95" customHeight="1" thickBot="1" x14ac:dyDescent="0.3">
      <c r="B84" s="32"/>
      <c r="C84" s="24" t="s">
        <v>7</v>
      </c>
      <c r="D84" s="22">
        <v>20</v>
      </c>
      <c r="E84" s="22">
        <v>20</v>
      </c>
      <c r="F84" s="22">
        <v>20</v>
      </c>
      <c r="G84" s="19">
        <v>20</v>
      </c>
      <c r="H84" s="19">
        <v>20</v>
      </c>
      <c r="I84" s="55">
        <v>20</v>
      </c>
      <c r="J84" s="31"/>
    </row>
    <row r="85" spans="2:16" ht="15.95" customHeight="1" thickBot="1" x14ac:dyDescent="0.3">
      <c r="B85" s="32"/>
      <c r="C85" s="25" t="s">
        <v>8</v>
      </c>
      <c r="D85" s="57">
        <v>0</v>
      </c>
      <c r="E85" s="57">
        <v>0</v>
      </c>
      <c r="F85" s="57">
        <v>0</v>
      </c>
      <c r="G85" s="58">
        <v>0</v>
      </c>
      <c r="H85" s="58">
        <v>0</v>
      </c>
      <c r="I85" s="59">
        <v>0</v>
      </c>
      <c r="J85" s="31"/>
    </row>
    <row r="86" spans="2:16" ht="15.95" customHeight="1" thickBot="1" x14ac:dyDescent="0.3">
      <c r="B86" s="33"/>
      <c r="C86" s="26"/>
      <c r="D86" s="26"/>
      <c r="E86" s="26"/>
      <c r="F86" s="26"/>
      <c r="G86" s="26"/>
      <c r="H86" s="26"/>
      <c r="I86" s="26"/>
      <c r="J86" s="34"/>
    </row>
    <row r="87" spans="2:16" ht="15.95" customHeight="1" thickTop="1" thickBot="1" x14ac:dyDescent="0.3">
      <c r="B87" s="28"/>
      <c r="C87" s="28"/>
      <c r="D87" s="28"/>
      <c r="E87" s="28"/>
      <c r="F87" s="28"/>
      <c r="G87" s="28"/>
      <c r="H87" s="28"/>
      <c r="I87" s="28"/>
      <c r="J87" s="28"/>
    </row>
    <row r="88" spans="2:16" ht="15.95" customHeight="1" thickTop="1" thickBot="1" x14ac:dyDescent="0.3">
      <c r="C88" s="27"/>
      <c r="D88" s="28"/>
      <c r="E88" s="28"/>
      <c r="F88" s="29"/>
      <c r="H88" s="27"/>
      <c r="I88" s="28"/>
      <c r="J88" s="28"/>
      <c r="K88" s="29"/>
      <c r="M88" s="27"/>
      <c r="N88" s="28"/>
      <c r="O88" s="28"/>
      <c r="P88" s="29"/>
    </row>
    <row r="89" spans="2:16" ht="15.95" customHeight="1" thickBot="1" x14ac:dyDescent="0.3">
      <c r="C89" s="32"/>
      <c r="D89" s="73">
        <v>0</v>
      </c>
      <c r="E89" s="74">
        <v>1</v>
      </c>
      <c r="F89" s="31"/>
      <c r="H89" s="32"/>
      <c r="I89" s="73">
        <v>0</v>
      </c>
      <c r="J89" s="74">
        <v>1</v>
      </c>
      <c r="K89" s="31"/>
      <c r="M89" s="32"/>
      <c r="N89" s="73">
        <v>0</v>
      </c>
      <c r="O89" s="74">
        <v>0</v>
      </c>
      <c r="P89" s="31"/>
    </row>
    <row r="90" spans="2:16" ht="15.95" customHeight="1" thickBot="1" x14ac:dyDescent="0.3">
      <c r="C90" s="33"/>
      <c r="D90" s="26"/>
      <c r="E90" s="26"/>
      <c r="F90" s="34"/>
      <c r="H90" s="33"/>
      <c r="I90" s="26"/>
      <c r="J90" s="26"/>
      <c r="K90" s="34"/>
      <c r="M90" s="33"/>
      <c r="N90" s="26"/>
      <c r="O90" s="26"/>
      <c r="P90" s="34"/>
    </row>
    <row r="91" spans="2:16" ht="15.95" customHeight="1" thickTop="1" thickBot="1" x14ac:dyDescent="0.3"/>
    <row r="92" spans="2:16" ht="15.95" customHeight="1" thickTop="1" thickBot="1" x14ac:dyDescent="0.3">
      <c r="C92" s="27"/>
      <c r="D92" s="28"/>
      <c r="E92" s="28"/>
      <c r="F92" s="29"/>
      <c r="H92" s="27"/>
      <c r="I92" s="28"/>
      <c r="J92" s="28"/>
      <c r="K92" s="29"/>
    </row>
    <row r="93" spans="2:16" ht="15.95" customHeight="1" thickBot="1" x14ac:dyDescent="0.3">
      <c r="C93" s="32"/>
      <c r="D93" s="73">
        <v>0</v>
      </c>
      <c r="E93" s="74">
        <v>0</v>
      </c>
      <c r="F93" s="31"/>
      <c r="H93" s="32"/>
      <c r="I93" s="73">
        <v>0</v>
      </c>
      <c r="J93" s="74">
        <v>0</v>
      </c>
      <c r="K93" s="31"/>
    </row>
    <row r="94" spans="2:16" ht="15.95" customHeight="1" thickBot="1" x14ac:dyDescent="0.3">
      <c r="C94" s="33"/>
      <c r="D94" s="26"/>
      <c r="E94" s="26"/>
      <c r="F94" s="34"/>
      <c r="H94" s="33"/>
      <c r="I94" s="26"/>
      <c r="J94" s="26"/>
      <c r="K94" s="34"/>
    </row>
    <row r="95" spans="2:16" ht="15.95" customHeight="1" thickTop="1" x14ac:dyDescent="0.25"/>
  </sheetData>
  <mergeCells count="26">
    <mergeCell ref="W58:Y58"/>
    <mergeCell ref="W52:Y52"/>
    <mergeCell ref="W41:Y41"/>
    <mergeCell ref="AA41:AC41"/>
    <mergeCell ref="AE41:AG41"/>
    <mergeCell ref="AI41:AK41"/>
    <mergeCell ref="W27:AK27"/>
    <mergeCell ref="W29:Y29"/>
    <mergeCell ref="AA29:AC29"/>
    <mergeCell ref="AE29:AG29"/>
    <mergeCell ref="AI29:AK29"/>
    <mergeCell ref="W39:AK39"/>
    <mergeCell ref="BJ6:BN7"/>
    <mergeCell ref="W15:AK15"/>
    <mergeCell ref="W17:Y17"/>
    <mergeCell ref="AA17:AC17"/>
    <mergeCell ref="AE17:AG17"/>
    <mergeCell ref="AI17:AK17"/>
    <mergeCell ref="F1:M1"/>
    <mergeCell ref="AN1:AR1"/>
    <mergeCell ref="BJ1:BN2"/>
    <mergeCell ref="W3:AK3"/>
    <mergeCell ref="W5:Y5"/>
    <mergeCell ref="AA5:AC5"/>
    <mergeCell ref="AE5:AG5"/>
    <mergeCell ref="AI5:AK5"/>
  </mergeCells>
  <pageMargins left="0.7" right="0.7" top="0.75" bottom="0.75" header="0.3" footer="0.3"/>
  <drawing r:id="rId1"/>
  <legacyDrawing r:id="rId2"/>
  <tableParts count="16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32</vt:i4>
      </vt:variant>
    </vt:vector>
  </HeadingPairs>
  <TitlesOfParts>
    <vt:vector size="36" baseType="lpstr">
      <vt:lpstr>CarRental_I_Model_II (2)</vt:lpstr>
      <vt:lpstr>Data</vt:lpstr>
      <vt:lpstr>CarRental_I_Model</vt:lpstr>
      <vt:lpstr>CarRental_II_Model</vt:lpstr>
      <vt:lpstr>'CarRental_I_Model_II (2)'!b_1</vt:lpstr>
      <vt:lpstr>'CarRental_I_Model_II (2)'!b_2</vt:lpstr>
      <vt:lpstr>Birmingham_PerC</vt:lpstr>
      <vt:lpstr>Cars</vt:lpstr>
      <vt:lpstr>CarRental_II_Model!Cars_2</vt:lpstr>
      <vt:lpstr>Damage_Fee</vt:lpstr>
      <vt:lpstr>Damaged_CarsPerC</vt:lpstr>
      <vt:lpstr>Days</vt:lpstr>
      <vt:lpstr>CarRental_II_Model!Days_2</vt:lpstr>
      <vt:lpstr>'CarRental_I_Model_II (2)'!Discount_Amount</vt:lpstr>
      <vt:lpstr>CarRental_II_Model!Discount_Amount</vt:lpstr>
      <vt:lpstr>Discount_Amount</vt:lpstr>
      <vt:lpstr>Glasgow_PerC</vt:lpstr>
      <vt:lpstr>'CarRental_I_Model_II (2)'!m_1</vt:lpstr>
      <vt:lpstr>'CarRental_I_Model_II (2)'!m_2</vt:lpstr>
      <vt:lpstr>Manchester_PerC</vt:lpstr>
      <vt:lpstr>Opportunity_Cost</vt:lpstr>
      <vt:lpstr>'CarRental_I_Model_II (2)'!p_1</vt:lpstr>
      <vt:lpstr>Plymouth_PerC</vt:lpstr>
      <vt:lpstr>Undamaged_CarsPerC</vt:lpstr>
      <vt:lpstr>'CarRental_I_Model_II (2)'!variable_i</vt:lpstr>
      <vt:lpstr>CarRental_II_Model!variable_i</vt:lpstr>
      <vt:lpstr>variable_i</vt:lpstr>
      <vt:lpstr>'CarRental_I_Model_II (2)'!variable_j</vt:lpstr>
      <vt:lpstr>CarRental_II_Model!variable_j</vt:lpstr>
      <vt:lpstr>variable_j</vt:lpstr>
      <vt:lpstr>'CarRental_I_Model_II (2)'!variable_k</vt:lpstr>
      <vt:lpstr>CarRental_II_Model!variable_k</vt:lpstr>
      <vt:lpstr>variable_k</vt:lpstr>
      <vt:lpstr>'CarRental_I_Model_II (2)'!variable_t</vt:lpstr>
      <vt:lpstr>CarRental_II_Model!variable_t</vt:lpstr>
      <vt:lpstr>variable_t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LLR User</dc:creator>
  <cp:lastModifiedBy>AISWARYA GOURI UNNIKRISHNAN</cp:lastModifiedBy>
  <dcterms:created xsi:type="dcterms:W3CDTF">2015-06-05T18:17:20Z</dcterms:created>
  <dcterms:modified xsi:type="dcterms:W3CDTF">2024-01-16T17:11:04Z</dcterms:modified>
</cp:coreProperties>
</file>