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" sheetId="1" r:id="rId4"/>
    <sheet state="visible" name="4.2" sheetId="2" r:id="rId5"/>
    <sheet state="visible" name="4.3" sheetId="3" r:id="rId6"/>
    <sheet state="visible" name="4.4" sheetId="4" r:id="rId7"/>
    <sheet state="visible" name="4.5 a" sheetId="5" r:id="rId8"/>
    <sheet state="visible" name="4.5 b" sheetId="6" r:id="rId9"/>
  </sheets>
  <definedNames>
    <definedName name="h">'4.3'!$F$1</definedName>
    <definedName name="beta1">'4.5 b'!$F$3</definedName>
    <definedName name="alfa2">'4.5 a'!$N$2</definedName>
    <definedName name="alfa4">'4.5 b'!$P$3</definedName>
    <definedName name="g">'4.1'!$R$2</definedName>
    <definedName name="a">'4.2'!$F$28</definedName>
    <definedName name="b">'4.2'!$P$28</definedName>
    <definedName name="alfa3">'4.5 b'!$E$3</definedName>
    <definedName name="i">'4.3'!$I$3</definedName>
    <definedName name="j">'4.3'!$J$3</definedName>
    <definedName name="f">'4.2'!$AT$28</definedName>
    <definedName name="alfa1">'4.5 a'!$E$2</definedName>
    <definedName name="e">'4.2'!$F$28</definedName>
    <definedName name="d">'4.2'!$Z$28</definedName>
    <definedName name="beta2">'4.5 b'!$Q$3</definedName>
  </definedNames>
  <calcPr/>
  <extLst>
    <ext uri="GoogleSheetsCustomDataVersion1">
      <go:sheetsCustomData xmlns:go="http://customooxmlschemas.google.com/" r:id="rId10" roundtripDataSignature="AMtx7miQGKSXF11CrBn5izcBkAaZubyVdA=="/>
    </ext>
  </extLst>
</workbook>
</file>

<file path=xl/sharedStrings.xml><?xml version="1.0" encoding="utf-8"?>
<sst xmlns="http://schemas.openxmlformats.org/spreadsheetml/2006/main" count="481" uniqueCount="76">
  <si>
    <t>Tingkat pengangguran Kanada sebagai persentase dari angkatan kerja sipil antara tahun 1974 dan kuartal ketiga tahun 1975</t>
  </si>
  <si>
    <t>Peramalan dengan rataan bergerak tiga periode sebelumnya</t>
  </si>
  <si>
    <t>Peramalan dengan pemulusan eksponensial sederhana</t>
  </si>
  <si>
    <t xml:space="preserve">alpha = </t>
  </si>
  <si>
    <t>t</t>
  </si>
  <si>
    <t>Close (Yt)</t>
  </si>
  <si>
    <t>Forecast (Ft)</t>
  </si>
  <si>
    <t>Abs. Error</t>
  </si>
  <si>
    <t>Abs. Percent</t>
  </si>
  <si>
    <t>|Yt-Ft|</t>
  </si>
  <si>
    <t>|Yt-Ft|^2</t>
  </si>
  <si>
    <t>Error (%)</t>
  </si>
  <si>
    <t>Numerator</t>
  </si>
  <si>
    <t>Denomerator</t>
  </si>
  <si>
    <t>5,4</t>
  </si>
  <si>
    <t>5,3</t>
  </si>
  <si>
    <t>5,6</t>
  </si>
  <si>
    <t>6,9</t>
  </si>
  <si>
    <t>7,2</t>
  </si>
  <si>
    <t>Total</t>
  </si>
  <si>
    <t>MAE</t>
  </si>
  <si>
    <t>MSE</t>
  </si>
  <si>
    <t>MAPE</t>
  </si>
  <si>
    <t>Theil's U</t>
  </si>
  <si>
    <t>Penjualan pisau listrik untuk periode Januari 1991 sampai April 1992</t>
  </si>
  <si>
    <t>Peramalan dengan rataan bergerak lima periode sebelumnya</t>
  </si>
  <si>
    <t>Peramalan dengan rataan bergerak tujuh periode sebelumnya</t>
  </si>
  <si>
    <t>Peramalan dengan rataan bergerak sembilan periode sebelumnya</t>
  </si>
  <si>
    <t>Peramalan dengan rataan bergerak sebelas periode sebelumnya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</si>
  <si>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</si>
  <si>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</si>
  <si>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</si>
  <si>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</si>
  <si>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</si>
  <si>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</si>
  <si>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</si>
  <si>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</si>
  <si>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</si>
  <si>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</si>
  <si>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</si>
  <si>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</si>
  <si>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 =</t>
  </si>
  <si>
    <t>Peramalan Dengan Pemulusan Eksponensial Sederhana</t>
  </si>
  <si>
    <t>Peramalan dengan metode Hot's liniear trend</t>
  </si>
  <si>
    <t>Close(Yt)</t>
  </si>
  <si>
    <t>Absolute</t>
  </si>
  <si>
    <t>alpha</t>
  </si>
  <si>
    <t>beta</t>
  </si>
  <si>
    <t>F_(t+1)=αY_t+(1-α)F_t</t>
  </si>
  <si>
    <t>Data</t>
  </si>
  <si>
    <t>Level</t>
  </si>
  <si>
    <t>Trend</t>
  </si>
  <si>
    <t>Forecast (F)</t>
  </si>
  <si>
    <t>alpha / beta</t>
  </si>
  <si>
    <t>Nilai MAPE</t>
  </si>
  <si>
    <t>Indeks produksi industri Prancis untuk koran bulanannya</t>
  </si>
  <si>
    <t>Peramalan dengan rataan bergerak 12 periode sebelumnya</t>
  </si>
  <si>
    <t>Peramalan dengan rataan bergerak 6 periode sebelumnya</t>
  </si>
  <si>
    <t xml:space="preserve">Peramalan dengan pemulusan eksponensial sederhana </t>
  </si>
  <si>
    <t>Penjualan buku paperbacks</t>
  </si>
  <si>
    <t>Penjualan buku hardcover</t>
  </si>
  <si>
    <t>abs error [Yt-Ft]</t>
  </si>
  <si>
    <t>Squared Error[Yt-Ft]^2</t>
  </si>
  <si>
    <t>abs presentation error [(Yt-Ft)/Yt]</t>
  </si>
  <si>
    <t>Numerator [(Ft+1-Yt+1)/Yt]^2</t>
  </si>
  <si>
    <t>Denominator  [(Yt+1-Yt)/Yt]^2</t>
  </si>
  <si>
    <t>Squared Error [Yt-Ft]^2</t>
  </si>
  <si>
    <t>Theils'U</t>
  </si>
  <si>
    <t>Peramalan dengan pemulusan Holts Winter</t>
  </si>
  <si>
    <t>Penjualan Buku Paperbacks</t>
  </si>
  <si>
    <t>alfa</t>
  </si>
  <si>
    <t>Penjualan buku Hardcover</t>
  </si>
  <si>
    <t>Observed Data (Yt)</t>
  </si>
  <si>
    <t>Smoothing of Data (Lt)</t>
  </si>
  <si>
    <t>Smoothing of Trend (bt)</t>
  </si>
  <si>
    <t>Forecast (Ft) ketika m=1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</si>
</sst>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IDR&quot;#,##0.00"/>
    <numFmt numFmtId="165" formatCode="_(* #,##0.00_);_(* \(#,##0.00\);_(* &quot;-&quot;??_);_(@_)"/>
    <numFmt numFmtId="166" formatCode="#,##0.000"/>
    <numFmt numFmtId="167" formatCode="0.0000"/>
    <numFmt numFmtId="168" formatCode="0.0"/>
  </numFmts>
  <fonts count="11">
    <font>
      <sz val="12.0"/>
      <color theme="1"/>
      <name val="Calibri"/>
    </font>
    <font>
      <b/>
      <color theme="1"/>
      <name val="Calibri"/>
    </font>
    <font/>
    <font>
      <color theme="1"/>
      <name val="Calibri"/>
    </font>
    <font>
      <b/>
      <sz val="12.0"/>
      <color theme="1"/>
      <name val="Calibri"/>
    </font>
    <font>
      <sz val="12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theme="1"/>
      <name val="&quot;Cambria Math&quot;"/>
    </font>
    <font>
      <sz val="11.0"/>
      <color theme="1"/>
      <name val="&quot;Cambria Math&quot;"/>
    </font>
    <font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/>
    </xf>
    <xf borderId="4" fillId="2" fontId="1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/>
    </xf>
    <xf borderId="4" fillId="3" fontId="3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center" vertical="center"/>
    </xf>
    <xf borderId="4" fillId="0" fontId="0" numFmtId="49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6" fillId="0" fontId="2" numFmtId="0" xfId="0" applyBorder="1" applyFont="1"/>
    <xf borderId="4" fillId="0" fontId="0" numFmtId="164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4" fillId="0" fontId="3" numFmtId="2" xfId="0" applyAlignment="1" applyBorder="1" applyFont="1" applyNumberFormat="1">
      <alignment horizontal="center"/>
    </xf>
    <xf borderId="7" fillId="0" fontId="2" numFmtId="0" xfId="0" applyBorder="1" applyFont="1"/>
    <xf borderId="1" fillId="0" fontId="0" numFmtId="165" xfId="0" applyAlignment="1" applyBorder="1" applyFont="1" applyNumberFormat="1">
      <alignment horizontal="center"/>
    </xf>
    <xf borderId="4" fillId="0" fontId="0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8" fillId="4" fontId="4" numFmtId="0" xfId="0" applyAlignment="1" applyBorder="1" applyFill="1" applyFont="1">
      <alignment horizontal="center"/>
    </xf>
    <xf borderId="9" fillId="0" fontId="2" numFmtId="0" xfId="0" applyBorder="1" applyFont="1"/>
    <xf borderId="4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4" fillId="4" fontId="0" numFmtId="165" xfId="0" applyAlignment="1" applyBorder="1" applyFont="1" applyNumberFormat="1">
      <alignment horizontal="center"/>
    </xf>
    <xf borderId="4" fillId="4" fontId="3" numFmtId="2" xfId="0" applyAlignment="1" applyBorder="1" applyFont="1" applyNumberFormat="1">
      <alignment horizontal="center"/>
    </xf>
    <xf borderId="1" fillId="4" fontId="0" numFmtId="2" xfId="0" applyAlignment="1" applyBorder="1" applyFont="1" applyNumberFormat="1">
      <alignment horizontal="center"/>
    </xf>
    <xf borderId="4" fillId="4" fontId="0" numFmtId="2" xfId="0" applyAlignment="1" applyBorder="1" applyFont="1" applyNumberFormat="1">
      <alignment horizontal="center"/>
    </xf>
    <xf borderId="10" fillId="0" fontId="2" numFmtId="0" xfId="0" applyBorder="1" applyFont="1"/>
    <xf borderId="11" fillId="0" fontId="2" numFmtId="0" xfId="0" applyBorder="1" applyFont="1"/>
    <xf borderId="1" fillId="4" fontId="3" numFmtId="2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4" fillId="3" fontId="1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3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center"/>
    </xf>
    <xf borderId="4" fillId="0" fontId="7" numFmtId="2" xfId="0" applyAlignment="1" applyBorder="1" applyFont="1" applyNumberFormat="1">
      <alignment horizontal="center"/>
    </xf>
    <xf borderId="1" fillId="0" fontId="7" numFmtId="2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7" numFmtId="2" xfId="0" applyAlignment="1" applyFont="1" applyNumberFormat="1">
      <alignment horizontal="center"/>
    </xf>
    <xf borderId="0" fillId="0" fontId="0" numFmtId="49" xfId="0" applyAlignment="1" applyFont="1" applyNumberFormat="1">
      <alignment horizontal="center"/>
    </xf>
    <xf borderId="8" fillId="4" fontId="6" numFmtId="0" xfId="0" applyAlignment="1" applyBorder="1" applyFont="1">
      <alignment horizontal="center"/>
    </xf>
    <xf borderId="4" fillId="4" fontId="7" numFmtId="0" xfId="0" applyAlignment="1" applyBorder="1" applyFont="1">
      <alignment horizontal="center"/>
    </xf>
    <xf borderId="4" fillId="4" fontId="7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2" fontId="8" numFmtId="0" xfId="0" applyAlignment="1" applyBorder="1" applyFont="1">
      <alignment readingOrder="0"/>
    </xf>
    <xf borderId="4" fillId="2" fontId="6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4" fillId="0" fontId="0" numFmtId="1" xfId="0" applyAlignment="1" applyBorder="1" applyFont="1" applyNumberFormat="1">
      <alignment horizontal="center"/>
    </xf>
    <xf borderId="5" fillId="4" fontId="1" numFmtId="0" xfId="0" applyAlignment="1" applyBorder="1" applyFont="1">
      <alignment horizontal="center"/>
    </xf>
    <xf borderId="0" fillId="0" fontId="0" numFmtId="2" xfId="0" applyAlignment="1" applyFont="1" applyNumberFormat="1">
      <alignment horizontal="center"/>
    </xf>
    <xf borderId="4" fillId="2" fontId="6" numFmtId="0" xfId="0" applyAlignment="1" applyBorder="1" applyFont="1">
      <alignment horizontal="center" readingOrder="0" shrinkToFit="0" vertical="bottom" wrapText="0"/>
    </xf>
    <xf borderId="4" fillId="2" fontId="6" numFmtId="2" xfId="0" applyAlignment="1" applyBorder="1" applyFont="1" applyNumberFormat="1">
      <alignment horizontal="center" readingOrder="0" shrinkToFit="0" vertical="bottom" wrapText="0"/>
    </xf>
    <xf borderId="5" fillId="2" fontId="6" numFmtId="0" xfId="0" applyAlignment="1" applyBorder="1" applyFont="1">
      <alignment horizontal="center" readingOrder="0" shrinkToFit="0" vertical="bottom" wrapText="0"/>
    </xf>
    <xf borderId="1" fillId="2" fontId="6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3" fontId="7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4" fillId="4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4" fillId="0" fontId="3" numFmtId="166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4" fillId="0" fontId="5" numFmtId="2" xfId="0" applyAlignment="1" applyBorder="1" applyFont="1" applyNumberFormat="1">
      <alignment horizontal="center"/>
    </xf>
    <xf borderId="4" fillId="0" fontId="3" numFmtId="167" xfId="0" applyAlignment="1" applyBorder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4" fillId="0" fontId="10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8" fillId="3" fontId="1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4" fillId="3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left" readingOrder="0" vertical="center"/>
    </xf>
    <xf borderId="15" fillId="0" fontId="2" numFmtId="0" xfId="0" applyBorder="1" applyFont="1"/>
    <xf borderId="4" fillId="3" fontId="1" numFmtId="166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Border="1" applyFont="1"/>
    <xf borderId="4" fillId="0" fontId="10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167" xfId="0" applyBorder="1" applyFont="1" applyNumberFormat="1"/>
    <xf borderId="4" fillId="0" fontId="3" numFmtId="2" xfId="0" applyAlignment="1" applyBorder="1" applyFont="1" applyNumberFormat="1">
      <alignment readingOrder="0"/>
    </xf>
    <xf borderId="4" fillId="0" fontId="3" numFmtId="2" xfId="0" applyBorder="1" applyFont="1" applyNumberFormat="1"/>
    <xf borderId="1" fillId="4" fontId="3" numFmtId="168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285750</xdr:colOff>
      <xdr:row>1</xdr:row>
      <xdr:rowOff>19050</xdr:rowOff>
    </xdr:from>
    <xdr:ext cx="266700" cy="180975"/>
    <xdr:sp>
      <xdr:nvSpPr>
        <xdr:cNvPr id="3" name="Shape 3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114300</xdr:colOff>
      <xdr:row>3</xdr:row>
      <xdr:rowOff>0</xdr:rowOff>
    </xdr:from>
    <xdr:ext cx="1428750" cy="180975"/>
    <xdr:sp>
      <xdr:nvSpPr>
        <xdr:cNvPr id="4" name="Shape 4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27</xdr:row>
      <xdr:rowOff>19050</xdr:rowOff>
    </xdr:from>
    <xdr:ext cx="266700" cy="180975"/>
    <xdr:sp>
      <xdr:nvSpPr>
        <xdr:cNvPr id="3" name="Shape 3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114300</xdr:colOff>
      <xdr:row>29</xdr:row>
      <xdr:rowOff>0</xdr:rowOff>
    </xdr:from>
    <xdr:ext cx="1428750" cy="180975"/>
    <xdr:sp>
      <xdr:nvSpPr>
        <xdr:cNvPr id="5" name="Shape 5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285750</xdr:colOff>
      <xdr:row>27</xdr:row>
      <xdr:rowOff>19050</xdr:rowOff>
    </xdr:from>
    <xdr:ext cx="266700" cy="180975"/>
    <xdr:sp>
      <xdr:nvSpPr>
        <xdr:cNvPr id="3" name="Shape 3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114300</xdr:colOff>
      <xdr:row>29</xdr:row>
      <xdr:rowOff>0</xdr:rowOff>
    </xdr:from>
    <xdr:ext cx="1428750" cy="180975"/>
    <xdr:sp>
      <xdr:nvSpPr>
        <xdr:cNvPr id="4" name="Shape 4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25</xdr:col>
      <xdr:colOff>295275</xdr:colOff>
      <xdr:row>27</xdr:row>
      <xdr:rowOff>19050</xdr:rowOff>
    </xdr:from>
    <xdr:ext cx="266700" cy="180975"/>
    <xdr:sp>
      <xdr:nvSpPr>
        <xdr:cNvPr id="6" name="Shape 6"/>
        <xdr:cNvSpPr txBox="1"/>
      </xdr:nvSpPr>
      <xdr:spPr>
        <a:xfrm>
          <a:off x="5217413" y="3694275"/>
          <a:ext cx="257175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24</xdr:col>
      <xdr:colOff>104775</xdr:colOff>
      <xdr:row>29</xdr:row>
      <xdr:rowOff>0</xdr:rowOff>
    </xdr:from>
    <xdr:ext cx="1504950" cy="180975"/>
    <xdr:sp>
      <xdr:nvSpPr>
        <xdr:cNvPr id="7" name="Shape 7"/>
        <xdr:cNvSpPr txBox="1"/>
      </xdr:nvSpPr>
      <xdr:spPr>
        <a:xfrm>
          <a:off x="4598288" y="3694275"/>
          <a:ext cx="1495425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295275</xdr:colOff>
      <xdr:row>27</xdr:row>
      <xdr:rowOff>19050</xdr:rowOff>
    </xdr:from>
    <xdr:ext cx="266700" cy="180975"/>
    <xdr:sp>
      <xdr:nvSpPr>
        <xdr:cNvPr id="8" name="Shape 8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34</xdr:col>
      <xdr:colOff>104775</xdr:colOff>
      <xdr:row>29</xdr:row>
      <xdr:rowOff>0</xdr:rowOff>
    </xdr:from>
    <xdr:ext cx="1428750" cy="180975"/>
    <xdr:sp>
      <xdr:nvSpPr>
        <xdr:cNvPr id="4" name="Shape 4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45</xdr:col>
      <xdr:colOff>295275</xdr:colOff>
      <xdr:row>27</xdr:row>
      <xdr:rowOff>19050</xdr:rowOff>
    </xdr:from>
    <xdr:ext cx="266700" cy="180975"/>
    <xdr:sp>
      <xdr:nvSpPr>
        <xdr:cNvPr id="8" name="Shape 8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44</xdr:col>
      <xdr:colOff>104775</xdr:colOff>
      <xdr:row>29</xdr:row>
      <xdr:rowOff>0</xdr:rowOff>
    </xdr:from>
    <xdr:ext cx="1428750" cy="180975"/>
    <xdr:sp>
      <xdr:nvSpPr>
        <xdr:cNvPr id="4" name="Shape 4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</xdr:row>
      <xdr:rowOff>0</xdr:rowOff>
    </xdr:from>
    <xdr:ext cx="1428750" cy="180975"/>
    <xdr:sp>
      <xdr:nvSpPr>
        <xdr:cNvPr id="5" name="Shape 5"/>
        <xdr:cNvSpPr txBox="1"/>
      </xdr:nvSpPr>
      <xdr:spPr>
        <a:xfrm>
          <a:off x="4633818" y="3693887"/>
          <a:ext cx="14243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409575</xdr:colOff>
      <xdr:row>0</xdr:row>
      <xdr:rowOff>28575</xdr:rowOff>
    </xdr:from>
    <xdr:ext cx="266700" cy="180975"/>
    <xdr:sp>
      <xdr:nvSpPr>
        <xdr:cNvPr id="3" name="Shape 3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3</xdr:row>
      <xdr:rowOff>19050</xdr:rowOff>
    </xdr:from>
    <xdr:ext cx="1847850" cy="180975"/>
    <xdr:sp>
      <xdr:nvSpPr>
        <xdr:cNvPr id="9" name="Shape 9"/>
        <xdr:cNvSpPr txBox="1"/>
      </xdr:nvSpPr>
      <xdr:spPr>
        <a:xfrm>
          <a:off x="4425428" y="3693887"/>
          <a:ext cx="184114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)/6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</xdr:row>
      <xdr:rowOff>0</xdr:rowOff>
    </xdr:from>
    <xdr:ext cx="266700" cy="180975"/>
    <xdr:sp>
      <xdr:nvSpPr>
        <xdr:cNvPr id="3" name="Shape 3"/>
        <xdr:cNvSpPr txBox="1"/>
      </xdr:nvSpPr>
      <xdr:spPr>
        <a:xfrm>
          <a:off x="5213336" y="3693887"/>
          <a:ext cx="26532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4.56"/>
    <col customWidth="1" min="11" max="11" width="13.56"/>
    <col customWidth="1" min="12" max="21" width="10.56"/>
    <col customWidth="1" min="22" max="22" width="12.78"/>
    <col customWidth="1" min="23" max="26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 t="s">
        <v>0</v>
      </c>
      <c r="N1" s="2"/>
      <c r="O1" s="2"/>
      <c r="P1" s="2"/>
      <c r="Q1" s="2"/>
      <c r="R1" s="2"/>
      <c r="S1" s="2"/>
      <c r="T1" s="2"/>
      <c r="U1" s="2"/>
      <c r="V1" s="2"/>
      <c r="W1" s="3"/>
      <c r="X1" s="4"/>
      <c r="Y1" s="4"/>
      <c r="Z1" s="4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 t="s">
        <v>2</v>
      </c>
      <c r="N2" s="2"/>
      <c r="O2" s="2"/>
      <c r="P2" s="3"/>
      <c r="Q2" s="6" t="s">
        <v>3</v>
      </c>
      <c r="R2" s="7">
        <v>0.7</v>
      </c>
      <c r="S2" s="7"/>
      <c r="T2" s="7"/>
      <c r="U2" s="7"/>
      <c r="V2" s="7"/>
      <c r="W2" s="7"/>
      <c r="X2" s="4"/>
      <c r="Y2" s="4"/>
      <c r="Z2" s="4"/>
    </row>
    <row r="3" ht="15.75" customHeight="1">
      <c r="A3" s="8"/>
      <c r="B3" s="8"/>
      <c r="C3" s="8" t="s">
        <v>4</v>
      </c>
      <c r="D3" s="8" t="s">
        <v>5</v>
      </c>
      <c r="E3" s="9" t="s">
        <v>6</v>
      </c>
      <c r="F3" s="3"/>
      <c r="G3" s="8" t="s">
        <v>7</v>
      </c>
      <c r="H3" s="8"/>
      <c r="I3" s="8" t="s">
        <v>8</v>
      </c>
      <c r="J3" s="8"/>
      <c r="K3" s="8"/>
      <c r="L3" s="4"/>
      <c r="M3" s="10"/>
      <c r="N3" s="10"/>
      <c r="O3" s="10" t="s">
        <v>4</v>
      </c>
      <c r="P3" s="10" t="s">
        <v>5</v>
      </c>
      <c r="Q3" s="11" t="s">
        <v>6</v>
      </c>
      <c r="R3" s="3"/>
      <c r="S3" s="10" t="s">
        <v>7</v>
      </c>
      <c r="T3" s="10"/>
      <c r="U3" s="10" t="s">
        <v>8</v>
      </c>
      <c r="V3" s="10"/>
      <c r="W3" s="10"/>
      <c r="X3" s="4"/>
      <c r="Y3" s="4"/>
      <c r="Z3" s="4"/>
    </row>
    <row r="4" ht="15.75" customHeight="1">
      <c r="A4" s="8"/>
      <c r="B4" s="8"/>
      <c r="C4" s="8"/>
      <c r="D4" s="8"/>
      <c r="E4" s="9"/>
      <c r="F4" s="3"/>
      <c r="G4" s="8" t="s">
        <v>9</v>
      </c>
      <c r="H4" s="8" t="s">
        <v>10</v>
      </c>
      <c r="I4" s="8" t="s">
        <v>11</v>
      </c>
      <c r="J4" s="12" t="s">
        <v>12</v>
      </c>
      <c r="K4" s="12" t="s">
        <v>13</v>
      </c>
      <c r="L4" s="4"/>
      <c r="M4" s="10"/>
      <c r="N4" s="10"/>
      <c r="O4" s="10"/>
      <c r="P4" s="10"/>
      <c r="Q4" s="11"/>
      <c r="R4" s="3"/>
      <c r="S4" s="10" t="s">
        <v>9</v>
      </c>
      <c r="T4" s="10" t="s">
        <v>10</v>
      </c>
      <c r="U4" s="10" t="s">
        <v>11</v>
      </c>
      <c r="V4" s="13" t="s">
        <v>12</v>
      </c>
      <c r="W4" s="13" t="s">
        <v>13</v>
      </c>
      <c r="X4" s="4"/>
      <c r="Y4" s="4"/>
      <c r="Z4" s="4"/>
    </row>
    <row r="5" ht="15.75" customHeight="1">
      <c r="A5" s="14">
        <v>1974.0</v>
      </c>
      <c r="B5" s="7">
        <v>1.0</v>
      </c>
      <c r="C5" s="7">
        <v>1.0</v>
      </c>
      <c r="D5" s="15" t="s">
        <v>14</v>
      </c>
      <c r="E5" s="16"/>
      <c r="F5" s="3"/>
      <c r="G5" s="7"/>
      <c r="H5" s="7"/>
      <c r="I5" s="7"/>
      <c r="J5" s="7"/>
      <c r="K5" s="7"/>
      <c r="L5" s="4"/>
      <c r="M5" s="14">
        <v>1974.0</v>
      </c>
      <c r="N5" s="7">
        <v>1.0</v>
      </c>
      <c r="O5" s="7">
        <v>1.0</v>
      </c>
      <c r="P5" s="15" t="s">
        <v>14</v>
      </c>
      <c r="Q5" s="17">
        <v>5.4</v>
      </c>
      <c r="R5" s="3"/>
      <c r="S5" s="18"/>
      <c r="T5" s="18"/>
      <c r="U5" s="18"/>
      <c r="V5" s="7"/>
      <c r="W5" s="7"/>
      <c r="X5" s="4"/>
      <c r="Y5" s="4"/>
      <c r="Z5" s="4"/>
    </row>
    <row r="6" ht="15.75" customHeight="1">
      <c r="A6" s="19"/>
      <c r="B6" s="7">
        <v>2.0</v>
      </c>
      <c r="C6" s="7">
        <v>2.0</v>
      </c>
      <c r="D6" s="15" t="s">
        <v>15</v>
      </c>
      <c r="E6" s="16"/>
      <c r="F6" s="3"/>
      <c r="G6" s="7"/>
      <c r="H6" s="7"/>
      <c r="I6" s="7"/>
      <c r="J6" s="7"/>
      <c r="K6" s="20"/>
      <c r="L6" s="4"/>
      <c r="M6" s="19"/>
      <c r="N6" s="7">
        <v>2.0</v>
      </c>
      <c r="O6" s="7">
        <v>2.0</v>
      </c>
      <c r="P6" s="15" t="s">
        <v>15</v>
      </c>
      <c r="Q6" s="21">
        <f>P5*g+(1-g)*Q5</f>
        <v>5.4</v>
      </c>
      <c r="R6" s="3"/>
      <c r="S6" s="18">
        <f t="shared" ref="S6:S11" si="1">ABS(P6-Q6)</f>
        <v>0.1</v>
      </c>
      <c r="T6" s="18">
        <f t="shared" ref="T6:T11" si="2">S6^2</f>
        <v>0.01</v>
      </c>
      <c r="U6" s="18">
        <f t="shared" ref="U6:U11" si="3">(S6/P6)*100</f>
        <v>1.886792453</v>
      </c>
      <c r="V6" s="22">
        <f t="shared" ref="V6:V11" si="4">((Q7-P7)/P6)^2</f>
        <v>0.00003203987184</v>
      </c>
      <c r="W6" s="18">
        <f t="shared" ref="W6:W11" si="5">((P7-P6)/P6)^2</f>
        <v>0</v>
      </c>
      <c r="X6" s="4"/>
      <c r="Y6" s="4"/>
      <c r="Z6" s="4"/>
    </row>
    <row r="7" ht="15.75" customHeight="1">
      <c r="A7" s="19"/>
      <c r="B7" s="7">
        <v>3.0</v>
      </c>
      <c r="C7" s="7">
        <v>3.0</v>
      </c>
      <c r="D7" s="15" t="s">
        <v>15</v>
      </c>
      <c r="E7" s="16"/>
      <c r="F7" s="3"/>
      <c r="G7" s="7"/>
      <c r="H7" s="7"/>
      <c r="I7" s="7"/>
      <c r="J7" s="7"/>
      <c r="K7" s="7"/>
      <c r="L7" s="4"/>
      <c r="M7" s="19"/>
      <c r="N7" s="7">
        <v>3.0</v>
      </c>
      <c r="O7" s="7">
        <v>3.0</v>
      </c>
      <c r="P7" s="15" t="s">
        <v>15</v>
      </c>
      <c r="Q7" s="21">
        <f>P6*g+(1-g)*Q6</f>
        <v>5.33</v>
      </c>
      <c r="R7" s="3"/>
      <c r="S7" s="18">
        <f t="shared" si="1"/>
        <v>0.03</v>
      </c>
      <c r="T7" s="18">
        <f t="shared" si="2"/>
        <v>0.0009</v>
      </c>
      <c r="U7" s="18">
        <f t="shared" si="3"/>
        <v>0.5660377358</v>
      </c>
      <c r="V7" s="22">
        <f t="shared" si="4"/>
        <v>0.003014631541</v>
      </c>
      <c r="W7" s="18">
        <f t="shared" si="5"/>
        <v>0.003203987184</v>
      </c>
      <c r="X7" s="4"/>
      <c r="Y7" s="4"/>
      <c r="Z7" s="4"/>
    </row>
    <row r="8" ht="15.75" customHeight="1">
      <c r="A8" s="23"/>
      <c r="B8" s="7">
        <v>4.0</v>
      </c>
      <c r="C8" s="7">
        <v>4.0</v>
      </c>
      <c r="D8" s="15" t="s">
        <v>16</v>
      </c>
      <c r="E8" s="24">
        <f t="shared" ref="E8:E12" si="6">(D5+D6+D7)/3</f>
        <v>5.333333333</v>
      </c>
      <c r="F8" s="3"/>
      <c r="G8" s="25">
        <f t="shared" ref="G8:G11" si="7">ABS(D8-E8)</f>
        <v>0.2666666667</v>
      </c>
      <c r="H8" s="25">
        <f t="shared" ref="H8:H11" si="8">G8^2</f>
        <v>0.07111111111</v>
      </c>
      <c r="I8" s="25">
        <f t="shared" ref="I8:I11" si="9">(G8/D8)*100</f>
        <v>4.761904762</v>
      </c>
      <c r="J8" s="22">
        <f t="shared" ref="J8:J11" si="10">((E9-D9)/D8)^2</f>
        <v>0.07174744898</v>
      </c>
      <c r="K8" s="22">
        <f t="shared" ref="K8:K11" si="11">((D9-D8)/D8)^2</f>
        <v>0.05389030612</v>
      </c>
      <c r="L8" s="4"/>
      <c r="M8" s="23"/>
      <c r="N8" s="7">
        <v>4.0</v>
      </c>
      <c r="O8" s="7">
        <v>4.0</v>
      </c>
      <c r="P8" s="15" t="s">
        <v>16</v>
      </c>
      <c r="Q8" s="21">
        <f>P7*g+(1-g)*Q7</f>
        <v>5.309</v>
      </c>
      <c r="R8" s="3"/>
      <c r="S8" s="18">
        <f t="shared" si="1"/>
        <v>0.291</v>
      </c>
      <c r="T8" s="18">
        <f t="shared" si="2"/>
        <v>0.084681</v>
      </c>
      <c r="U8" s="18">
        <f t="shared" si="3"/>
        <v>5.196428571</v>
      </c>
      <c r="V8" s="22">
        <f t="shared" si="4"/>
        <v>0.0613712146</v>
      </c>
      <c r="W8" s="18">
        <f t="shared" si="5"/>
        <v>0.05389030612</v>
      </c>
      <c r="X8" s="4"/>
      <c r="Y8" s="4"/>
      <c r="Z8" s="4"/>
    </row>
    <row r="9" ht="15.75" customHeight="1">
      <c r="A9" s="14">
        <v>1975.0</v>
      </c>
      <c r="B9" s="7">
        <v>1.0</v>
      </c>
      <c r="C9" s="7">
        <v>5.0</v>
      </c>
      <c r="D9" s="15" t="s">
        <v>17</v>
      </c>
      <c r="E9" s="24">
        <f t="shared" si="6"/>
        <v>5.4</v>
      </c>
      <c r="F9" s="3"/>
      <c r="G9" s="25">
        <f t="shared" si="7"/>
        <v>1.5</v>
      </c>
      <c r="H9" s="25">
        <f t="shared" si="8"/>
        <v>2.25</v>
      </c>
      <c r="I9" s="25">
        <f t="shared" si="9"/>
        <v>21.73913043</v>
      </c>
      <c r="J9" s="22">
        <f t="shared" si="10"/>
        <v>0.03369973628</v>
      </c>
      <c r="K9" s="22">
        <f t="shared" si="11"/>
        <v>0.001890359168</v>
      </c>
      <c r="L9" s="4"/>
      <c r="M9" s="14">
        <v>1975.0</v>
      </c>
      <c r="N9" s="7">
        <v>1.0</v>
      </c>
      <c r="O9" s="7">
        <v>5.0</v>
      </c>
      <c r="P9" s="15" t="s">
        <v>17</v>
      </c>
      <c r="Q9" s="21">
        <f>P8*g+(1-g)*Q8</f>
        <v>5.5127</v>
      </c>
      <c r="R9" s="3"/>
      <c r="S9" s="18">
        <f t="shared" si="1"/>
        <v>1.3873</v>
      </c>
      <c r="T9" s="18">
        <f t="shared" si="2"/>
        <v>1.92460129</v>
      </c>
      <c r="U9" s="18">
        <f t="shared" si="3"/>
        <v>20.1057971</v>
      </c>
      <c r="V9" s="22">
        <f t="shared" si="4"/>
        <v>0.01077353741</v>
      </c>
      <c r="W9" s="18">
        <f t="shared" si="5"/>
        <v>0.001890359168</v>
      </c>
      <c r="X9" s="4"/>
      <c r="Y9" s="4"/>
      <c r="Z9" s="4"/>
    </row>
    <row r="10" ht="15.75" customHeight="1">
      <c r="A10" s="19"/>
      <c r="B10" s="7">
        <v>2.0</v>
      </c>
      <c r="C10" s="7">
        <v>6.0</v>
      </c>
      <c r="D10" s="15" t="s">
        <v>18</v>
      </c>
      <c r="E10" s="24">
        <f t="shared" si="6"/>
        <v>5.933333333</v>
      </c>
      <c r="F10" s="3"/>
      <c r="G10" s="25">
        <f t="shared" si="7"/>
        <v>1.266666667</v>
      </c>
      <c r="H10" s="25">
        <f t="shared" si="8"/>
        <v>1.604444444</v>
      </c>
      <c r="I10" s="25">
        <f t="shared" si="9"/>
        <v>17.59259259</v>
      </c>
      <c r="J10" s="22">
        <f t="shared" si="10"/>
        <v>0.007737482853</v>
      </c>
      <c r="K10" s="22">
        <f t="shared" si="11"/>
        <v>0</v>
      </c>
      <c r="L10" s="4"/>
      <c r="M10" s="19"/>
      <c r="N10" s="7">
        <v>2.0</v>
      </c>
      <c r="O10" s="7">
        <v>6.0</v>
      </c>
      <c r="P10" s="15" t="s">
        <v>18</v>
      </c>
      <c r="Q10" s="21">
        <f>P9*g+(1-g)*Q9</f>
        <v>6.48381</v>
      </c>
      <c r="R10" s="3"/>
      <c r="S10" s="18">
        <f t="shared" si="1"/>
        <v>0.71619</v>
      </c>
      <c r="T10" s="18">
        <f t="shared" si="2"/>
        <v>0.5129281161</v>
      </c>
      <c r="U10" s="18">
        <f t="shared" si="3"/>
        <v>9.947083333</v>
      </c>
      <c r="V10" s="22">
        <f t="shared" si="4"/>
        <v>0.0008905002016</v>
      </c>
      <c r="W10" s="18">
        <f t="shared" si="5"/>
        <v>0</v>
      </c>
      <c r="X10" s="4"/>
      <c r="Y10" s="4"/>
      <c r="Z10" s="4"/>
    </row>
    <row r="11" ht="15.75" customHeight="1">
      <c r="A11" s="19"/>
      <c r="B11" s="7">
        <v>3.0</v>
      </c>
      <c r="C11" s="7">
        <v>7.0</v>
      </c>
      <c r="D11" s="15" t="s">
        <v>18</v>
      </c>
      <c r="E11" s="24">
        <f t="shared" si="6"/>
        <v>6.566666667</v>
      </c>
      <c r="F11" s="3"/>
      <c r="G11" s="25">
        <f t="shared" si="7"/>
        <v>0.6333333333</v>
      </c>
      <c r="H11" s="25">
        <f t="shared" si="8"/>
        <v>0.4011111111</v>
      </c>
      <c r="I11" s="25">
        <f t="shared" si="9"/>
        <v>8.796296296</v>
      </c>
      <c r="J11" s="22">
        <f t="shared" si="10"/>
        <v>0.9724151235</v>
      </c>
      <c r="K11" s="22">
        <f t="shared" si="11"/>
        <v>1</v>
      </c>
      <c r="L11" s="4"/>
      <c r="M11" s="19"/>
      <c r="N11" s="7">
        <v>3.0</v>
      </c>
      <c r="O11" s="7">
        <v>7.0</v>
      </c>
      <c r="P11" s="15" t="s">
        <v>18</v>
      </c>
      <c r="Q11" s="21">
        <f>P10*g+(1-g)*Q10</f>
        <v>6.985143</v>
      </c>
      <c r="R11" s="3"/>
      <c r="S11" s="18">
        <f t="shared" si="1"/>
        <v>0.214857</v>
      </c>
      <c r="T11" s="18">
        <f t="shared" si="2"/>
        <v>0.04616353045</v>
      </c>
      <c r="U11" s="18">
        <f t="shared" si="3"/>
        <v>2.984125</v>
      </c>
      <c r="V11" s="22">
        <f t="shared" si="4"/>
        <v>0.982175395</v>
      </c>
      <c r="W11" s="18">
        <f t="shared" si="5"/>
        <v>1</v>
      </c>
      <c r="X11" s="4"/>
      <c r="Y11" s="4"/>
      <c r="Z11" s="4"/>
    </row>
    <row r="12" ht="15.75" customHeight="1">
      <c r="A12" s="23"/>
      <c r="B12" s="7">
        <v>4.0</v>
      </c>
      <c r="C12" s="7">
        <v>8.0</v>
      </c>
      <c r="D12" s="15"/>
      <c r="E12" s="24">
        <f t="shared" si="6"/>
        <v>7.1</v>
      </c>
      <c r="F12" s="3"/>
      <c r="G12" s="25"/>
      <c r="H12" s="25"/>
      <c r="I12" s="25"/>
      <c r="J12" s="22"/>
      <c r="K12" s="22"/>
      <c r="L12" s="4"/>
      <c r="M12" s="23"/>
      <c r="N12" s="7">
        <v>4.0</v>
      </c>
      <c r="O12" s="7">
        <v>8.0</v>
      </c>
      <c r="P12" s="15"/>
      <c r="Q12" s="21">
        <f>P11*g+(1-g)*Q11</f>
        <v>7.1355429</v>
      </c>
      <c r="R12" s="3"/>
      <c r="S12" s="18"/>
      <c r="T12" s="18"/>
      <c r="U12" s="18"/>
      <c r="V12" s="22"/>
      <c r="W12" s="18"/>
      <c r="X12" s="4"/>
      <c r="Y12" s="4"/>
      <c r="Z12" s="4"/>
    </row>
    <row r="13" ht="15.75" customHeight="1">
      <c r="A13" s="7"/>
      <c r="B13" s="7"/>
      <c r="C13" s="7"/>
      <c r="D13" s="7"/>
      <c r="E13" s="26"/>
      <c r="F13" s="3"/>
      <c r="G13" s="7"/>
      <c r="H13" s="7"/>
      <c r="I13" s="7"/>
      <c r="J13" s="22"/>
      <c r="K13" s="22"/>
      <c r="L13" s="4"/>
      <c r="M13" s="7"/>
      <c r="N13" s="7"/>
      <c r="O13" s="7"/>
      <c r="P13" s="7"/>
      <c r="Q13" s="21"/>
      <c r="R13" s="3"/>
      <c r="S13" s="18"/>
      <c r="T13" s="18"/>
      <c r="U13" s="18"/>
      <c r="V13" s="22"/>
      <c r="W13" s="22"/>
      <c r="X13" s="4"/>
      <c r="Y13" s="4"/>
      <c r="Z13" s="4"/>
    </row>
    <row r="14" ht="15.75" customHeight="1">
      <c r="A14" s="27" t="s">
        <v>19</v>
      </c>
      <c r="B14" s="28"/>
      <c r="C14" s="29"/>
      <c r="D14" s="29"/>
      <c r="E14" s="30"/>
      <c r="F14" s="3"/>
      <c r="G14" s="31">
        <f t="shared" ref="G14:I14" si="12">G8+G9+G10+G11</f>
        <v>3.666666667</v>
      </c>
      <c r="H14" s="31">
        <f t="shared" si="12"/>
        <v>4.326666667</v>
      </c>
      <c r="I14" s="31">
        <f t="shared" si="12"/>
        <v>52.88992409</v>
      </c>
      <c r="J14" s="32">
        <f t="shared" ref="J14:K14" si="13">J8+J9+J10</f>
        <v>0.1131846681</v>
      </c>
      <c r="K14" s="32">
        <f t="shared" si="13"/>
        <v>0.05578066529</v>
      </c>
      <c r="L14" s="4"/>
      <c r="M14" s="27" t="s">
        <v>19</v>
      </c>
      <c r="N14" s="28"/>
      <c r="O14" s="29"/>
      <c r="P14" s="29"/>
      <c r="Q14" s="33"/>
      <c r="R14" s="3"/>
      <c r="S14" s="34">
        <f t="shared" ref="S14:U14" si="14">S8+S9+S10+S11</f>
        <v>2.609347</v>
      </c>
      <c r="T14" s="34">
        <f t="shared" si="14"/>
        <v>2.568373937</v>
      </c>
      <c r="U14" s="34">
        <f t="shared" si="14"/>
        <v>38.23343401</v>
      </c>
      <c r="V14" s="32">
        <f t="shared" ref="V14:W14" si="15">V6+V7+V8+V9+V10</f>
        <v>0.07608192363</v>
      </c>
      <c r="W14" s="32">
        <f t="shared" si="15"/>
        <v>0.05898465247</v>
      </c>
      <c r="X14" s="4"/>
      <c r="Y14" s="4"/>
      <c r="Z14" s="4"/>
    </row>
    <row r="15" ht="15.75" customHeight="1">
      <c r="A15" s="35"/>
      <c r="B15" s="36"/>
      <c r="C15" s="29"/>
      <c r="D15" s="29"/>
      <c r="E15" s="30"/>
      <c r="F15" s="3"/>
      <c r="G15" s="31">
        <f t="shared" ref="G15:I15" si="16">G14/4</f>
        <v>0.9166666667</v>
      </c>
      <c r="H15" s="31">
        <f t="shared" si="16"/>
        <v>1.081666667</v>
      </c>
      <c r="I15" s="31">
        <f t="shared" si="16"/>
        <v>13.22248102</v>
      </c>
      <c r="J15" s="37">
        <f>(J14/K14)^(1/2)</f>
        <v>1.424465568</v>
      </c>
      <c r="K15" s="3"/>
      <c r="L15" s="4"/>
      <c r="M15" s="35"/>
      <c r="N15" s="36"/>
      <c r="O15" s="29"/>
      <c r="P15" s="29"/>
      <c r="Q15" s="33"/>
      <c r="R15" s="3"/>
      <c r="S15" s="34">
        <f t="shared" ref="S15:U15" si="17">S14/4</f>
        <v>0.65233675</v>
      </c>
      <c r="T15" s="34">
        <f t="shared" si="17"/>
        <v>0.6420934841</v>
      </c>
      <c r="U15" s="34">
        <f t="shared" si="17"/>
        <v>9.558358502</v>
      </c>
      <c r="V15" s="37">
        <f>(V14/W14)^(1/2)</f>
        <v>1.135719885</v>
      </c>
      <c r="W15" s="3"/>
      <c r="X15" s="4"/>
      <c r="Y15" s="4"/>
      <c r="Z15" s="4"/>
    </row>
    <row r="16" ht="15.75" customHeight="1">
      <c r="A16" s="35"/>
      <c r="B16" s="36"/>
      <c r="C16" s="29"/>
      <c r="D16" s="29"/>
      <c r="E16" s="30"/>
      <c r="F16" s="3"/>
      <c r="G16" s="29" t="s">
        <v>20</v>
      </c>
      <c r="H16" s="29" t="s">
        <v>21</v>
      </c>
      <c r="I16" s="29" t="s">
        <v>22</v>
      </c>
      <c r="J16" s="38" t="s">
        <v>23</v>
      </c>
      <c r="K16" s="3"/>
      <c r="L16" s="4"/>
      <c r="M16" s="39"/>
      <c r="N16" s="40"/>
      <c r="O16" s="29"/>
      <c r="P16" s="29"/>
      <c r="Q16" s="30"/>
      <c r="R16" s="3"/>
      <c r="S16" s="29" t="s">
        <v>20</v>
      </c>
      <c r="T16" s="29" t="s">
        <v>21</v>
      </c>
      <c r="U16" s="29" t="s">
        <v>22</v>
      </c>
      <c r="V16" s="38" t="s">
        <v>23</v>
      </c>
      <c r="W16" s="3"/>
      <c r="X16" s="4"/>
      <c r="Y16" s="4"/>
      <c r="Z16" s="4"/>
    </row>
    <row r="17" ht="15.75" customHeight="1">
      <c r="A17" s="39"/>
      <c r="B17" s="40"/>
      <c r="C17" s="29"/>
      <c r="D17" s="29"/>
      <c r="E17" s="30"/>
      <c r="F17" s="3"/>
      <c r="G17" s="29"/>
      <c r="H17" s="29"/>
      <c r="I17" s="29"/>
      <c r="J17" s="29"/>
      <c r="K17" s="2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3">
    <mergeCell ref="M2:P2"/>
    <mergeCell ref="A1:K1"/>
    <mergeCell ref="A2:K2"/>
    <mergeCell ref="M1:W1"/>
    <mergeCell ref="A9:A12"/>
    <mergeCell ref="A14:B17"/>
    <mergeCell ref="E4:F4"/>
    <mergeCell ref="E7:F7"/>
    <mergeCell ref="E3:F3"/>
    <mergeCell ref="E8:F8"/>
    <mergeCell ref="Q8:R8"/>
    <mergeCell ref="Q9:R9"/>
    <mergeCell ref="Q10:R10"/>
    <mergeCell ref="Q11:R11"/>
    <mergeCell ref="Q12:R12"/>
    <mergeCell ref="Q13:R13"/>
    <mergeCell ref="J16:K16"/>
    <mergeCell ref="J15:K15"/>
    <mergeCell ref="V16:W16"/>
    <mergeCell ref="V15:W15"/>
    <mergeCell ref="Q14:R14"/>
    <mergeCell ref="Q15:R15"/>
    <mergeCell ref="Q16:R16"/>
    <mergeCell ref="M14:N16"/>
    <mergeCell ref="Q3:R3"/>
    <mergeCell ref="Q4:R4"/>
    <mergeCell ref="A5:A8"/>
    <mergeCell ref="M5:M8"/>
    <mergeCell ref="Q5:R5"/>
    <mergeCell ref="Q6:R6"/>
    <mergeCell ref="Q7:R7"/>
    <mergeCell ref="E13:F13"/>
    <mergeCell ref="E14:F14"/>
    <mergeCell ref="E15:F15"/>
    <mergeCell ref="E16:F16"/>
    <mergeCell ref="E17:F17"/>
    <mergeCell ref="E5:F5"/>
    <mergeCell ref="E6:F6"/>
    <mergeCell ref="E9:F9"/>
    <mergeCell ref="M9:M12"/>
    <mergeCell ref="E10:F10"/>
    <mergeCell ref="E11:F11"/>
    <mergeCell ref="E12:F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9" width="10.56"/>
  </cols>
  <sheetData>
    <row r="1" ht="15.75" customHeight="1">
      <c r="A1" s="1" t="s">
        <v>24</v>
      </c>
      <c r="B1" s="2"/>
      <c r="C1" s="2"/>
      <c r="D1" s="2"/>
      <c r="E1" s="2"/>
      <c r="F1" s="2"/>
      <c r="G1" s="2"/>
      <c r="H1" s="2"/>
      <c r="I1" s="3"/>
      <c r="J1" s="4"/>
      <c r="K1" s="1" t="s">
        <v>24</v>
      </c>
      <c r="L1" s="2"/>
      <c r="M1" s="2"/>
      <c r="N1" s="2"/>
      <c r="O1" s="2"/>
      <c r="P1" s="2"/>
      <c r="Q1" s="2"/>
      <c r="R1" s="2"/>
      <c r="S1" s="2"/>
      <c r="T1" s="3"/>
      <c r="U1" s="4"/>
      <c r="V1" s="1" t="s">
        <v>24</v>
      </c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1" t="s">
        <v>24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4"/>
      <c r="AU1" s="1" t="s">
        <v>24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3"/>
      <c r="J2" s="4"/>
      <c r="K2" s="1" t="s">
        <v>25</v>
      </c>
      <c r="L2" s="2"/>
      <c r="M2" s="2"/>
      <c r="N2" s="2"/>
      <c r="O2" s="2"/>
      <c r="P2" s="2"/>
      <c r="Q2" s="2"/>
      <c r="R2" s="2"/>
      <c r="S2" s="2"/>
      <c r="T2" s="3"/>
      <c r="U2" s="4"/>
      <c r="V2" s="1" t="s">
        <v>26</v>
      </c>
      <c r="W2" s="2"/>
      <c r="X2" s="2"/>
      <c r="Y2" s="2"/>
      <c r="Z2" s="2"/>
      <c r="AA2" s="2"/>
      <c r="AB2" s="2"/>
      <c r="AC2" s="2"/>
      <c r="AD2" s="2"/>
      <c r="AE2" s="2"/>
      <c r="AF2" s="3"/>
      <c r="AG2" s="4"/>
      <c r="AH2" s="1" t="s">
        <v>27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4"/>
      <c r="AU2" s="1" t="s">
        <v>28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3"/>
    </row>
    <row r="3" ht="15.75" customHeight="1">
      <c r="A3" s="41"/>
      <c r="B3" s="41"/>
      <c r="C3" s="41" t="s">
        <v>4</v>
      </c>
      <c r="D3" s="41" t="s">
        <v>5</v>
      </c>
      <c r="E3" s="42" t="s">
        <v>6</v>
      </c>
      <c r="F3" s="3"/>
      <c r="G3" s="41" t="s">
        <v>7</v>
      </c>
      <c r="H3" s="41"/>
      <c r="I3" s="41" t="s">
        <v>8</v>
      </c>
      <c r="J3" s="4"/>
      <c r="K3" s="41"/>
      <c r="L3" s="41"/>
      <c r="M3" s="41" t="s">
        <v>4</v>
      </c>
      <c r="N3" s="41" t="s">
        <v>5</v>
      </c>
      <c r="O3" s="42" t="s">
        <v>6</v>
      </c>
      <c r="P3" s="2"/>
      <c r="Q3" s="3"/>
      <c r="R3" s="41" t="s">
        <v>7</v>
      </c>
      <c r="S3" s="41"/>
      <c r="T3" s="41" t="s">
        <v>8</v>
      </c>
      <c r="U3" s="4"/>
      <c r="V3" s="41"/>
      <c r="W3" s="41"/>
      <c r="X3" s="41" t="s">
        <v>4</v>
      </c>
      <c r="Y3" s="41" t="s">
        <v>5</v>
      </c>
      <c r="Z3" s="42" t="s">
        <v>6</v>
      </c>
      <c r="AA3" s="2"/>
      <c r="AB3" s="2"/>
      <c r="AC3" s="3"/>
      <c r="AD3" s="41" t="s">
        <v>7</v>
      </c>
      <c r="AE3" s="41"/>
      <c r="AF3" s="41" t="s">
        <v>8</v>
      </c>
      <c r="AG3" s="4"/>
      <c r="AH3" s="41"/>
      <c r="AI3" s="41"/>
      <c r="AJ3" s="41" t="s">
        <v>4</v>
      </c>
      <c r="AK3" s="41" t="s">
        <v>5</v>
      </c>
      <c r="AL3" s="42" t="s">
        <v>6</v>
      </c>
      <c r="AM3" s="2"/>
      <c r="AN3" s="2"/>
      <c r="AO3" s="2"/>
      <c r="AP3" s="3"/>
      <c r="AQ3" s="41" t="s">
        <v>7</v>
      </c>
      <c r="AR3" s="41"/>
      <c r="AS3" s="41" t="s">
        <v>8</v>
      </c>
      <c r="AT3" s="4"/>
      <c r="AU3" s="41"/>
      <c r="AV3" s="41"/>
      <c r="AW3" s="41" t="s">
        <v>4</v>
      </c>
      <c r="AX3" s="41" t="s">
        <v>5</v>
      </c>
      <c r="AY3" s="42" t="s">
        <v>6</v>
      </c>
      <c r="AZ3" s="2"/>
      <c r="BA3" s="2"/>
      <c r="BB3" s="2"/>
      <c r="BC3" s="2"/>
      <c r="BD3" s="3"/>
      <c r="BE3" s="41" t="s">
        <v>7</v>
      </c>
      <c r="BF3" s="41"/>
      <c r="BG3" s="41" t="s">
        <v>8</v>
      </c>
    </row>
    <row r="4" ht="15.75" customHeight="1">
      <c r="A4" s="41"/>
      <c r="B4" s="41"/>
      <c r="C4" s="41"/>
      <c r="D4" s="41"/>
      <c r="E4" s="42"/>
      <c r="F4" s="3"/>
      <c r="G4" s="41" t="s">
        <v>9</v>
      </c>
      <c r="H4" s="41" t="s">
        <v>10</v>
      </c>
      <c r="I4" s="41" t="s">
        <v>11</v>
      </c>
      <c r="J4" s="4"/>
      <c r="K4" s="41"/>
      <c r="L4" s="41"/>
      <c r="M4" s="41"/>
      <c r="N4" s="41"/>
      <c r="O4" s="42"/>
      <c r="P4" s="2"/>
      <c r="Q4" s="3"/>
      <c r="R4" s="41" t="s">
        <v>9</v>
      </c>
      <c r="S4" s="43" t="s">
        <v>10</v>
      </c>
      <c r="T4" s="41" t="s">
        <v>11</v>
      </c>
      <c r="U4" s="4"/>
      <c r="V4" s="41"/>
      <c r="W4" s="41"/>
      <c r="X4" s="41"/>
      <c r="Y4" s="41"/>
      <c r="Z4" s="42"/>
      <c r="AA4" s="2"/>
      <c r="AB4" s="2"/>
      <c r="AC4" s="3"/>
      <c r="AD4" s="41" t="s">
        <v>9</v>
      </c>
      <c r="AE4" s="43" t="s">
        <v>10</v>
      </c>
      <c r="AF4" s="41" t="s">
        <v>11</v>
      </c>
      <c r="AG4" s="4"/>
      <c r="AH4" s="41"/>
      <c r="AI4" s="41"/>
      <c r="AJ4" s="41"/>
      <c r="AK4" s="41"/>
      <c r="AL4" s="42"/>
      <c r="AM4" s="2"/>
      <c r="AN4" s="2"/>
      <c r="AO4" s="2"/>
      <c r="AP4" s="3"/>
      <c r="AQ4" s="43" t="s">
        <v>9</v>
      </c>
      <c r="AR4" s="43" t="s">
        <v>10</v>
      </c>
      <c r="AS4" s="41" t="s">
        <v>11</v>
      </c>
      <c r="AT4" s="4"/>
      <c r="AU4" s="41"/>
      <c r="AV4" s="41"/>
      <c r="AW4" s="41"/>
      <c r="AX4" s="41"/>
      <c r="AY4" s="42"/>
      <c r="AZ4" s="2"/>
      <c r="BA4" s="2"/>
      <c r="BB4" s="2"/>
      <c r="BC4" s="2"/>
      <c r="BD4" s="3"/>
      <c r="BE4" s="43" t="s">
        <v>9</v>
      </c>
      <c r="BF4" s="43" t="s">
        <v>10</v>
      </c>
      <c r="BG4" s="41" t="s">
        <v>11</v>
      </c>
    </row>
    <row r="5" ht="15.75" customHeight="1">
      <c r="A5" s="14">
        <v>1991.0</v>
      </c>
      <c r="B5" s="7" t="s">
        <v>29</v>
      </c>
      <c r="C5" s="7">
        <v>1.0</v>
      </c>
      <c r="D5" s="7">
        <v>19.0</v>
      </c>
      <c r="E5" s="16"/>
      <c r="F5" s="3"/>
      <c r="G5" s="7"/>
      <c r="H5" s="7"/>
      <c r="I5" s="7"/>
      <c r="J5" s="4"/>
      <c r="K5" s="14">
        <v>1991.0</v>
      </c>
      <c r="L5" s="7" t="s">
        <v>29</v>
      </c>
      <c r="M5" s="7">
        <v>1.0</v>
      </c>
      <c r="N5" s="7">
        <v>19.0</v>
      </c>
      <c r="O5" s="16"/>
      <c r="P5" s="2"/>
      <c r="Q5" s="3"/>
      <c r="R5" s="7"/>
      <c r="S5" s="7"/>
      <c r="T5" s="7"/>
      <c r="U5" s="4"/>
      <c r="V5" s="14">
        <v>1991.0</v>
      </c>
      <c r="W5" s="7" t="s">
        <v>29</v>
      </c>
      <c r="X5" s="7">
        <v>1.0</v>
      </c>
      <c r="Y5" s="7">
        <v>19.0</v>
      </c>
      <c r="Z5" s="16"/>
      <c r="AA5" s="2"/>
      <c r="AB5" s="2"/>
      <c r="AC5" s="3"/>
      <c r="AD5" s="7"/>
      <c r="AE5" s="7"/>
      <c r="AF5" s="7"/>
      <c r="AG5" s="4"/>
      <c r="AH5" s="14">
        <v>1991.0</v>
      </c>
      <c r="AI5" s="7" t="s">
        <v>29</v>
      </c>
      <c r="AJ5" s="7">
        <v>1.0</v>
      </c>
      <c r="AK5" s="7">
        <v>19.0</v>
      </c>
      <c r="AL5" s="16"/>
      <c r="AM5" s="2"/>
      <c r="AN5" s="2"/>
      <c r="AO5" s="2"/>
      <c r="AP5" s="3"/>
      <c r="AQ5" s="7"/>
      <c r="AR5" s="7"/>
      <c r="AS5" s="7"/>
      <c r="AT5" s="4"/>
      <c r="AU5" s="14">
        <v>1991.0</v>
      </c>
      <c r="AV5" s="7" t="s">
        <v>29</v>
      </c>
      <c r="AW5" s="7">
        <v>1.0</v>
      </c>
      <c r="AX5" s="7">
        <v>19.0</v>
      </c>
      <c r="AY5" s="16"/>
      <c r="AZ5" s="2"/>
      <c r="BA5" s="2"/>
      <c r="BB5" s="2"/>
      <c r="BC5" s="2"/>
      <c r="BD5" s="3"/>
      <c r="BE5" s="7"/>
      <c r="BF5" s="7"/>
      <c r="BG5" s="7"/>
    </row>
    <row r="6" ht="15.75" customHeight="1">
      <c r="A6" s="19"/>
      <c r="B6" s="7" t="s">
        <v>30</v>
      </c>
      <c r="C6" s="7">
        <v>2.0</v>
      </c>
      <c r="D6" s="7">
        <v>15.0</v>
      </c>
      <c r="E6" s="16"/>
      <c r="F6" s="3"/>
      <c r="G6" s="7"/>
      <c r="H6" s="7"/>
      <c r="I6" s="7"/>
      <c r="J6" s="4"/>
      <c r="K6" s="19"/>
      <c r="L6" s="7" t="s">
        <v>30</v>
      </c>
      <c r="M6" s="7">
        <v>2.0</v>
      </c>
      <c r="N6" s="7">
        <v>15.0</v>
      </c>
      <c r="O6" s="16"/>
      <c r="P6" s="2"/>
      <c r="Q6" s="3"/>
      <c r="R6" s="7"/>
      <c r="S6" s="7"/>
      <c r="T6" s="7"/>
      <c r="U6" s="4"/>
      <c r="V6" s="19"/>
      <c r="W6" s="7" t="s">
        <v>30</v>
      </c>
      <c r="X6" s="7">
        <v>2.0</v>
      </c>
      <c r="Y6" s="7">
        <v>15.0</v>
      </c>
      <c r="Z6" s="16"/>
      <c r="AA6" s="2"/>
      <c r="AB6" s="2"/>
      <c r="AC6" s="3"/>
      <c r="AD6" s="7"/>
      <c r="AE6" s="7"/>
      <c r="AF6" s="7"/>
      <c r="AG6" s="4"/>
      <c r="AH6" s="19"/>
      <c r="AI6" s="7" t="s">
        <v>30</v>
      </c>
      <c r="AJ6" s="7">
        <v>2.0</v>
      </c>
      <c r="AK6" s="7">
        <v>15.0</v>
      </c>
      <c r="AL6" s="16"/>
      <c r="AM6" s="2"/>
      <c r="AN6" s="2"/>
      <c r="AO6" s="2"/>
      <c r="AP6" s="3"/>
      <c r="AQ6" s="7"/>
      <c r="AR6" s="7"/>
      <c r="AS6" s="7"/>
      <c r="AT6" s="4"/>
      <c r="AU6" s="19"/>
      <c r="AV6" s="7" t="s">
        <v>30</v>
      </c>
      <c r="AW6" s="7">
        <v>2.0</v>
      </c>
      <c r="AX6" s="7">
        <v>15.0</v>
      </c>
      <c r="AY6" s="16"/>
      <c r="AZ6" s="2"/>
      <c r="BA6" s="2"/>
      <c r="BB6" s="2"/>
      <c r="BC6" s="2"/>
      <c r="BD6" s="3"/>
      <c r="BE6" s="7"/>
      <c r="BF6" s="7"/>
      <c r="BG6" s="7"/>
    </row>
    <row r="7" ht="15.75" customHeight="1">
      <c r="A7" s="19"/>
      <c r="B7" s="7" t="s">
        <v>31</v>
      </c>
      <c r="C7" s="7">
        <v>3.0</v>
      </c>
      <c r="D7" s="7">
        <v>39.0</v>
      </c>
      <c r="E7" s="16"/>
      <c r="F7" s="3"/>
      <c r="G7" s="7"/>
      <c r="H7" s="7"/>
      <c r="I7" s="7"/>
      <c r="J7" s="4"/>
      <c r="K7" s="19"/>
      <c r="L7" s="7" t="s">
        <v>31</v>
      </c>
      <c r="M7" s="7">
        <v>3.0</v>
      </c>
      <c r="N7" s="7">
        <v>39.0</v>
      </c>
      <c r="O7" s="16"/>
      <c r="P7" s="2"/>
      <c r="Q7" s="3"/>
      <c r="R7" s="7"/>
      <c r="S7" s="7"/>
      <c r="T7" s="7"/>
      <c r="U7" s="4"/>
      <c r="V7" s="19"/>
      <c r="W7" s="7" t="s">
        <v>31</v>
      </c>
      <c r="X7" s="7">
        <v>3.0</v>
      </c>
      <c r="Y7" s="7">
        <v>39.0</v>
      </c>
      <c r="Z7" s="16"/>
      <c r="AA7" s="2"/>
      <c r="AB7" s="2"/>
      <c r="AC7" s="3"/>
      <c r="AD7" s="7"/>
      <c r="AE7" s="7"/>
      <c r="AF7" s="7"/>
      <c r="AG7" s="4"/>
      <c r="AH7" s="19"/>
      <c r="AI7" s="7" t="s">
        <v>31</v>
      </c>
      <c r="AJ7" s="7">
        <v>3.0</v>
      </c>
      <c r="AK7" s="7">
        <v>39.0</v>
      </c>
      <c r="AL7" s="16"/>
      <c r="AM7" s="2"/>
      <c r="AN7" s="2"/>
      <c r="AO7" s="2"/>
      <c r="AP7" s="3"/>
      <c r="AQ7" s="7"/>
      <c r="AR7" s="7"/>
      <c r="AS7" s="7"/>
      <c r="AT7" s="4"/>
      <c r="AU7" s="19"/>
      <c r="AV7" s="7" t="s">
        <v>31</v>
      </c>
      <c r="AW7" s="7">
        <v>3.0</v>
      </c>
      <c r="AX7" s="7">
        <v>39.0</v>
      </c>
      <c r="AY7" s="16"/>
      <c r="AZ7" s="2"/>
      <c r="BA7" s="2"/>
      <c r="BB7" s="2"/>
      <c r="BC7" s="2"/>
      <c r="BD7" s="3"/>
      <c r="BE7" s="7"/>
      <c r="BF7" s="7"/>
      <c r="BG7" s="7"/>
    </row>
    <row r="8" ht="15.75" customHeight="1">
      <c r="A8" s="19"/>
      <c r="B8" s="7" t="s">
        <v>32</v>
      </c>
      <c r="C8" s="7">
        <v>4.0</v>
      </c>
      <c r="D8" s="7">
        <v>102.0</v>
      </c>
      <c r="E8" s="21">
        <f t="shared" ref="E8:E21" si="1">(D5+D6+D7)/3</f>
        <v>24.33333333</v>
      </c>
      <c r="F8" s="3"/>
      <c r="G8" s="18">
        <f t="shared" ref="G8:G20" si="2">ABS(D8-E8)</f>
        <v>77.66666667</v>
      </c>
      <c r="H8" s="18">
        <f t="shared" ref="H8:H20" si="3">G8^2</f>
        <v>6032.111111</v>
      </c>
      <c r="I8" s="18">
        <f>(G8/D8)*100</f>
        <v>76.14379085</v>
      </c>
      <c r="J8" s="4"/>
      <c r="K8" s="19"/>
      <c r="L8" s="7" t="s">
        <v>32</v>
      </c>
      <c r="M8" s="7">
        <v>4.0</v>
      </c>
      <c r="N8" s="7">
        <v>102.0</v>
      </c>
      <c r="O8" s="21"/>
      <c r="P8" s="2"/>
      <c r="Q8" s="3"/>
      <c r="R8" s="18"/>
      <c r="S8" s="18"/>
      <c r="T8" s="18"/>
      <c r="U8" s="4"/>
      <c r="V8" s="19"/>
      <c r="W8" s="7" t="s">
        <v>32</v>
      </c>
      <c r="X8" s="7">
        <v>4.0</v>
      </c>
      <c r="Y8" s="7">
        <v>102.0</v>
      </c>
      <c r="Z8" s="21"/>
      <c r="AA8" s="2"/>
      <c r="AB8" s="2"/>
      <c r="AC8" s="3"/>
      <c r="AD8" s="18"/>
      <c r="AE8" s="18"/>
      <c r="AF8" s="18"/>
      <c r="AG8" s="4"/>
      <c r="AH8" s="19"/>
      <c r="AI8" s="7" t="s">
        <v>32</v>
      </c>
      <c r="AJ8" s="7">
        <v>4.0</v>
      </c>
      <c r="AK8" s="7">
        <v>102.0</v>
      </c>
      <c r="AL8" s="21"/>
      <c r="AM8" s="2"/>
      <c r="AN8" s="2"/>
      <c r="AO8" s="2"/>
      <c r="AP8" s="3"/>
      <c r="AQ8" s="18"/>
      <c r="AR8" s="18"/>
      <c r="AS8" s="18"/>
      <c r="AT8" s="4"/>
      <c r="AU8" s="19"/>
      <c r="AV8" s="7" t="s">
        <v>32</v>
      </c>
      <c r="AW8" s="7">
        <v>4.0</v>
      </c>
      <c r="AX8" s="7">
        <v>102.0</v>
      </c>
      <c r="AY8" s="21"/>
      <c r="AZ8" s="2"/>
      <c r="BA8" s="2"/>
      <c r="BB8" s="2"/>
      <c r="BC8" s="2"/>
      <c r="BD8" s="3"/>
      <c r="BE8" s="18"/>
      <c r="BF8" s="18"/>
      <c r="BG8" s="18"/>
    </row>
    <row r="9" ht="15.75" customHeight="1">
      <c r="A9" s="19"/>
      <c r="B9" s="7" t="s">
        <v>33</v>
      </c>
      <c r="C9" s="7">
        <v>5.0</v>
      </c>
      <c r="D9" s="7">
        <v>90.0</v>
      </c>
      <c r="E9" s="21">
        <f t="shared" si="1"/>
        <v>52</v>
      </c>
      <c r="F9" s="3"/>
      <c r="G9" s="18">
        <f t="shared" si="2"/>
        <v>38</v>
      </c>
      <c r="H9" s="18">
        <f t="shared" si="3"/>
        <v>1444</v>
      </c>
      <c r="I9" s="18">
        <f>ABS(E9-F9)</f>
        <v>52</v>
      </c>
      <c r="J9" s="4"/>
      <c r="K9" s="19"/>
      <c r="L9" s="7" t="s">
        <v>33</v>
      </c>
      <c r="M9" s="7">
        <v>5.0</v>
      </c>
      <c r="N9" s="7">
        <v>90.0</v>
      </c>
      <c r="O9" s="21"/>
      <c r="P9" s="2"/>
      <c r="Q9" s="3"/>
      <c r="R9" s="18"/>
      <c r="S9" s="18"/>
      <c r="T9" s="18"/>
      <c r="U9" s="4"/>
      <c r="V9" s="19"/>
      <c r="W9" s="7" t="s">
        <v>33</v>
      </c>
      <c r="X9" s="7">
        <v>5.0</v>
      </c>
      <c r="Y9" s="7">
        <v>90.0</v>
      </c>
      <c r="Z9" s="21"/>
      <c r="AA9" s="2"/>
      <c r="AB9" s="2"/>
      <c r="AC9" s="3"/>
      <c r="AD9" s="18"/>
      <c r="AE9" s="18"/>
      <c r="AF9" s="18"/>
      <c r="AG9" s="4"/>
      <c r="AH9" s="19"/>
      <c r="AI9" s="7" t="s">
        <v>33</v>
      </c>
      <c r="AJ9" s="7">
        <v>5.0</v>
      </c>
      <c r="AK9" s="7">
        <v>90.0</v>
      </c>
      <c r="AL9" s="21"/>
      <c r="AM9" s="2"/>
      <c r="AN9" s="2"/>
      <c r="AO9" s="2"/>
      <c r="AP9" s="3"/>
      <c r="AQ9" s="18"/>
      <c r="AR9" s="18"/>
      <c r="AS9" s="18"/>
      <c r="AT9" s="4"/>
      <c r="AU9" s="19"/>
      <c r="AV9" s="7" t="s">
        <v>33</v>
      </c>
      <c r="AW9" s="7">
        <v>5.0</v>
      </c>
      <c r="AX9" s="7">
        <v>90.0</v>
      </c>
      <c r="AY9" s="21"/>
      <c r="AZ9" s="2"/>
      <c r="BA9" s="2"/>
      <c r="BB9" s="2"/>
      <c r="BC9" s="2"/>
      <c r="BD9" s="3"/>
      <c r="BE9" s="18"/>
      <c r="BF9" s="18"/>
      <c r="BG9" s="18"/>
    </row>
    <row r="10" ht="15.75" customHeight="1">
      <c r="A10" s="19"/>
      <c r="B10" s="7" t="s">
        <v>34</v>
      </c>
      <c r="C10" s="7">
        <v>6.0</v>
      </c>
      <c r="D10" s="7">
        <v>29.0</v>
      </c>
      <c r="E10" s="21">
        <f t="shared" si="1"/>
        <v>77</v>
      </c>
      <c r="F10" s="3"/>
      <c r="G10" s="18">
        <f t="shared" si="2"/>
        <v>48</v>
      </c>
      <c r="H10" s="18">
        <f t="shared" si="3"/>
        <v>2304</v>
      </c>
      <c r="I10" s="18">
        <f t="shared" ref="I10:I20" si="4">(G10/D10)*100</f>
        <v>165.5172414</v>
      </c>
      <c r="J10" s="4"/>
      <c r="K10" s="19"/>
      <c r="L10" s="7" t="s">
        <v>34</v>
      </c>
      <c r="M10" s="7">
        <v>6.0</v>
      </c>
      <c r="N10" s="7">
        <v>29.0</v>
      </c>
      <c r="O10" s="21">
        <f t="shared" ref="O10:O21" si="5">(N5+N6+N7+N8+N9)/5</f>
        <v>53</v>
      </c>
      <c r="P10" s="2"/>
      <c r="Q10" s="3"/>
      <c r="R10" s="18">
        <f t="shared" ref="R10:R20" si="6">ABS(N10-O10)</f>
        <v>24</v>
      </c>
      <c r="S10" s="18">
        <f t="shared" ref="S10:S20" si="7">R10^2</f>
        <v>576</v>
      </c>
      <c r="T10" s="18">
        <f t="shared" ref="T10:T20" si="8">(R10/N10)*100</f>
        <v>82.75862069</v>
      </c>
      <c r="U10" s="4"/>
      <c r="V10" s="19"/>
      <c r="W10" s="7" t="s">
        <v>34</v>
      </c>
      <c r="X10" s="7">
        <v>6.0</v>
      </c>
      <c r="Y10" s="7">
        <v>29.0</v>
      </c>
      <c r="Z10" s="21"/>
      <c r="AA10" s="2"/>
      <c r="AB10" s="2"/>
      <c r="AC10" s="3"/>
      <c r="AD10" s="18"/>
      <c r="AE10" s="18"/>
      <c r="AF10" s="18"/>
      <c r="AG10" s="4"/>
      <c r="AH10" s="19"/>
      <c r="AI10" s="7" t="s">
        <v>34</v>
      </c>
      <c r="AJ10" s="7">
        <v>6.0</v>
      </c>
      <c r="AK10" s="7">
        <v>29.0</v>
      </c>
      <c r="AL10" s="21"/>
      <c r="AM10" s="2"/>
      <c r="AN10" s="2"/>
      <c r="AO10" s="2"/>
      <c r="AP10" s="3"/>
      <c r="AQ10" s="18"/>
      <c r="AR10" s="18"/>
      <c r="AS10" s="18"/>
      <c r="AT10" s="4"/>
      <c r="AU10" s="19"/>
      <c r="AV10" s="7" t="s">
        <v>34</v>
      </c>
      <c r="AW10" s="7">
        <v>6.0</v>
      </c>
      <c r="AX10" s="7">
        <v>29.0</v>
      </c>
      <c r="AY10" s="21"/>
      <c r="AZ10" s="2"/>
      <c r="BA10" s="2"/>
      <c r="BB10" s="2"/>
      <c r="BC10" s="2"/>
      <c r="BD10" s="3"/>
      <c r="BE10" s="18"/>
      <c r="BF10" s="18"/>
      <c r="BG10" s="18"/>
    </row>
    <row r="11" ht="15.75" customHeight="1">
      <c r="A11" s="19"/>
      <c r="B11" s="7" t="s">
        <v>35</v>
      </c>
      <c r="C11" s="7">
        <v>7.0</v>
      </c>
      <c r="D11" s="7">
        <v>90.0</v>
      </c>
      <c r="E11" s="21">
        <f t="shared" si="1"/>
        <v>73.66666667</v>
      </c>
      <c r="F11" s="3"/>
      <c r="G11" s="18">
        <f t="shared" si="2"/>
        <v>16.33333333</v>
      </c>
      <c r="H11" s="18">
        <f t="shared" si="3"/>
        <v>266.7777778</v>
      </c>
      <c r="I11" s="18">
        <f t="shared" si="4"/>
        <v>18.14814815</v>
      </c>
      <c r="J11" s="4"/>
      <c r="K11" s="19"/>
      <c r="L11" s="7" t="s">
        <v>35</v>
      </c>
      <c r="M11" s="7">
        <v>7.0</v>
      </c>
      <c r="N11" s="7">
        <v>90.0</v>
      </c>
      <c r="O11" s="21">
        <f t="shared" si="5"/>
        <v>55</v>
      </c>
      <c r="P11" s="2"/>
      <c r="Q11" s="3"/>
      <c r="R11" s="18">
        <f t="shared" si="6"/>
        <v>35</v>
      </c>
      <c r="S11" s="18">
        <f t="shared" si="7"/>
        <v>1225</v>
      </c>
      <c r="T11" s="18">
        <f t="shared" si="8"/>
        <v>38.88888889</v>
      </c>
      <c r="U11" s="4"/>
      <c r="V11" s="19"/>
      <c r="W11" s="7" t="s">
        <v>35</v>
      </c>
      <c r="X11" s="7">
        <v>7.0</v>
      </c>
      <c r="Y11" s="7">
        <v>90.0</v>
      </c>
      <c r="Z11" s="21"/>
      <c r="AA11" s="2"/>
      <c r="AB11" s="2"/>
      <c r="AC11" s="3"/>
      <c r="AD11" s="18"/>
      <c r="AE11" s="18"/>
      <c r="AF11" s="18"/>
      <c r="AG11" s="4"/>
      <c r="AH11" s="19"/>
      <c r="AI11" s="7" t="s">
        <v>35</v>
      </c>
      <c r="AJ11" s="7">
        <v>7.0</v>
      </c>
      <c r="AK11" s="7">
        <v>90.0</v>
      </c>
      <c r="AL11" s="21"/>
      <c r="AM11" s="2"/>
      <c r="AN11" s="2"/>
      <c r="AO11" s="2"/>
      <c r="AP11" s="3"/>
      <c r="AQ11" s="18"/>
      <c r="AR11" s="18"/>
      <c r="AS11" s="18"/>
      <c r="AT11" s="4"/>
      <c r="AU11" s="19"/>
      <c r="AV11" s="7" t="s">
        <v>35</v>
      </c>
      <c r="AW11" s="7">
        <v>7.0</v>
      </c>
      <c r="AX11" s="7">
        <v>90.0</v>
      </c>
      <c r="AY11" s="21"/>
      <c r="AZ11" s="2"/>
      <c r="BA11" s="2"/>
      <c r="BB11" s="2"/>
      <c r="BC11" s="2"/>
      <c r="BD11" s="3"/>
      <c r="BE11" s="18"/>
      <c r="BF11" s="18"/>
      <c r="BG11" s="18"/>
    </row>
    <row r="12" ht="15.75" customHeight="1">
      <c r="A12" s="19"/>
      <c r="B12" s="7" t="s">
        <v>36</v>
      </c>
      <c r="C12" s="7">
        <v>8.0</v>
      </c>
      <c r="D12" s="7">
        <v>46.0</v>
      </c>
      <c r="E12" s="21">
        <f t="shared" si="1"/>
        <v>69.66666667</v>
      </c>
      <c r="F12" s="3"/>
      <c r="G12" s="18">
        <f t="shared" si="2"/>
        <v>23.66666667</v>
      </c>
      <c r="H12" s="18">
        <f t="shared" si="3"/>
        <v>560.1111111</v>
      </c>
      <c r="I12" s="18">
        <f t="shared" si="4"/>
        <v>51.44927536</v>
      </c>
      <c r="J12" s="4"/>
      <c r="K12" s="19"/>
      <c r="L12" s="7" t="s">
        <v>36</v>
      </c>
      <c r="M12" s="7">
        <v>8.0</v>
      </c>
      <c r="N12" s="7">
        <v>46.0</v>
      </c>
      <c r="O12" s="21">
        <f t="shared" si="5"/>
        <v>70</v>
      </c>
      <c r="P12" s="2"/>
      <c r="Q12" s="3"/>
      <c r="R12" s="18">
        <f t="shared" si="6"/>
        <v>24</v>
      </c>
      <c r="S12" s="18">
        <f t="shared" si="7"/>
        <v>576</v>
      </c>
      <c r="T12" s="18">
        <f t="shared" si="8"/>
        <v>52.17391304</v>
      </c>
      <c r="U12" s="4"/>
      <c r="V12" s="19"/>
      <c r="W12" s="7" t="s">
        <v>36</v>
      </c>
      <c r="X12" s="7">
        <v>8.0</v>
      </c>
      <c r="Y12" s="7">
        <v>46.0</v>
      </c>
      <c r="Z12" s="21">
        <f t="shared" ref="Z12:Z21" si="9">(Y5+Y6+Y7+Y8+Y9+Y10+Y11)/7</f>
        <v>54.85714286</v>
      </c>
      <c r="AA12" s="2"/>
      <c r="AB12" s="2"/>
      <c r="AC12" s="3"/>
      <c r="AD12" s="18">
        <f t="shared" ref="AD12:AD20" si="10">ABS(Y12-Z12)</f>
        <v>8.857142857</v>
      </c>
      <c r="AE12" s="18">
        <f t="shared" ref="AE12:AE20" si="11">AD12^2</f>
        <v>78.44897959</v>
      </c>
      <c r="AF12" s="18">
        <f t="shared" ref="AF12:AF20" si="12">(AD12/Y12)*100</f>
        <v>19.25465839</v>
      </c>
      <c r="AG12" s="4"/>
      <c r="AH12" s="19"/>
      <c r="AI12" s="7" t="s">
        <v>36</v>
      </c>
      <c r="AJ12" s="7">
        <v>8.0</v>
      </c>
      <c r="AK12" s="7">
        <v>46.0</v>
      </c>
      <c r="AL12" s="21"/>
      <c r="AM12" s="2"/>
      <c r="AN12" s="2"/>
      <c r="AO12" s="2"/>
      <c r="AP12" s="3"/>
      <c r="AQ12" s="18"/>
      <c r="AR12" s="18"/>
      <c r="AS12" s="18"/>
      <c r="AT12" s="4"/>
      <c r="AU12" s="19"/>
      <c r="AV12" s="7" t="s">
        <v>36</v>
      </c>
      <c r="AW12" s="7">
        <v>8.0</v>
      </c>
      <c r="AX12" s="7">
        <v>46.0</v>
      </c>
      <c r="AY12" s="21"/>
      <c r="AZ12" s="2"/>
      <c r="BA12" s="2"/>
      <c r="BB12" s="2"/>
      <c r="BC12" s="2"/>
      <c r="BD12" s="3"/>
      <c r="BE12" s="18"/>
      <c r="BF12" s="18"/>
      <c r="BG12" s="18"/>
    </row>
    <row r="13" ht="15.75" customHeight="1">
      <c r="A13" s="19"/>
      <c r="B13" s="7" t="s">
        <v>37</v>
      </c>
      <c r="C13" s="7">
        <v>9.0</v>
      </c>
      <c r="D13" s="7">
        <v>30.0</v>
      </c>
      <c r="E13" s="21">
        <f t="shared" si="1"/>
        <v>55</v>
      </c>
      <c r="F13" s="3"/>
      <c r="G13" s="18">
        <f t="shared" si="2"/>
        <v>25</v>
      </c>
      <c r="H13" s="18">
        <f t="shared" si="3"/>
        <v>625</v>
      </c>
      <c r="I13" s="18">
        <f t="shared" si="4"/>
        <v>83.33333333</v>
      </c>
      <c r="J13" s="4"/>
      <c r="K13" s="19"/>
      <c r="L13" s="7" t="s">
        <v>37</v>
      </c>
      <c r="M13" s="7">
        <v>9.0</v>
      </c>
      <c r="N13" s="7">
        <v>30.0</v>
      </c>
      <c r="O13" s="21">
        <f t="shared" si="5"/>
        <v>71.4</v>
      </c>
      <c r="P13" s="2"/>
      <c r="Q13" s="3"/>
      <c r="R13" s="18">
        <f t="shared" si="6"/>
        <v>41.4</v>
      </c>
      <c r="S13" s="18">
        <f t="shared" si="7"/>
        <v>1713.96</v>
      </c>
      <c r="T13" s="18">
        <f t="shared" si="8"/>
        <v>138</v>
      </c>
      <c r="U13" s="4"/>
      <c r="V13" s="19"/>
      <c r="W13" s="7" t="s">
        <v>37</v>
      </c>
      <c r="X13" s="7">
        <v>9.0</v>
      </c>
      <c r="Y13" s="7">
        <v>30.0</v>
      </c>
      <c r="Z13" s="21">
        <f t="shared" si="9"/>
        <v>58.71428571</v>
      </c>
      <c r="AA13" s="2"/>
      <c r="AB13" s="2"/>
      <c r="AC13" s="3"/>
      <c r="AD13" s="18">
        <f t="shared" si="10"/>
        <v>28.71428571</v>
      </c>
      <c r="AE13" s="18">
        <f t="shared" si="11"/>
        <v>824.5102041</v>
      </c>
      <c r="AF13" s="18">
        <f t="shared" si="12"/>
        <v>95.71428571</v>
      </c>
      <c r="AG13" s="4"/>
      <c r="AH13" s="19"/>
      <c r="AI13" s="7" t="s">
        <v>37</v>
      </c>
      <c r="AJ13" s="7">
        <v>9.0</v>
      </c>
      <c r="AK13" s="7">
        <v>30.0</v>
      </c>
      <c r="AL13" s="21"/>
      <c r="AM13" s="2"/>
      <c r="AN13" s="2"/>
      <c r="AO13" s="2"/>
      <c r="AP13" s="3"/>
      <c r="AQ13" s="18"/>
      <c r="AR13" s="18"/>
      <c r="AS13" s="18"/>
      <c r="AT13" s="4"/>
      <c r="AU13" s="19"/>
      <c r="AV13" s="7" t="s">
        <v>37</v>
      </c>
      <c r="AW13" s="7">
        <v>9.0</v>
      </c>
      <c r="AX13" s="7">
        <v>30.0</v>
      </c>
      <c r="AY13" s="21"/>
      <c r="AZ13" s="2"/>
      <c r="BA13" s="2"/>
      <c r="BB13" s="2"/>
      <c r="BC13" s="2"/>
      <c r="BD13" s="3"/>
      <c r="BE13" s="18"/>
      <c r="BF13" s="18"/>
      <c r="BG13" s="18"/>
    </row>
    <row r="14" ht="15.75" customHeight="1">
      <c r="A14" s="19"/>
      <c r="B14" s="7" t="s">
        <v>38</v>
      </c>
      <c r="C14" s="7">
        <v>10.0</v>
      </c>
      <c r="D14" s="7">
        <v>66.0</v>
      </c>
      <c r="E14" s="21">
        <f t="shared" si="1"/>
        <v>55.33333333</v>
      </c>
      <c r="F14" s="3"/>
      <c r="G14" s="18">
        <f t="shared" si="2"/>
        <v>10.66666667</v>
      </c>
      <c r="H14" s="18">
        <f t="shared" si="3"/>
        <v>113.7777778</v>
      </c>
      <c r="I14" s="18">
        <f t="shared" si="4"/>
        <v>16.16161616</v>
      </c>
      <c r="J14" s="4"/>
      <c r="K14" s="19"/>
      <c r="L14" s="7" t="s">
        <v>38</v>
      </c>
      <c r="M14" s="7">
        <v>10.0</v>
      </c>
      <c r="N14" s="7">
        <v>66.0</v>
      </c>
      <c r="O14" s="21">
        <f t="shared" si="5"/>
        <v>57</v>
      </c>
      <c r="P14" s="2"/>
      <c r="Q14" s="3"/>
      <c r="R14" s="18">
        <f t="shared" si="6"/>
        <v>9</v>
      </c>
      <c r="S14" s="18">
        <f t="shared" si="7"/>
        <v>81</v>
      </c>
      <c r="T14" s="18">
        <f t="shared" si="8"/>
        <v>13.63636364</v>
      </c>
      <c r="U14" s="4"/>
      <c r="V14" s="19"/>
      <c r="W14" s="7" t="s">
        <v>38</v>
      </c>
      <c r="X14" s="7">
        <v>10.0</v>
      </c>
      <c r="Y14" s="7">
        <v>66.0</v>
      </c>
      <c r="Z14" s="21">
        <f t="shared" si="9"/>
        <v>60.85714286</v>
      </c>
      <c r="AA14" s="2"/>
      <c r="AB14" s="2"/>
      <c r="AC14" s="3"/>
      <c r="AD14" s="18">
        <f t="shared" si="10"/>
        <v>5.142857143</v>
      </c>
      <c r="AE14" s="18">
        <f t="shared" si="11"/>
        <v>26.44897959</v>
      </c>
      <c r="AF14" s="18">
        <f t="shared" si="12"/>
        <v>7.792207792</v>
      </c>
      <c r="AG14" s="4"/>
      <c r="AH14" s="19"/>
      <c r="AI14" s="7" t="s">
        <v>38</v>
      </c>
      <c r="AJ14" s="7">
        <v>10.0</v>
      </c>
      <c r="AK14" s="7">
        <v>66.0</v>
      </c>
      <c r="AL14" s="21">
        <f t="shared" ref="AL14:AL21" si="13">(AK5+AK6+AK7+AK8+AK9+AK10+AK11+AK12+AK13)/9</f>
        <v>51.11111111</v>
      </c>
      <c r="AM14" s="2"/>
      <c r="AN14" s="2"/>
      <c r="AO14" s="2"/>
      <c r="AP14" s="3"/>
      <c r="AQ14" s="18">
        <f t="shared" ref="AQ14:AQ20" si="14">ABS(AK14-AL14)</f>
        <v>14.88888889</v>
      </c>
      <c r="AR14" s="18">
        <f t="shared" ref="AR14:AR20" si="15">AQ14^2</f>
        <v>221.6790123</v>
      </c>
      <c r="AS14" s="18">
        <f t="shared" ref="AS14:AS20" si="16">(AQ14/AK14)*100</f>
        <v>22.55892256</v>
      </c>
      <c r="AT14" s="4"/>
      <c r="AU14" s="19"/>
      <c r="AV14" s="7" t="s">
        <v>38</v>
      </c>
      <c r="AW14" s="7">
        <v>10.0</v>
      </c>
      <c r="AX14" s="7">
        <v>66.0</v>
      </c>
      <c r="AY14" s="21"/>
      <c r="AZ14" s="2"/>
      <c r="BA14" s="2"/>
      <c r="BB14" s="2"/>
      <c r="BC14" s="2"/>
      <c r="BD14" s="3"/>
      <c r="BE14" s="18"/>
      <c r="BF14" s="18"/>
      <c r="BG14" s="18"/>
    </row>
    <row r="15" ht="15.75" customHeight="1">
      <c r="A15" s="19"/>
      <c r="B15" s="7" t="s">
        <v>39</v>
      </c>
      <c r="C15" s="7">
        <v>11.0</v>
      </c>
      <c r="D15" s="7">
        <v>80.0</v>
      </c>
      <c r="E15" s="21">
        <f t="shared" si="1"/>
        <v>47.33333333</v>
      </c>
      <c r="F15" s="3"/>
      <c r="G15" s="18">
        <f t="shared" si="2"/>
        <v>32.66666667</v>
      </c>
      <c r="H15" s="18">
        <f t="shared" si="3"/>
        <v>1067.111111</v>
      </c>
      <c r="I15" s="18">
        <f t="shared" si="4"/>
        <v>40.83333333</v>
      </c>
      <c r="J15" s="4"/>
      <c r="K15" s="19"/>
      <c r="L15" s="7" t="s">
        <v>39</v>
      </c>
      <c r="M15" s="7">
        <v>11.0</v>
      </c>
      <c r="N15" s="7">
        <v>80.0</v>
      </c>
      <c r="O15" s="21">
        <f t="shared" si="5"/>
        <v>52.2</v>
      </c>
      <c r="P15" s="2"/>
      <c r="Q15" s="3"/>
      <c r="R15" s="18">
        <f t="shared" si="6"/>
        <v>27.8</v>
      </c>
      <c r="S15" s="18">
        <f t="shared" si="7"/>
        <v>772.84</v>
      </c>
      <c r="T15" s="18">
        <f t="shared" si="8"/>
        <v>34.75</v>
      </c>
      <c r="U15" s="4"/>
      <c r="V15" s="19"/>
      <c r="W15" s="7" t="s">
        <v>39</v>
      </c>
      <c r="X15" s="7">
        <v>11.0</v>
      </c>
      <c r="Y15" s="7">
        <v>80.0</v>
      </c>
      <c r="Z15" s="21">
        <f t="shared" si="9"/>
        <v>64.71428571</v>
      </c>
      <c r="AA15" s="2"/>
      <c r="AB15" s="2"/>
      <c r="AC15" s="3"/>
      <c r="AD15" s="18">
        <f t="shared" si="10"/>
        <v>15.28571429</v>
      </c>
      <c r="AE15" s="18">
        <f t="shared" si="11"/>
        <v>233.6530612</v>
      </c>
      <c r="AF15" s="18">
        <f t="shared" si="12"/>
        <v>19.10714286</v>
      </c>
      <c r="AG15" s="4"/>
      <c r="AH15" s="19"/>
      <c r="AI15" s="7" t="s">
        <v>39</v>
      </c>
      <c r="AJ15" s="7">
        <v>11.0</v>
      </c>
      <c r="AK15" s="7">
        <v>80.0</v>
      </c>
      <c r="AL15" s="21">
        <f t="shared" si="13"/>
        <v>56.33333333</v>
      </c>
      <c r="AM15" s="2"/>
      <c r="AN15" s="2"/>
      <c r="AO15" s="2"/>
      <c r="AP15" s="3"/>
      <c r="AQ15" s="18">
        <f t="shared" si="14"/>
        <v>23.66666667</v>
      </c>
      <c r="AR15" s="18">
        <f t="shared" si="15"/>
        <v>560.1111111</v>
      </c>
      <c r="AS15" s="18">
        <f t="shared" si="16"/>
        <v>29.58333333</v>
      </c>
      <c r="AT15" s="4"/>
      <c r="AU15" s="19"/>
      <c r="AV15" s="7" t="s">
        <v>39</v>
      </c>
      <c r="AW15" s="7">
        <v>11.0</v>
      </c>
      <c r="AX15" s="7">
        <v>80.0</v>
      </c>
      <c r="AY15" s="21"/>
      <c r="AZ15" s="2"/>
      <c r="BA15" s="2"/>
      <c r="BB15" s="2"/>
      <c r="BC15" s="2"/>
      <c r="BD15" s="3"/>
      <c r="BE15" s="18"/>
      <c r="BF15" s="18"/>
      <c r="BG15" s="18"/>
    </row>
    <row r="16" ht="15.75" customHeight="1">
      <c r="A16" s="23"/>
      <c r="B16" s="7" t="s">
        <v>40</v>
      </c>
      <c r="C16" s="7">
        <v>12.0</v>
      </c>
      <c r="D16" s="7">
        <v>89.0</v>
      </c>
      <c r="E16" s="21">
        <f t="shared" si="1"/>
        <v>58.66666667</v>
      </c>
      <c r="F16" s="3"/>
      <c r="G16" s="18">
        <f t="shared" si="2"/>
        <v>30.33333333</v>
      </c>
      <c r="H16" s="18">
        <f t="shared" si="3"/>
        <v>920.1111111</v>
      </c>
      <c r="I16" s="18">
        <f t="shared" si="4"/>
        <v>34.082397</v>
      </c>
      <c r="J16" s="4"/>
      <c r="K16" s="23"/>
      <c r="L16" s="7" t="s">
        <v>40</v>
      </c>
      <c r="M16" s="7">
        <v>12.0</v>
      </c>
      <c r="N16" s="7">
        <v>89.0</v>
      </c>
      <c r="O16" s="21">
        <f t="shared" si="5"/>
        <v>62.4</v>
      </c>
      <c r="P16" s="2"/>
      <c r="Q16" s="3"/>
      <c r="R16" s="18">
        <f t="shared" si="6"/>
        <v>26.6</v>
      </c>
      <c r="S16" s="18">
        <f t="shared" si="7"/>
        <v>707.56</v>
      </c>
      <c r="T16" s="18">
        <f t="shared" si="8"/>
        <v>29.88764045</v>
      </c>
      <c r="U16" s="4"/>
      <c r="V16" s="23"/>
      <c r="W16" s="7" t="s">
        <v>40</v>
      </c>
      <c r="X16" s="7">
        <v>12.0</v>
      </c>
      <c r="Y16" s="7">
        <v>89.0</v>
      </c>
      <c r="Z16" s="21">
        <f t="shared" si="9"/>
        <v>61.57142857</v>
      </c>
      <c r="AA16" s="2"/>
      <c r="AB16" s="2"/>
      <c r="AC16" s="3"/>
      <c r="AD16" s="18">
        <f t="shared" si="10"/>
        <v>27.42857143</v>
      </c>
      <c r="AE16" s="18">
        <f t="shared" si="11"/>
        <v>752.3265306</v>
      </c>
      <c r="AF16" s="18">
        <f t="shared" si="12"/>
        <v>30.81861958</v>
      </c>
      <c r="AG16" s="4"/>
      <c r="AH16" s="23"/>
      <c r="AI16" s="7" t="s">
        <v>40</v>
      </c>
      <c r="AJ16" s="7">
        <v>12.0</v>
      </c>
      <c r="AK16" s="7">
        <v>89.0</v>
      </c>
      <c r="AL16" s="21">
        <f t="shared" si="13"/>
        <v>63.55555556</v>
      </c>
      <c r="AM16" s="2"/>
      <c r="AN16" s="2"/>
      <c r="AO16" s="2"/>
      <c r="AP16" s="3"/>
      <c r="AQ16" s="18">
        <f t="shared" si="14"/>
        <v>25.44444444</v>
      </c>
      <c r="AR16" s="18">
        <f t="shared" si="15"/>
        <v>647.4197531</v>
      </c>
      <c r="AS16" s="18">
        <f t="shared" si="16"/>
        <v>28.58926342</v>
      </c>
      <c r="AT16" s="4"/>
      <c r="AU16" s="23"/>
      <c r="AV16" s="7" t="s">
        <v>40</v>
      </c>
      <c r="AW16" s="7">
        <v>12.0</v>
      </c>
      <c r="AX16" s="7">
        <v>89.0</v>
      </c>
      <c r="AY16" s="21">
        <f t="shared" ref="AY16:AY21" si="17">(AX5+AX6+AX7+AX8+AX9+AX10+AX11+AX12+AX13+AX14+AX15)/11</f>
        <v>55.09090909</v>
      </c>
      <c r="AZ16" s="2"/>
      <c r="BA16" s="2"/>
      <c r="BB16" s="2"/>
      <c r="BC16" s="2"/>
      <c r="BD16" s="3"/>
      <c r="BE16" s="18">
        <f t="shared" ref="BE16:BE20" si="18">ABS(AX16-AY16)</f>
        <v>33.90909091</v>
      </c>
      <c r="BF16" s="18">
        <f t="shared" ref="BF16:BF20" si="19">BE16^2</f>
        <v>1149.826446</v>
      </c>
      <c r="BG16" s="18">
        <f t="shared" ref="BG16:BG20" si="20">(BE16/AX16)*100</f>
        <v>38.10010215</v>
      </c>
    </row>
    <row r="17" ht="15.75" customHeight="1">
      <c r="A17" s="14">
        <v>1992.0</v>
      </c>
      <c r="B17" s="7" t="s">
        <v>29</v>
      </c>
      <c r="C17" s="7">
        <v>13.0</v>
      </c>
      <c r="D17" s="7">
        <v>82.0</v>
      </c>
      <c r="E17" s="21">
        <f t="shared" si="1"/>
        <v>78.33333333</v>
      </c>
      <c r="F17" s="3"/>
      <c r="G17" s="18">
        <f t="shared" si="2"/>
        <v>3.666666667</v>
      </c>
      <c r="H17" s="18">
        <f t="shared" si="3"/>
        <v>13.44444444</v>
      </c>
      <c r="I17" s="18">
        <f t="shared" si="4"/>
        <v>4.471544715</v>
      </c>
      <c r="J17" s="4"/>
      <c r="K17" s="14">
        <v>1992.0</v>
      </c>
      <c r="L17" s="7" t="s">
        <v>29</v>
      </c>
      <c r="M17" s="7">
        <v>13.0</v>
      </c>
      <c r="N17" s="7">
        <v>82.0</v>
      </c>
      <c r="O17" s="21">
        <f t="shared" si="5"/>
        <v>62.2</v>
      </c>
      <c r="P17" s="2"/>
      <c r="Q17" s="3"/>
      <c r="R17" s="18">
        <f t="shared" si="6"/>
        <v>19.8</v>
      </c>
      <c r="S17" s="18">
        <f t="shared" si="7"/>
        <v>392.04</v>
      </c>
      <c r="T17" s="18">
        <f t="shared" si="8"/>
        <v>24.14634146</v>
      </c>
      <c r="U17" s="4"/>
      <c r="V17" s="14">
        <v>1992.0</v>
      </c>
      <c r="W17" s="7" t="s">
        <v>29</v>
      </c>
      <c r="X17" s="7">
        <v>13.0</v>
      </c>
      <c r="Y17" s="7">
        <v>82.0</v>
      </c>
      <c r="Z17" s="21">
        <f t="shared" si="9"/>
        <v>61.42857143</v>
      </c>
      <c r="AA17" s="2"/>
      <c r="AB17" s="2"/>
      <c r="AC17" s="3"/>
      <c r="AD17" s="18">
        <f t="shared" si="10"/>
        <v>20.57142857</v>
      </c>
      <c r="AE17" s="18">
        <f t="shared" si="11"/>
        <v>423.1836735</v>
      </c>
      <c r="AF17" s="18">
        <f t="shared" si="12"/>
        <v>25.08710801</v>
      </c>
      <c r="AG17" s="4"/>
      <c r="AH17" s="14">
        <v>1992.0</v>
      </c>
      <c r="AI17" s="7" t="s">
        <v>29</v>
      </c>
      <c r="AJ17" s="7">
        <v>13.0</v>
      </c>
      <c r="AK17" s="7">
        <v>82.0</v>
      </c>
      <c r="AL17" s="21">
        <f t="shared" si="13"/>
        <v>69.11111111</v>
      </c>
      <c r="AM17" s="2"/>
      <c r="AN17" s="2"/>
      <c r="AO17" s="2"/>
      <c r="AP17" s="3"/>
      <c r="AQ17" s="18">
        <f t="shared" si="14"/>
        <v>12.88888889</v>
      </c>
      <c r="AR17" s="18">
        <f t="shared" si="15"/>
        <v>166.1234568</v>
      </c>
      <c r="AS17" s="18">
        <f t="shared" si="16"/>
        <v>15.71815718</v>
      </c>
      <c r="AT17" s="4"/>
      <c r="AU17" s="14">
        <v>1992.0</v>
      </c>
      <c r="AV17" s="7" t="s">
        <v>29</v>
      </c>
      <c r="AW17" s="7">
        <v>13.0</v>
      </c>
      <c r="AX17" s="7">
        <v>82.0</v>
      </c>
      <c r="AY17" s="21">
        <f t="shared" si="17"/>
        <v>61.45454545</v>
      </c>
      <c r="AZ17" s="2"/>
      <c r="BA17" s="2"/>
      <c r="BB17" s="2"/>
      <c r="BC17" s="2"/>
      <c r="BD17" s="3"/>
      <c r="BE17" s="18">
        <f t="shared" si="18"/>
        <v>20.54545455</v>
      </c>
      <c r="BF17" s="18">
        <f t="shared" si="19"/>
        <v>422.1157025</v>
      </c>
      <c r="BG17" s="18">
        <f t="shared" si="20"/>
        <v>25.05543237</v>
      </c>
    </row>
    <row r="18" ht="15.75" customHeight="1">
      <c r="A18" s="19"/>
      <c r="B18" s="7" t="s">
        <v>30</v>
      </c>
      <c r="C18" s="7">
        <v>14.0</v>
      </c>
      <c r="D18" s="7">
        <v>17.0</v>
      </c>
      <c r="E18" s="21">
        <f t="shared" si="1"/>
        <v>83.66666667</v>
      </c>
      <c r="F18" s="3"/>
      <c r="G18" s="18">
        <f t="shared" si="2"/>
        <v>66.66666667</v>
      </c>
      <c r="H18" s="18">
        <f t="shared" si="3"/>
        <v>4444.444444</v>
      </c>
      <c r="I18" s="18">
        <f t="shared" si="4"/>
        <v>392.1568627</v>
      </c>
      <c r="J18" s="4"/>
      <c r="K18" s="19"/>
      <c r="L18" s="7" t="s">
        <v>30</v>
      </c>
      <c r="M18" s="7">
        <v>14.0</v>
      </c>
      <c r="N18" s="7">
        <v>17.0</v>
      </c>
      <c r="O18" s="21">
        <f t="shared" si="5"/>
        <v>69.4</v>
      </c>
      <c r="P18" s="2"/>
      <c r="Q18" s="3"/>
      <c r="R18" s="18">
        <f t="shared" si="6"/>
        <v>52.4</v>
      </c>
      <c r="S18" s="18">
        <f t="shared" si="7"/>
        <v>2745.76</v>
      </c>
      <c r="T18" s="18">
        <f t="shared" si="8"/>
        <v>308.2352941</v>
      </c>
      <c r="U18" s="4"/>
      <c r="V18" s="19"/>
      <c r="W18" s="7" t="s">
        <v>30</v>
      </c>
      <c r="X18" s="7">
        <v>14.0</v>
      </c>
      <c r="Y18" s="7">
        <v>17.0</v>
      </c>
      <c r="Z18" s="21">
        <f t="shared" si="9"/>
        <v>69</v>
      </c>
      <c r="AA18" s="2"/>
      <c r="AB18" s="2"/>
      <c r="AC18" s="3"/>
      <c r="AD18" s="18">
        <f t="shared" si="10"/>
        <v>52</v>
      </c>
      <c r="AE18" s="18">
        <f t="shared" si="11"/>
        <v>2704</v>
      </c>
      <c r="AF18" s="18">
        <f t="shared" si="12"/>
        <v>305.8823529</v>
      </c>
      <c r="AG18" s="4"/>
      <c r="AH18" s="19"/>
      <c r="AI18" s="7" t="s">
        <v>30</v>
      </c>
      <c r="AJ18" s="7">
        <v>14.0</v>
      </c>
      <c r="AK18" s="7">
        <v>17.0</v>
      </c>
      <c r="AL18" s="21">
        <f t="shared" si="13"/>
        <v>66.88888889</v>
      </c>
      <c r="AM18" s="2"/>
      <c r="AN18" s="2"/>
      <c r="AO18" s="2"/>
      <c r="AP18" s="3"/>
      <c r="AQ18" s="18">
        <f t="shared" si="14"/>
        <v>49.88888889</v>
      </c>
      <c r="AR18" s="18">
        <f t="shared" si="15"/>
        <v>2488.901235</v>
      </c>
      <c r="AS18" s="18">
        <f t="shared" si="16"/>
        <v>293.4640523</v>
      </c>
      <c r="AT18" s="4"/>
      <c r="AU18" s="19"/>
      <c r="AV18" s="7" t="s">
        <v>30</v>
      </c>
      <c r="AW18" s="7">
        <v>14.0</v>
      </c>
      <c r="AX18" s="7">
        <v>17.0</v>
      </c>
      <c r="AY18" s="21">
        <f t="shared" si="17"/>
        <v>67.54545455</v>
      </c>
      <c r="AZ18" s="2"/>
      <c r="BA18" s="2"/>
      <c r="BB18" s="2"/>
      <c r="BC18" s="2"/>
      <c r="BD18" s="3"/>
      <c r="BE18" s="18">
        <f t="shared" si="18"/>
        <v>50.54545455</v>
      </c>
      <c r="BF18" s="18">
        <f t="shared" si="19"/>
        <v>2554.842975</v>
      </c>
      <c r="BG18" s="18">
        <f t="shared" si="20"/>
        <v>297.3262032</v>
      </c>
    </row>
    <row r="19" ht="15.75" customHeight="1">
      <c r="A19" s="19"/>
      <c r="B19" s="7" t="s">
        <v>31</v>
      </c>
      <c r="C19" s="7">
        <v>15.0</v>
      </c>
      <c r="D19" s="7">
        <v>26.0</v>
      </c>
      <c r="E19" s="21">
        <f t="shared" si="1"/>
        <v>62.66666667</v>
      </c>
      <c r="F19" s="3"/>
      <c r="G19" s="18">
        <f t="shared" si="2"/>
        <v>36.66666667</v>
      </c>
      <c r="H19" s="18">
        <f t="shared" si="3"/>
        <v>1344.444444</v>
      </c>
      <c r="I19" s="18">
        <f t="shared" si="4"/>
        <v>141.025641</v>
      </c>
      <c r="J19" s="4"/>
      <c r="K19" s="19"/>
      <c r="L19" s="7" t="s">
        <v>31</v>
      </c>
      <c r="M19" s="7">
        <v>15.0</v>
      </c>
      <c r="N19" s="7">
        <v>26.0</v>
      </c>
      <c r="O19" s="21">
        <f t="shared" si="5"/>
        <v>66.8</v>
      </c>
      <c r="P19" s="2"/>
      <c r="Q19" s="3"/>
      <c r="R19" s="18">
        <f t="shared" si="6"/>
        <v>40.8</v>
      </c>
      <c r="S19" s="18">
        <f t="shared" si="7"/>
        <v>1664.64</v>
      </c>
      <c r="T19" s="18">
        <f t="shared" si="8"/>
        <v>156.9230769</v>
      </c>
      <c r="U19" s="4"/>
      <c r="V19" s="19"/>
      <c r="W19" s="7" t="s">
        <v>31</v>
      </c>
      <c r="X19" s="7">
        <v>15.0</v>
      </c>
      <c r="Y19" s="7">
        <v>26.0</v>
      </c>
      <c r="Z19" s="21">
        <f t="shared" si="9"/>
        <v>58.57142857</v>
      </c>
      <c r="AA19" s="2"/>
      <c r="AB19" s="2"/>
      <c r="AC19" s="3"/>
      <c r="AD19" s="18">
        <f t="shared" si="10"/>
        <v>32.57142857</v>
      </c>
      <c r="AE19" s="18">
        <f t="shared" si="11"/>
        <v>1060.897959</v>
      </c>
      <c r="AF19" s="18">
        <f t="shared" si="12"/>
        <v>125.2747253</v>
      </c>
      <c r="AG19" s="4"/>
      <c r="AH19" s="19"/>
      <c r="AI19" s="7" t="s">
        <v>31</v>
      </c>
      <c r="AJ19" s="7">
        <v>15.0</v>
      </c>
      <c r="AK19" s="7">
        <v>26.0</v>
      </c>
      <c r="AL19" s="21">
        <f t="shared" si="13"/>
        <v>58.77777778</v>
      </c>
      <c r="AM19" s="2"/>
      <c r="AN19" s="2"/>
      <c r="AO19" s="2"/>
      <c r="AP19" s="3"/>
      <c r="AQ19" s="18">
        <f t="shared" si="14"/>
        <v>32.77777778</v>
      </c>
      <c r="AR19" s="18">
        <f t="shared" si="15"/>
        <v>1074.382716</v>
      </c>
      <c r="AS19" s="18">
        <f t="shared" si="16"/>
        <v>126.0683761</v>
      </c>
      <c r="AT19" s="4"/>
      <c r="AU19" s="19"/>
      <c r="AV19" s="7" t="s">
        <v>31</v>
      </c>
      <c r="AW19" s="7">
        <v>15.0</v>
      </c>
      <c r="AX19" s="7">
        <v>26.0</v>
      </c>
      <c r="AY19" s="21">
        <f t="shared" si="17"/>
        <v>65.54545455</v>
      </c>
      <c r="AZ19" s="2"/>
      <c r="BA19" s="2"/>
      <c r="BB19" s="2"/>
      <c r="BC19" s="2"/>
      <c r="BD19" s="3"/>
      <c r="BE19" s="18">
        <f t="shared" si="18"/>
        <v>39.54545455</v>
      </c>
      <c r="BF19" s="18">
        <f t="shared" si="19"/>
        <v>1563.842975</v>
      </c>
      <c r="BG19" s="18">
        <f t="shared" si="20"/>
        <v>152.0979021</v>
      </c>
    </row>
    <row r="20" ht="15.75" customHeight="1">
      <c r="A20" s="23"/>
      <c r="B20" s="7" t="s">
        <v>32</v>
      </c>
      <c r="C20" s="7">
        <v>16.0</v>
      </c>
      <c r="D20" s="7">
        <v>29.0</v>
      </c>
      <c r="E20" s="21">
        <f t="shared" si="1"/>
        <v>41.66666667</v>
      </c>
      <c r="F20" s="3"/>
      <c r="G20" s="18">
        <f t="shared" si="2"/>
        <v>12.66666667</v>
      </c>
      <c r="H20" s="18">
        <f t="shared" si="3"/>
        <v>160.4444444</v>
      </c>
      <c r="I20" s="18">
        <f t="shared" si="4"/>
        <v>43.67816092</v>
      </c>
      <c r="J20" s="4"/>
      <c r="K20" s="23"/>
      <c r="L20" s="7" t="s">
        <v>32</v>
      </c>
      <c r="M20" s="7">
        <v>16.0</v>
      </c>
      <c r="N20" s="7">
        <v>29.0</v>
      </c>
      <c r="O20" s="21">
        <f t="shared" si="5"/>
        <v>58.8</v>
      </c>
      <c r="P20" s="2"/>
      <c r="Q20" s="3"/>
      <c r="R20" s="18">
        <f t="shared" si="6"/>
        <v>29.8</v>
      </c>
      <c r="S20" s="18">
        <f t="shared" si="7"/>
        <v>888.04</v>
      </c>
      <c r="T20" s="18">
        <f t="shared" si="8"/>
        <v>102.7586207</v>
      </c>
      <c r="U20" s="4"/>
      <c r="V20" s="23"/>
      <c r="W20" s="7" t="s">
        <v>32</v>
      </c>
      <c r="X20" s="7">
        <v>16.0</v>
      </c>
      <c r="Y20" s="7">
        <v>29.0</v>
      </c>
      <c r="Z20" s="21">
        <f t="shared" si="9"/>
        <v>55.71428571</v>
      </c>
      <c r="AA20" s="2"/>
      <c r="AB20" s="2"/>
      <c r="AC20" s="3"/>
      <c r="AD20" s="18">
        <f t="shared" si="10"/>
        <v>26.71428571</v>
      </c>
      <c r="AE20" s="18">
        <f t="shared" si="11"/>
        <v>713.6530612</v>
      </c>
      <c r="AF20" s="18">
        <f t="shared" si="12"/>
        <v>92.1182266</v>
      </c>
      <c r="AG20" s="4"/>
      <c r="AH20" s="23"/>
      <c r="AI20" s="7" t="s">
        <v>32</v>
      </c>
      <c r="AJ20" s="7">
        <v>16.0</v>
      </c>
      <c r="AK20" s="7">
        <v>29.0</v>
      </c>
      <c r="AL20" s="21">
        <f t="shared" si="13"/>
        <v>58.44444444</v>
      </c>
      <c r="AM20" s="2"/>
      <c r="AN20" s="2"/>
      <c r="AO20" s="2"/>
      <c r="AP20" s="3"/>
      <c r="AQ20" s="18">
        <f t="shared" si="14"/>
        <v>29.44444444</v>
      </c>
      <c r="AR20" s="18">
        <f t="shared" si="15"/>
        <v>866.9753086</v>
      </c>
      <c r="AS20" s="18">
        <f t="shared" si="16"/>
        <v>101.532567</v>
      </c>
      <c r="AT20" s="4"/>
      <c r="AU20" s="23"/>
      <c r="AV20" s="7" t="s">
        <v>32</v>
      </c>
      <c r="AW20" s="7">
        <v>16.0</v>
      </c>
      <c r="AX20" s="7">
        <v>29.0</v>
      </c>
      <c r="AY20" s="21">
        <f t="shared" si="17"/>
        <v>58.63636364</v>
      </c>
      <c r="AZ20" s="2"/>
      <c r="BA20" s="2"/>
      <c r="BB20" s="2"/>
      <c r="BC20" s="2"/>
      <c r="BD20" s="3"/>
      <c r="BE20" s="18">
        <f t="shared" si="18"/>
        <v>29.63636364</v>
      </c>
      <c r="BF20" s="18">
        <f t="shared" si="19"/>
        <v>878.3140496</v>
      </c>
      <c r="BG20" s="18">
        <f t="shared" si="20"/>
        <v>102.1943574</v>
      </c>
    </row>
    <row r="21" ht="15.75" customHeight="1">
      <c r="A21" s="7"/>
      <c r="B21" s="7"/>
      <c r="C21" s="7"/>
      <c r="D21" s="7"/>
      <c r="E21" s="21">
        <f t="shared" si="1"/>
        <v>24</v>
      </c>
      <c r="F21" s="3"/>
      <c r="G21" s="18"/>
      <c r="H21" s="18"/>
      <c r="I21" s="18"/>
      <c r="J21" s="4"/>
      <c r="K21" s="7"/>
      <c r="L21" s="7"/>
      <c r="M21" s="7"/>
      <c r="N21" s="7"/>
      <c r="O21" s="21">
        <f t="shared" si="5"/>
        <v>48.6</v>
      </c>
      <c r="P21" s="2"/>
      <c r="Q21" s="3"/>
      <c r="R21" s="18"/>
      <c r="S21" s="18"/>
      <c r="T21" s="18"/>
      <c r="U21" s="4"/>
      <c r="V21" s="7"/>
      <c r="W21" s="7"/>
      <c r="X21" s="7"/>
      <c r="Y21" s="7"/>
      <c r="Z21" s="21">
        <f t="shared" si="9"/>
        <v>55.57142857</v>
      </c>
      <c r="AA21" s="2"/>
      <c r="AB21" s="2"/>
      <c r="AC21" s="3"/>
      <c r="AD21" s="18"/>
      <c r="AE21" s="18"/>
      <c r="AF21" s="18"/>
      <c r="AG21" s="4"/>
      <c r="AH21" s="7"/>
      <c r="AI21" s="7"/>
      <c r="AJ21" s="7"/>
      <c r="AK21" s="7"/>
      <c r="AL21" s="21">
        <f t="shared" si="13"/>
        <v>51.66666667</v>
      </c>
      <c r="AM21" s="2"/>
      <c r="AN21" s="2"/>
      <c r="AO21" s="2"/>
      <c r="AP21" s="3"/>
      <c r="AQ21" s="18"/>
      <c r="AR21" s="18"/>
      <c r="AS21" s="18"/>
      <c r="AT21" s="4"/>
      <c r="AU21" s="7"/>
      <c r="AV21" s="7"/>
      <c r="AW21" s="7"/>
      <c r="AX21" s="7"/>
      <c r="AY21" s="21">
        <f t="shared" si="17"/>
        <v>53.09090909</v>
      </c>
      <c r="AZ21" s="2"/>
      <c r="BA21" s="2"/>
      <c r="BB21" s="2"/>
      <c r="BC21" s="2"/>
      <c r="BD21" s="3"/>
      <c r="BE21" s="18"/>
      <c r="BF21" s="18"/>
      <c r="BG21" s="18"/>
    </row>
    <row r="22" ht="15.75" customHeight="1">
      <c r="A22" s="7"/>
      <c r="B22" s="7"/>
      <c r="C22" s="7"/>
      <c r="D22" s="7"/>
      <c r="E22" s="18"/>
      <c r="F22" s="18"/>
      <c r="G22" s="18"/>
      <c r="H22" s="18"/>
      <c r="I22" s="18"/>
      <c r="J22" s="4"/>
      <c r="K22" s="7"/>
      <c r="L22" s="7"/>
      <c r="M22" s="7"/>
      <c r="N22" s="7"/>
      <c r="O22" s="18"/>
      <c r="P22" s="18"/>
      <c r="Q22" s="18"/>
      <c r="R22" s="18"/>
      <c r="S22" s="18"/>
      <c r="T22" s="18"/>
      <c r="U22" s="4"/>
      <c r="V22" s="7"/>
      <c r="W22" s="7"/>
      <c r="X22" s="7"/>
      <c r="Y22" s="7"/>
      <c r="Z22" s="18"/>
      <c r="AA22" s="18"/>
      <c r="AB22" s="18"/>
      <c r="AC22" s="18"/>
      <c r="AD22" s="18"/>
      <c r="AE22" s="18"/>
      <c r="AF22" s="18"/>
      <c r="AG22" s="4"/>
      <c r="AH22" s="7"/>
      <c r="AI22" s="7"/>
      <c r="AJ22" s="7"/>
      <c r="AK22" s="7"/>
      <c r="AL22" s="18"/>
      <c r="AM22" s="18"/>
      <c r="AN22" s="18"/>
      <c r="AO22" s="18"/>
      <c r="AP22" s="18"/>
      <c r="AQ22" s="18"/>
      <c r="AR22" s="18"/>
      <c r="AS22" s="18"/>
      <c r="AT22" s="4"/>
      <c r="AU22" s="7"/>
      <c r="AV22" s="7"/>
      <c r="AW22" s="7"/>
      <c r="AX22" s="7"/>
      <c r="AY22" s="18"/>
      <c r="AZ22" s="18"/>
      <c r="BA22" s="18"/>
      <c r="BB22" s="18"/>
      <c r="BC22" s="18"/>
      <c r="BD22" s="18"/>
      <c r="BE22" s="18"/>
      <c r="BF22" s="18"/>
      <c r="BG22" s="18"/>
    </row>
    <row r="23" ht="15.75" customHeight="1">
      <c r="A23" s="27" t="s">
        <v>19</v>
      </c>
      <c r="B23" s="28"/>
      <c r="C23" s="29"/>
      <c r="D23" s="29"/>
      <c r="E23" s="34"/>
      <c r="F23" s="34"/>
      <c r="G23" s="34">
        <f t="shared" ref="G23:I23" si="21">G8+G9+G10+G11+G12+G13+G14+G15+G16+G17+G18+G19+G20</f>
        <v>422</v>
      </c>
      <c r="H23" s="34">
        <f t="shared" si="21"/>
        <v>19295.77778</v>
      </c>
      <c r="I23" s="34">
        <f t="shared" si="21"/>
        <v>1119.001345</v>
      </c>
      <c r="J23" s="4"/>
      <c r="K23" s="27" t="s">
        <v>19</v>
      </c>
      <c r="L23" s="28"/>
      <c r="M23" s="29"/>
      <c r="N23" s="29"/>
      <c r="O23" s="34"/>
      <c r="P23" s="34"/>
      <c r="Q23" s="34"/>
      <c r="R23" s="34">
        <f t="shared" ref="R23:T23" si="22">R10+R11+R12+R13+R14+R15+R16+R17+R18+R19+R20</f>
        <v>330.6</v>
      </c>
      <c r="S23" s="34">
        <f t="shared" si="22"/>
        <v>11342.84</v>
      </c>
      <c r="T23" s="34">
        <f t="shared" si="22"/>
        <v>982.1587599</v>
      </c>
      <c r="U23" s="4"/>
      <c r="V23" s="27" t="s">
        <v>19</v>
      </c>
      <c r="W23" s="28"/>
      <c r="X23" s="29"/>
      <c r="Y23" s="29"/>
      <c r="Z23" s="34"/>
      <c r="AA23" s="34"/>
      <c r="AB23" s="34"/>
      <c r="AC23" s="34"/>
      <c r="AD23" s="34">
        <f t="shared" ref="AD23:AF23" si="23">AD12+AD13+AD14+AD15+AD16+AD17+AD18+AD19+AD20</f>
        <v>217.2857143</v>
      </c>
      <c r="AE23" s="34">
        <f t="shared" si="23"/>
        <v>6817.122449</v>
      </c>
      <c r="AF23" s="34">
        <f t="shared" si="23"/>
        <v>721.0493272</v>
      </c>
      <c r="AG23" s="4"/>
      <c r="AH23" s="27" t="s">
        <v>19</v>
      </c>
      <c r="AI23" s="28"/>
      <c r="AJ23" s="29"/>
      <c r="AK23" s="29"/>
      <c r="AL23" s="34"/>
      <c r="AM23" s="34"/>
      <c r="AN23" s="34"/>
      <c r="AO23" s="34"/>
      <c r="AP23" s="34"/>
      <c r="AQ23" s="34">
        <f t="shared" ref="AQ23:AS23" si="24">AQ14+AQ15+AQ16+AQ17+AQ18+AQ19+AQ20</f>
        <v>189</v>
      </c>
      <c r="AR23" s="34">
        <f t="shared" si="24"/>
        <v>6025.592593</v>
      </c>
      <c r="AS23" s="34">
        <f t="shared" si="24"/>
        <v>617.5146719</v>
      </c>
      <c r="AT23" s="4"/>
      <c r="AU23" s="27" t="s">
        <v>19</v>
      </c>
      <c r="AV23" s="28"/>
      <c r="AW23" s="29"/>
      <c r="AX23" s="29"/>
      <c r="AY23" s="34"/>
      <c r="AZ23" s="34"/>
      <c r="BA23" s="34"/>
      <c r="BB23" s="34"/>
      <c r="BC23" s="34"/>
      <c r="BD23" s="34"/>
      <c r="BE23" s="34">
        <f t="shared" ref="BE23:BG23" si="25">BE16+BE17+BE18+BE19+BE20</f>
        <v>174.1818182</v>
      </c>
      <c r="BF23" s="34">
        <f t="shared" si="25"/>
        <v>6568.942149</v>
      </c>
      <c r="BG23" s="34">
        <f t="shared" si="25"/>
        <v>614.7739972</v>
      </c>
    </row>
    <row r="24" ht="15.75" customHeight="1">
      <c r="A24" s="35"/>
      <c r="B24" s="36"/>
      <c r="C24" s="29"/>
      <c r="D24" s="29"/>
      <c r="E24" s="34"/>
      <c r="F24" s="34"/>
      <c r="G24" s="34">
        <f t="shared" ref="G24:I24" si="26">G23/13</f>
        <v>32.46153846</v>
      </c>
      <c r="H24" s="34">
        <f t="shared" si="26"/>
        <v>1484.290598</v>
      </c>
      <c r="I24" s="34">
        <f t="shared" si="26"/>
        <v>86.07702654</v>
      </c>
      <c r="J24" s="4"/>
      <c r="K24" s="35"/>
      <c r="L24" s="36"/>
      <c r="M24" s="29"/>
      <c r="N24" s="29"/>
      <c r="O24" s="34"/>
      <c r="P24" s="34"/>
      <c r="Q24" s="34"/>
      <c r="R24" s="34">
        <f t="shared" ref="R24:T24" si="27">R23/11</f>
        <v>30.05454545</v>
      </c>
      <c r="S24" s="34">
        <f t="shared" si="27"/>
        <v>1031.167273</v>
      </c>
      <c r="T24" s="34">
        <f t="shared" si="27"/>
        <v>89.28715999</v>
      </c>
      <c r="U24" s="4"/>
      <c r="V24" s="35"/>
      <c r="W24" s="36"/>
      <c r="X24" s="29"/>
      <c r="Y24" s="29"/>
      <c r="Z24" s="34"/>
      <c r="AA24" s="34"/>
      <c r="AB24" s="34"/>
      <c r="AC24" s="34"/>
      <c r="AD24" s="34">
        <f t="shared" ref="AD24:AF24" si="28">AD23/9</f>
        <v>24.14285714</v>
      </c>
      <c r="AE24" s="34">
        <f t="shared" si="28"/>
        <v>757.4580499</v>
      </c>
      <c r="AF24" s="34">
        <f t="shared" si="28"/>
        <v>80.11659191</v>
      </c>
      <c r="AG24" s="4"/>
      <c r="AH24" s="35"/>
      <c r="AI24" s="36"/>
      <c r="AJ24" s="29"/>
      <c r="AK24" s="29"/>
      <c r="AL24" s="34"/>
      <c r="AM24" s="34"/>
      <c r="AN24" s="34"/>
      <c r="AO24" s="34"/>
      <c r="AP24" s="34"/>
      <c r="AQ24" s="34">
        <f t="shared" ref="AQ24:AS24" si="29">AQ23/7</f>
        <v>27</v>
      </c>
      <c r="AR24" s="34">
        <f t="shared" si="29"/>
        <v>860.7989418</v>
      </c>
      <c r="AS24" s="34">
        <f t="shared" si="29"/>
        <v>88.2163817</v>
      </c>
      <c r="AT24" s="4"/>
      <c r="AU24" s="35"/>
      <c r="AV24" s="36"/>
      <c r="AW24" s="29"/>
      <c r="AX24" s="29"/>
      <c r="AY24" s="34"/>
      <c r="AZ24" s="34"/>
      <c r="BA24" s="34"/>
      <c r="BB24" s="34"/>
      <c r="BC24" s="34"/>
      <c r="BD24" s="34"/>
      <c r="BE24" s="34">
        <f t="shared" ref="BE24:BG24" si="30">BE23/5</f>
        <v>34.83636364</v>
      </c>
      <c r="BF24" s="34">
        <f t="shared" si="30"/>
        <v>1313.78843</v>
      </c>
      <c r="BG24" s="34">
        <f t="shared" si="30"/>
        <v>122.9547994</v>
      </c>
    </row>
    <row r="25" ht="15.75" customHeight="1">
      <c r="A25" s="39"/>
      <c r="B25" s="40"/>
      <c r="C25" s="29"/>
      <c r="D25" s="29"/>
      <c r="E25" s="29"/>
      <c r="F25" s="29"/>
      <c r="G25" s="29" t="s">
        <v>20</v>
      </c>
      <c r="H25" s="29" t="s">
        <v>21</v>
      </c>
      <c r="I25" s="29" t="s">
        <v>22</v>
      </c>
      <c r="J25" s="4"/>
      <c r="K25" s="39"/>
      <c r="L25" s="40"/>
      <c r="M25" s="29"/>
      <c r="N25" s="29"/>
      <c r="O25" s="29"/>
      <c r="P25" s="29"/>
      <c r="Q25" s="29"/>
      <c r="R25" s="29" t="s">
        <v>20</v>
      </c>
      <c r="S25" s="29" t="s">
        <v>21</v>
      </c>
      <c r="T25" s="29" t="s">
        <v>22</v>
      </c>
      <c r="U25" s="4"/>
      <c r="V25" s="39"/>
      <c r="W25" s="40"/>
      <c r="X25" s="29"/>
      <c r="Y25" s="29"/>
      <c r="Z25" s="29"/>
      <c r="AA25" s="29"/>
      <c r="AB25" s="29"/>
      <c r="AC25" s="29"/>
      <c r="AD25" s="29" t="s">
        <v>20</v>
      </c>
      <c r="AE25" s="29" t="s">
        <v>21</v>
      </c>
      <c r="AF25" s="29" t="s">
        <v>22</v>
      </c>
      <c r="AG25" s="4"/>
      <c r="AH25" s="39"/>
      <c r="AI25" s="40"/>
      <c r="AJ25" s="29"/>
      <c r="AK25" s="29"/>
      <c r="AL25" s="29"/>
      <c r="AM25" s="29"/>
      <c r="AN25" s="29"/>
      <c r="AO25" s="29"/>
      <c r="AP25" s="29"/>
      <c r="AQ25" s="29" t="s">
        <v>20</v>
      </c>
      <c r="AR25" s="29" t="s">
        <v>21</v>
      </c>
      <c r="AS25" s="29" t="s">
        <v>22</v>
      </c>
      <c r="AT25" s="4"/>
      <c r="AU25" s="39"/>
      <c r="AV25" s="40"/>
      <c r="AW25" s="29"/>
      <c r="AX25" s="29"/>
      <c r="AY25" s="29"/>
      <c r="AZ25" s="29"/>
      <c r="BA25" s="29"/>
      <c r="BB25" s="29"/>
      <c r="BC25" s="29"/>
      <c r="BD25" s="29"/>
      <c r="BE25" s="29" t="s">
        <v>20</v>
      </c>
      <c r="BF25" s="29" t="s">
        <v>21</v>
      </c>
      <c r="BG25" s="29" t="s">
        <v>22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ht="15.75" customHeight="1">
      <c r="A27" s="1" t="s">
        <v>24</v>
      </c>
      <c r="B27" s="2"/>
      <c r="C27" s="2"/>
      <c r="D27" s="2"/>
      <c r="E27" s="2"/>
      <c r="F27" s="2"/>
      <c r="G27" s="2"/>
      <c r="H27" s="2"/>
      <c r="I27" s="3"/>
      <c r="J27" s="4"/>
      <c r="K27" s="1" t="s">
        <v>24</v>
      </c>
      <c r="L27" s="2"/>
      <c r="M27" s="2"/>
      <c r="N27" s="2"/>
      <c r="O27" s="2"/>
      <c r="P27" s="2"/>
      <c r="Q27" s="2"/>
      <c r="R27" s="2"/>
      <c r="S27" s="3"/>
      <c r="T27" s="4"/>
      <c r="U27" s="44" t="s">
        <v>24</v>
      </c>
      <c r="V27" s="2"/>
      <c r="W27" s="2"/>
      <c r="X27" s="2"/>
      <c r="Y27" s="2"/>
      <c r="Z27" s="2"/>
      <c r="AA27" s="2"/>
      <c r="AB27" s="2"/>
      <c r="AC27" s="3"/>
      <c r="AD27" s="4"/>
      <c r="AE27" s="44" t="s">
        <v>24</v>
      </c>
      <c r="AF27" s="2"/>
      <c r="AG27" s="2"/>
      <c r="AH27" s="2"/>
      <c r="AI27" s="2"/>
      <c r="AJ27" s="2"/>
      <c r="AK27" s="2"/>
      <c r="AL27" s="2"/>
      <c r="AM27" s="3"/>
      <c r="AN27" s="4"/>
      <c r="AO27" s="44" t="s">
        <v>24</v>
      </c>
      <c r="AP27" s="2"/>
      <c r="AQ27" s="2"/>
      <c r="AR27" s="2"/>
      <c r="AS27" s="2"/>
      <c r="AT27" s="2"/>
      <c r="AU27" s="2"/>
      <c r="AV27" s="2"/>
      <c r="AW27" s="3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ht="15.75" customHeight="1">
      <c r="A28" s="1" t="s">
        <v>2</v>
      </c>
      <c r="B28" s="2"/>
      <c r="C28" s="2"/>
      <c r="D28" s="3"/>
      <c r="E28" s="45" t="s">
        <v>3</v>
      </c>
      <c r="F28" s="7">
        <v>0.1</v>
      </c>
      <c r="G28" s="7"/>
      <c r="H28" s="7"/>
      <c r="I28" s="7"/>
      <c r="J28" s="4"/>
      <c r="K28" s="1" t="s">
        <v>2</v>
      </c>
      <c r="L28" s="2"/>
      <c r="M28" s="2"/>
      <c r="N28" s="3"/>
      <c r="O28" s="45" t="s">
        <v>41</v>
      </c>
      <c r="P28" s="7">
        <v>0.3</v>
      </c>
      <c r="Q28" s="7"/>
      <c r="R28" s="7"/>
      <c r="S28" s="7"/>
      <c r="T28" s="4"/>
      <c r="U28" s="44" t="s">
        <v>2</v>
      </c>
      <c r="V28" s="2"/>
      <c r="W28" s="2"/>
      <c r="X28" s="3"/>
      <c r="Y28" s="46" t="s">
        <v>41</v>
      </c>
      <c r="Z28" s="47">
        <v>0.5</v>
      </c>
      <c r="AA28" s="47"/>
      <c r="AB28" s="47"/>
      <c r="AC28" s="47"/>
      <c r="AD28" s="4"/>
      <c r="AE28" s="44" t="s">
        <v>2</v>
      </c>
      <c r="AF28" s="2"/>
      <c r="AG28" s="2"/>
      <c r="AH28" s="3"/>
      <c r="AI28" s="46" t="s">
        <v>41</v>
      </c>
      <c r="AJ28" s="47">
        <v>0.7</v>
      </c>
      <c r="AK28" s="47"/>
      <c r="AL28" s="47"/>
      <c r="AM28" s="47"/>
      <c r="AN28" s="4"/>
      <c r="AO28" s="44" t="s">
        <v>2</v>
      </c>
      <c r="AP28" s="2"/>
      <c r="AQ28" s="2"/>
      <c r="AR28" s="3"/>
      <c r="AS28" s="46" t="s">
        <v>41</v>
      </c>
      <c r="AT28" s="47">
        <v>0.9</v>
      </c>
      <c r="AU28" s="47"/>
      <c r="AV28" s="47"/>
      <c r="AW28" s="47"/>
      <c r="AX28" s="48"/>
      <c r="AY28" s="48"/>
      <c r="AZ28" s="4"/>
      <c r="BA28" s="48"/>
      <c r="BB28" s="4"/>
      <c r="BC28" s="4"/>
      <c r="BD28" s="4"/>
      <c r="BE28" s="4"/>
      <c r="BF28" s="4"/>
      <c r="BG28" s="4"/>
    </row>
    <row r="29" ht="15.75" customHeight="1">
      <c r="A29" s="41"/>
      <c r="B29" s="41"/>
      <c r="C29" s="41" t="s">
        <v>4</v>
      </c>
      <c r="D29" s="41" t="s">
        <v>5</v>
      </c>
      <c r="E29" s="42" t="s">
        <v>6</v>
      </c>
      <c r="F29" s="3"/>
      <c r="G29" s="41" t="s">
        <v>7</v>
      </c>
      <c r="H29" s="41"/>
      <c r="I29" s="41" t="s">
        <v>8</v>
      </c>
      <c r="J29" s="4"/>
      <c r="K29" s="41"/>
      <c r="L29" s="41"/>
      <c r="M29" s="41" t="s">
        <v>4</v>
      </c>
      <c r="N29" s="41" t="s">
        <v>5</v>
      </c>
      <c r="O29" s="42" t="s">
        <v>6</v>
      </c>
      <c r="P29" s="3"/>
      <c r="Q29" s="41" t="s">
        <v>7</v>
      </c>
      <c r="R29" s="41"/>
      <c r="S29" s="41" t="s">
        <v>8</v>
      </c>
      <c r="T29" s="4"/>
      <c r="U29" s="43"/>
      <c r="V29" s="43"/>
      <c r="W29" s="43" t="s">
        <v>4</v>
      </c>
      <c r="X29" s="43" t="s">
        <v>5</v>
      </c>
      <c r="Y29" s="49" t="s">
        <v>6</v>
      </c>
      <c r="Z29" s="3"/>
      <c r="AA29" s="43" t="s">
        <v>7</v>
      </c>
      <c r="AB29" s="43"/>
      <c r="AC29" s="43" t="s">
        <v>8</v>
      </c>
      <c r="AD29" s="4"/>
      <c r="AE29" s="43"/>
      <c r="AF29" s="43"/>
      <c r="AG29" s="43" t="s">
        <v>4</v>
      </c>
      <c r="AH29" s="43" t="s">
        <v>5</v>
      </c>
      <c r="AI29" s="49" t="s">
        <v>6</v>
      </c>
      <c r="AJ29" s="3"/>
      <c r="AK29" s="43" t="s">
        <v>7</v>
      </c>
      <c r="AL29" s="43"/>
      <c r="AM29" s="43" t="s">
        <v>8</v>
      </c>
      <c r="AN29" s="4"/>
      <c r="AO29" s="43"/>
      <c r="AP29" s="43"/>
      <c r="AQ29" s="43" t="s">
        <v>4</v>
      </c>
      <c r="AR29" s="43" t="s">
        <v>5</v>
      </c>
      <c r="AS29" s="49" t="s">
        <v>6</v>
      </c>
      <c r="AT29" s="3"/>
      <c r="AU29" s="43" t="s">
        <v>7</v>
      </c>
      <c r="AV29" s="43"/>
      <c r="AW29" s="43" t="s">
        <v>8</v>
      </c>
      <c r="AX29" s="48"/>
      <c r="AY29" s="48"/>
      <c r="AZ29" s="48"/>
      <c r="BA29" s="48"/>
      <c r="BB29" s="4"/>
      <c r="BC29" s="4"/>
      <c r="BD29" s="4"/>
      <c r="BE29" s="4"/>
      <c r="BF29" s="4"/>
      <c r="BG29" s="4"/>
    </row>
    <row r="30" ht="15.75" customHeight="1">
      <c r="A30" s="41"/>
      <c r="B30" s="41"/>
      <c r="C30" s="41"/>
      <c r="D30" s="41"/>
      <c r="E30" s="42"/>
      <c r="F30" s="3"/>
      <c r="G30" s="43" t="s">
        <v>9</v>
      </c>
      <c r="H30" s="41" t="s">
        <v>10</v>
      </c>
      <c r="I30" s="41" t="s">
        <v>11</v>
      </c>
      <c r="J30" s="4"/>
      <c r="K30" s="41"/>
      <c r="L30" s="41"/>
      <c r="M30" s="41"/>
      <c r="N30" s="41"/>
      <c r="O30" s="42"/>
      <c r="P30" s="3"/>
      <c r="Q30" s="43" t="s">
        <v>9</v>
      </c>
      <c r="R30" s="41" t="s">
        <v>10</v>
      </c>
      <c r="S30" s="41" t="s">
        <v>11</v>
      </c>
      <c r="T30" s="4"/>
      <c r="U30" s="43"/>
      <c r="V30" s="43"/>
      <c r="W30" s="43"/>
      <c r="X30" s="43"/>
      <c r="Y30" s="49"/>
      <c r="Z30" s="3"/>
      <c r="AA30" s="43" t="s">
        <v>9</v>
      </c>
      <c r="AB30" s="43" t="s">
        <v>10</v>
      </c>
      <c r="AC30" s="43" t="s">
        <v>11</v>
      </c>
      <c r="AD30" s="4"/>
      <c r="AE30" s="43"/>
      <c r="AF30" s="43"/>
      <c r="AG30" s="43"/>
      <c r="AH30" s="43"/>
      <c r="AI30" s="49"/>
      <c r="AJ30" s="3"/>
      <c r="AK30" s="43" t="s">
        <v>9</v>
      </c>
      <c r="AL30" s="43" t="s">
        <v>10</v>
      </c>
      <c r="AM30" s="43" t="s">
        <v>11</v>
      </c>
      <c r="AN30" s="4"/>
      <c r="AO30" s="43"/>
      <c r="AP30" s="43"/>
      <c r="AQ30" s="43"/>
      <c r="AR30" s="43"/>
      <c r="AS30" s="49"/>
      <c r="AT30" s="3"/>
      <c r="AU30" s="43" t="s">
        <v>9</v>
      </c>
      <c r="AV30" s="43" t="s">
        <v>10</v>
      </c>
      <c r="AW30" s="43" t="s">
        <v>11</v>
      </c>
      <c r="AX30" s="48"/>
      <c r="AY30" s="48"/>
      <c r="AZ30" s="48"/>
      <c r="BA30" s="48"/>
      <c r="BB30" s="4"/>
      <c r="BC30" s="4"/>
      <c r="BD30" s="4"/>
      <c r="BE30" s="4"/>
      <c r="BF30" s="4"/>
      <c r="BG30" s="4"/>
    </row>
    <row r="31" ht="15.75" customHeight="1">
      <c r="A31" s="14">
        <v>1991.0</v>
      </c>
      <c r="B31" s="7" t="s">
        <v>29</v>
      </c>
      <c r="C31" s="7">
        <v>1.0</v>
      </c>
      <c r="D31" s="7">
        <v>19.0</v>
      </c>
      <c r="E31" s="17">
        <v>19.0</v>
      </c>
      <c r="F31" s="3"/>
      <c r="G31" s="18"/>
      <c r="H31" s="18"/>
      <c r="I31" s="18"/>
      <c r="J31" s="4"/>
      <c r="K31" s="14">
        <v>1991.0</v>
      </c>
      <c r="L31" s="7" t="s">
        <v>29</v>
      </c>
      <c r="M31" s="7">
        <v>1.0</v>
      </c>
      <c r="N31" s="7">
        <v>19.0</v>
      </c>
      <c r="O31" s="17">
        <v>19.0</v>
      </c>
      <c r="P31" s="3"/>
      <c r="Q31" s="18"/>
      <c r="R31" s="18"/>
      <c r="S31" s="18"/>
      <c r="T31" s="4"/>
      <c r="U31" s="50">
        <v>1991.0</v>
      </c>
      <c r="V31" s="47" t="s">
        <v>29</v>
      </c>
      <c r="W31" s="47">
        <v>1.0</v>
      </c>
      <c r="X31" s="47">
        <v>19.0</v>
      </c>
      <c r="Y31" s="17">
        <v>19.0</v>
      </c>
      <c r="Z31" s="3"/>
      <c r="AA31" s="51"/>
      <c r="AB31" s="51"/>
      <c r="AC31" s="51"/>
      <c r="AD31" s="4"/>
      <c r="AE31" s="50">
        <v>1991.0</v>
      </c>
      <c r="AF31" s="47" t="s">
        <v>29</v>
      </c>
      <c r="AG31" s="47">
        <v>1.0</v>
      </c>
      <c r="AH31" s="47">
        <v>19.0</v>
      </c>
      <c r="AI31" s="17">
        <v>19.0</v>
      </c>
      <c r="AJ31" s="3"/>
      <c r="AK31" s="51"/>
      <c r="AL31" s="51"/>
      <c r="AM31" s="51"/>
      <c r="AN31" s="4"/>
      <c r="AO31" s="50">
        <v>1991.0</v>
      </c>
      <c r="AP31" s="47" t="s">
        <v>29</v>
      </c>
      <c r="AQ31" s="47">
        <v>1.0</v>
      </c>
      <c r="AR31" s="47">
        <v>19.0</v>
      </c>
      <c r="AS31" s="17">
        <v>19.0</v>
      </c>
      <c r="AT31" s="3"/>
      <c r="AU31" s="51"/>
      <c r="AV31" s="51"/>
      <c r="AW31" s="51"/>
      <c r="AX31" s="48"/>
      <c r="AY31" s="48"/>
      <c r="AZ31" s="48"/>
      <c r="BA31" s="48"/>
      <c r="BB31" s="4"/>
      <c r="BC31" s="4"/>
      <c r="BD31" s="4"/>
      <c r="BE31" s="4"/>
      <c r="BF31" s="4"/>
      <c r="BG31" s="4"/>
    </row>
    <row r="32" ht="15.75" customHeight="1">
      <c r="A32" s="19"/>
      <c r="B32" s="7" t="s">
        <v>30</v>
      </c>
      <c r="C32" s="7">
        <v>2.0</v>
      </c>
      <c r="D32" s="7">
        <v>15.0</v>
      </c>
      <c r="E32" s="21">
        <f>D31*a+(1-a)*E31</f>
        <v>19</v>
      </c>
      <c r="F32" s="3"/>
      <c r="G32" s="18">
        <f t="shared" ref="G32:G46" si="31">ABS(D32-E32)</f>
        <v>4</v>
      </c>
      <c r="H32" s="18">
        <f t="shared" ref="H32:H46" si="32">G32^2</f>
        <v>16</v>
      </c>
      <c r="I32" s="18">
        <f t="shared" ref="I32:I46" si="33">(G32/D32)*100</f>
        <v>26.66666667</v>
      </c>
      <c r="J32" s="4"/>
      <c r="K32" s="19"/>
      <c r="L32" s="7" t="s">
        <v>30</v>
      </c>
      <c r="M32" s="7">
        <v>2.0</v>
      </c>
      <c r="N32" s="7">
        <v>15.0</v>
      </c>
      <c r="O32" s="21">
        <f>N31*b+(1-b)*O31</f>
        <v>19</v>
      </c>
      <c r="P32" s="3"/>
      <c r="Q32" s="18">
        <f t="shared" ref="Q32:Q46" si="34">ABS(N32-O32)</f>
        <v>4</v>
      </c>
      <c r="R32" s="18">
        <f t="shared" ref="R32:R46" si="35">Q32^2</f>
        <v>16</v>
      </c>
      <c r="S32" s="18">
        <f t="shared" ref="S32:S46" si="36">(Q32/N32)*100</f>
        <v>26.66666667</v>
      </c>
      <c r="T32" s="4"/>
      <c r="U32" s="19"/>
      <c r="V32" s="47" t="s">
        <v>30</v>
      </c>
      <c r="W32" s="47">
        <v>2.0</v>
      </c>
      <c r="X32" s="47">
        <v>15.0</v>
      </c>
      <c r="Y32" s="52">
        <f>X31*d+(1-d)*Y31</f>
        <v>19</v>
      </c>
      <c r="Z32" s="3"/>
      <c r="AA32" s="51">
        <f t="shared" ref="AA32:AA46" si="37">ABS(X32-Y32)</f>
        <v>4</v>
      </c>
      <c r="AB32" s="51">
        <f t="shared" ref="AB32:AB46" si="38">AA32^2</f>
        <v>16</v>
      </c>
      <c r="AC32" s="51">
        <f t="shared" ref="AC32:AC46" si="39">(AA32/X32)*100</f>
        <v>26.66666667</v>
      </c>
      <c r="AD32" s="4"/>
      <c r="AE32" s="19"/>
      <c r="AF32" s="47" t="s">
        <v>30</v>
      </c>
      <c r="AG32" s="47">
        <v>2.0</v>
      </c>
      <c r="AH32" s="47">
        <v>15.0</v>
      </c>
      <c r="AI32" s="52">
        <f>AH31*e+(1-e)*AI31</f>
        <v>19</v>
      </c>
      <c r="AJ32" s="3"/>
      <c r="AK32" s="51">
        <f t="shared" ref="AK32:AK46" si="40">ABS(AH32-AI32)</f>
        <v>4</v>
      </c>
      <c r="AL32" s="51">
        <f t="shared" ref="AL32:AL46" si="41">AK32^2</f>
        <v>16</v>
      </c>
      <c r="AM32" s="51">
        <f t="shared" ref="AM32:AM46" si="42">(AK32/AH32)*100</f>
        <v>26.66666667</v>
      </c>
      <c r="AN32" s="4"/>
      <c r="AO32" s="19"/>
      <c r="AP32" s="47" t="s">
        <v>30</v>
      </c>
      <c r="AQ32" s="47">
        <v>2.0</v>
      </c>
      <c r="AR32" s="47">
        <v>15.0</v>
      </c>
      <c r="AS32" s="52">
        <f>AR31*f+(1-f)*AS31</f>
        <v>19</v>
      </c>
      <c r="AT32" s="3"/>
      <c r="AU32" s="51">
        <f t="shared" ref="AU32:AU46" si="43">ABS(AR32-AS32)</f>
        <v>4</v>
      </c>
      <c r="AV32" s="51">
        <f t="shared" ref="AV32:AV46" si="44">AU32^2</f>
        <v>16</v>
      </c>
      <c r="AW32" s="51">
        <f t="shared" ref="AW32:AW46" si="45">(AU32/AR32)*100</f>
        <v>26.66666667</v>
      </c>
      <c r="AX32" s="53"/>
      <c r="AY32" s="54"/>
      <c r="AZ32" s="54"/>
      <c r="BA32" s="54"/>
      <c r="BB32" s="4"/>
      <c r="BC32" s="4"/>
      <c r="BD32" s="4"/>
      <c r="BE32" s="4"/>
      <c r="BF32" s="4"/>
      <c r="BG32" s="4"/>
    </row>
    <row r="33" ht="15.75" customHeight="1">
      <c r="A33" s="19"/>
      <c r="B33" s="7" t="s">
        <v>31</v>
      </c>
      <c r="C33" s="7">
        <v>3.0</v>
      </c>
      <c r="D33" s="7">
        <v>39.0</v>
      </c>
      <c r="E33" s="21">
        <f>D32*a+(1-a)*E32</f>
        <v>18.6</v>
      </c>
      <c r="F33" s="3"/>
      <c r="G33" s="18">
        <f t="shared" si="31"/>
        <v>20.4</v>
      </c>
      <c r="H33" s="18">
        <f t="shared" si="32"/>
        <v>416.16</v>
      </c>
      <c r="I33" s="18">
        <f t="shared" si="33"/>
        <v>52.30769231</v>
      </c>
      <c r="J33" s="4"/>
      <c r="K33" s="19"/>
      <c r="L33" s="7" t="s">
        <v>31</v>
      </c>
      <c r="M33" s="7">
        <v>3.0</v>
      </c>
      <c r="N33" s="7">
        <v>39.0</v>
      </c>
      <c r="O33" s="21">
        <f>N32*b+(1-b)*O32</f>
        <v>17.8</v>
      </c>
      <c r="P33" s="3"/>
      <c r="Q33" s="18">
        <f t="shared" si="34"/>
        <v>21.2</v>
      </c>
      <c r="R33" s="18">
        <f t="shared" si="35"/>
        <v>449.44</v>
      </c>
      <c r="S33" s="18">
        <f t="shared" si="36"/>
        <v>54.35897436</v>
      </c>
      <c r="T33" s="4"/>
      <c r="U33" s="19"/>
      <c r="V33" s="47" t="s">
        <v>31</v>
      </c>
      <c r="W33" s="47">
        <v>3.0</v>
      </c>
      <c r="X33" s="47">
        <v>39.0</v>
      </c>
      <c r="Y33" s="52">
        <f>X32*d+(1-d)*Y32</f>
        <v>17</v>
      </c>
      <c r="Z33" s="3"/>
      <c r="AA33" s="51">
        <f t="shared" si="37"/>
        <v>22</v>
      </c>
      <c r="AB33" s="51">
        <f t="shared" si="38"/>
        <v>484</v>
      </c>
      <c r="AC33" s="51">
        <f t="shared" si="39"/>
        <v>56.41025641</v>
      </c>
      <c r="AD33" s="4"/>
      <c r="AE33" s="19"/>
      <c r="AF33" s="47" t="s">
        <v>31</v>
      </c>
      <c r="AG33" s="47">
        <v>3.0</v>
      </c>
      <c r="AH33" s="47">
        <v>39.0</v>
      </c>
      <c r="AI33" s="52">
        <f>AH32*e+(1-e)*AI32</f>
        <v>18.6</v>
      </c>
      <c r="AJ33" s="3"/>
      <c r="AK33" s="51">
        <f t="shared" si="40"/>
        <v>20.4</v>
      </c>
      <c r="AL33" s="51">
        <f t="shared" si="41"/>
        <v>416.16</v>
      </c>
      <c r="AM33" s="51">
        <f t="shared" si="42"/>
        <v>52.30769231</v>
      </c>
      <c r="AN33" s="4"/>
      <c r="AO33" s="19"/>
      <c r="AP33" s="47" t="s">
        <v>31</v>
      </c>
      <c r="AQ33" s="47">
        <v>3.0</v>
      </c>
      <c r="AR33" s="47">
        <v>39.0</v>
      </c>
      <c r="AS33" s="52">
        <f>AR32*f+(1-f)*AS32</f>
        <v>15.4</v>
      </c>
      <c r="AT33" s="3"/>
      <c r="AU33" s="51">
        <f t="shared" si="43"/>
        <v>23.6</v>
      </c>
      <c r="AV33" s="51">
        <f t="shared" si="44"/>
        <v>556.96</v>
      </c>
      <c r="AW33" s="51">
        <f t="shared" si="45"/>
        <v>60.51282051</v>
      </c>
      <c r="AX33" s="54"/>
      <c r="AY33" s="54"/>
      <c r="AZ33" s="54"/>
      <c r="BA33" s="54"/>
      <c r="BB33" s="4"/>
      <c r="BC33" s="4"/>
      <c r="BD33" s="4"/>
      <c r="BE33" s="4"/>
      <c r="BF33" s="4"/>
      <c r="BG33" s="4"/>
    </row>
    <row r="34" ht="15.75" customHeight="1">
      <c r="A34" s="19"/>
      <c r="B34" s="7" t="s">
        <v>32</v>
      </c>
      <c r="C34" s="7">
        <v>4.0</v>
      </c>
      <c r="D34" s="7">
        <v>102.0</v>
      </c>
      <c r="E34" s="21">
        <f>D33*a+(1-a)*E33</f>
        <v>20.64</v>
      </c>
      <c r="F34" s="3"/>
      <c r="G34" s="18">
        <f t="shared" si="31"/>
        <v>81.36</v>
      </c>
      <c r="H34" s="18">
        <f t="shared" si="32"/>
        <v>6619.4496</v>
      </c>
      <c r="I34" s="18">
        <f t="shared" si="33"/>
        <v>79.76470588</v>
      </c>
      <c r="J34" s="4"/>
      <c r="K34" s="19"/>
      <c r="L34" s="7" t="s">
        <v>32</v>
      </c>
      <c r="M34" s="7">
        <v>4.0</v>
      </c>
      <c r="N34" s="7">
        <v>102.0</v>
      </c>
      <c r="O34" s="21">
        <f>N33*b+(1-b)*O33</f>
        <v>24.16</v>
      </c>
      <c r="P34" s="3"/>
      <c r="Q34" s="18">
        <f t="shared" si="34"/>
        <v>77.84</v>
      </c>
      <c r="R34" s="18">
        <f t="shared" si="35"/>
        <v>6059.0656</v>
      </c>
      <c r="S34" s="18">
        <f t="shared" si="36"/>
        <v>76.31372549</v>
      </c>
      <c r="T34" s="4"/>
      <c r="U34" s="19"/>
      <c r="V34" s="47" t="s">
        <v>32</v>
      </c>
      <c r="W34" s="47">
        <v>4.0</v>
      </c>
      <c r="X34" s="47">
        <v>102.0</v>
      </c>
      <c r="Y34" s="52">
        <f>X33*d+(1-d)*Y33</f>
        <v>28</v>
      </c>
      <c r="Z34" s="3"/>
      <c r="AA34" s="51">
        <f t="shared" si="37"/>
        <v>74</v>
      </c>
      <c r="AB34" s="51">
        <f t="shared" si="38"/>
        <v>5476</v>
      </c>
      <c r="AC34" s="51">
        <f t="shared" si="39"/>
        <v>72.54901961</v>
      </c>
      <c r="AD34" s="4"/>
      <c r="AE34" s="19"/>
      <c r="AF34" s="47" t="s">
        <v>32</v>
      </c>
      <c r="AG34" s="47">
        <v>4.0</v>
      </c>
      <c r="AH34" s="47">
        <v>102.0</v>
      </c>
      <c r="AI34" s="52">
        <f>AH33*e+(1-e)*AI33</f>
        <v>20.64</v>
      </c>
      <c r="AJ34" s="3"/>
      <c r="AK34" s="51">
        <f t="shared" si="40"/>
        <v>81.36</v>
      </c>
      <c r="AL34" s="51">
        <f t="shared" si="41"/>
        <v>6619.4496</v>
      </c>
      <c r="AM34" s="51">
        <f t="shared" si="42"/>
        <v>79.76470588</v>
      </c>
      <c r="AN34" s="4"/>
      <c r="AO34" s="19"/>
      <c r="AP34" s="47" t="s">
        <v>32</v>
      </c>
      <c r="AQ34" s="47">
        <v>4.0</v>
      </c>
      <c r="AR34" s="47">
        <v>102.0</v>
      </c>
      <c r="AS34" s="52">
        <f>AR33*f+(1-f)*AS33</f>
        <v>36.64</v>
      </c>
      <c r="AT34" s="3"/>
      <c r="AU34" s="51">
        <f t="shared" si="43"/>
        <v>65.36</v>
      </c>
      <c r="AV34" s="51">
        <f t="shared" si="44"/>
        <v>4271.9296</v>
      </c>
      <c r="AW34" s="51">
        <f t="shared" si="45"/>
        <v>64.07843137</v>
      </c>
      <c r="AX34" s="54"/>
      <c r="AY34" s="54"/>
      <c r="AZ34" s="54"/>
      <c r="BA34" s="54"/>
      <c r="BB34" s="4"/>
      <c r="BC34" s="4"/>
      <c r="BD34" s="4"/>
      <c r="BE34" s="4"/>
      <c r="BF34" s="4"/>
      <c r="BG34" s="4"/>
    </row>
    <row r="35" ht="15.75" customHeight="1">
      <c r="A35" s="19"/>
      <c r="B35" s="7" t="s">
        <v>33</v>
      </c>
      <c r="C35" s="7">
        <v>5.0</v>
      </c>
      <c r="D35" s="7">
        <v>90.0</v>
      </c>
      <c r="E35" s="21">
        <f>D34*a+(1-a)*E34</f>
        <v>28.776</v>
      </c>
      <c r="F35" s="3"/>
      <c r="G35" s="18">
        <f t="shared" si="31"/>
        <v>61.224</v>
      </c>
      <c r="H35" s="18">
        <f t="shared" si="32"/>
        <v>3748.378176</v>
      </c>
      <c r="I35" s="18">
        <f t="shared" si="33"/>
        <v>68.02666667</v>
      </c>
      <c r="J35" s="4"/>
      <c r="K35" s="19"/>
      <c r="L35" s="7" t="s">
        <v>33</v>
      </c>
      <c r="M35" s="7">
        <v>5.0</v>
      </c>
      <c r="N35" s="7">
        <v>90.0</v>
      </c>
      <c r="O35" s="21">
        <f>N34*b+(1-b)*O34</f>
        <v>47.512</v>
      </c>
      <c r="P35" s="3"/>
      <c r="Q35" s="18">
        <f t="shared" si="34"/>
        <v>42.488</v>
      </c>
      <c r="R35" s="18">
        <f t="shared" si="35"/>
        <v>1805.230144</v>
      </c>
      <c r="S35" s="18">
        <f t="shared" si="36"/>
        <v>47.20888889</v>
      </c>
      <c r="T35" s="4"/>
      <c r="U35" s="19"/>
      <c r="V35" s="47" t="s">
        <v>33</v>
      </c>
      <c r="W35" s="47">
        <v>5.0</v>
      </c>
      <c r="X35" s="47">
        <v>90.0</v>
      </c>
      <c r="Y35" s="52">
        <f>X34*d+(1-d)*Y34</f>
        <v>65</v>
      </c>
      <c r="Z35" s="3"/>
      <c r="AA35" s="51">
        <f t="shared" si="37"/>
        <v>25</v>
      </c>
      <c r="AB35" s="51">
        <f t="shared" si="38"/>
        <v>625</v>
      </c>
      <c r="AC35" s="51">
        <f t="shared" si="39"/>
        <v>27.77777778</v>
      </c>
      <c r="AD35" s="4"/>
      <c r="AE35" s="19"/>
      <c r="AF35" s="47" t="s">
        <v>33</v>
      </c>
      <c r="AG35" s="47">
        <v>5.0</v>
      </c>
      <c r="AH35" s="47">
        <v>90.0</v>
      </c>
      <c r="AI35" s="52">
        <f>AH34*e+(1-e)*AI34</f>
        <v>28.776</v>
      </c>
      <c r="AJ35" s="3"/>
      <c r="AK35" s="51">
        <f t="shared" si="40"/>
        <v>61.224</v>
      </c>
      <c r="AL35" s="51">
        <f t="shared" si="41"/>
        <v>3748.378176</v>
      </c>
      <c r="AM35" s="51">
        <f t="shared" si="42"/>
        <v>68.02666667</v>
      </c>
      <c r="AN35" s="4"/>
      <c r="AO35" s="19"/>
      <c r="AP35" s="47" t="s">
        <v>33</v>
      </c>
      <c r="AQ35" s="47">
        <v>5.0</v>
      </c>
      <c r="AR35" s="47">
        <v>90.0</v>
      </c>
      <c r="AS35" s="52">
        <f>AR34*f+(1-f)*AS34</f>
        <v>95.464</v>
      </c>
      <c r="AT35" s="3"/>
      <c r="AU35" s="51">
        <f t="shared" si="43"/>
        <v>5.464</v>
      </c>
      <c r="AV35" s="51">
        <f t="shared" si="44"/>
        <v>29.855296</v>
      </c>
      <c r="AW35" s="51">
        <f t="shared" si="45"/>
        <v>6.071111111</v>
      </c>
      <c r="AX35" s="54"/>
      <c r="AY35" s="54"/>
      <c r="AZ35" s="54"/>
      <c r="BA35" s="54"/>
      <c r="BB35" s="4"/>
      <c r="BC35" s="4"/>
      <c r="BD35" s="4"/>
      <c r="BE35" s="4"/>
      <c r="BF35" s="4"/>
      <c r="BG35" s="4"/>
    </row>
    <row r="36" ht="15.75" customHeight="1">
      <c r="A36" s="19"/>
      <c r="B36" s="7" t="s">
        <v>34</v>
      </c>
      <c r="C36" s="7">
        <v>6.0</v>
      </c>
      <c r="D36" s="7">
        <v>29.0</v>
      </c>
      <c r="E36" s="21">
        <f>D35*a+(1-a)*E35</f>
        <v>34.8984</v>
      </c>
      <c r="F36" s="3"/>
      <c r="G36" s="18">
        <f t="shared" si="31"/>
        <v>5.8984</v>
      </c>
      <c r="H36" s="18">
        <f t="shared" si="32"/>
        <v>34.79112256</v>
      </c>
      <c r="I36" s="18">
        <f t="shared" si="33"/>
        <v>20.33931034</v>
      </c>
      <c r="J36" s="55"/>
      <c r="K36" s="19"/>
      <c r="L36" s="7" t="s">
        <v>34</v>
      </c>
      <c r="M36" s="7">
        <v>6.0</v>
      </c>
      <c r="N36" s="7">
        <v>29.0</v>
      </c>
      <c r="O36" s="21">
        <f>N35*b+(1-b)*O35</f>
        <v>60.2584</v>
      </c>
      <c r="P36" s="3"/>
      <c r="Q36" s="18">
        <f t="shared" si="34"/>
        <v>31.2584</v>
      </c>
      <c r="R36" s="18">
        <f t="shared" si="35"/>
        <v>977.0875706</v>
      </c>
      <c r="S36" s="18">
        <f t="shared" si="36"/>
        <v>107.7875862</v>
      </c>
      <c r="T36" s="4"/>
      <c r="U36" s="19"/>
      <c r="V36" s="47" t="s">
        <v>34</v>
      </c>
      <c r="W36" s="47">
        <v>6.0</v>
      </c>
      <c r="X36" s="47">
        <v>29.0</v>
      </c>
      <c r="Y36" s="52">
        <f>X35*d+(1-d)*Y35</f>
        <v>77.5</v>
      </c>
      <c r="Z36" s="3"/>
      <c r="AA36" s="51">
        <f t="shared" si="37"/>
        <v>48.5</v>
      </c>
      <c r="AB36" s="51">
        <f t="shared" si="38"/>
        <v>2352.25</v>
      </c>
      <c r="AC36" s="51">
        <f t="shared" si="39"/>
        <v>167.2413793</v>
      </c>
      <c r="AD36" s="4"/>
      <c r="AE36" s="19"/>
      <c r="AF36" s="47" t="s">
        <v>34</v>
      </c>
      <c r="AG36" s="47">
        <v>6.0</v>
      </c>
      <c r="AH36" s="47">
        <v>29.0</v>
      </c>
      <c r="AI36" s="52">
        <f>AH35*e+(1-e)*AI35</f>
        <v>34.8984</v>
      </c>
      <c r="AJ36" s="3"/>
      <c r="AK36" s="51">
        <f t="shared" si="40"/>
        <v>5.8984</v>
      </c>
      <c r="AL36" s="51">
        <f t="shared" si="41"/>
        <v>34.79112256</v>
      </c>
      <c r="AM36" s="51">
        <f t="shared" si="42"/>
        <v>20.33931034</v>
      </c>
      <c r="AN36" s="4"/>
      <c r="AO36" s="19"/>
      <c r="AP36" s="47" t="s">
        <v>34</v>
      </c>
      <c r="AQ36" s="47">
        <v>6.0</v>
      </c>
      <c r="AR36" s="47">
        <v>29.0</v>
      </c>
      <c r="AS36" s="52">
        <f>AR35*f+(1-f)*AS35</f>
        <v>90.5464</v>
      </c>
      <c r="AT36" s="3"/>
      <c r="AU36" s="51">
        <f t="shared" si="43"/>
        <v>61.5464</v>
      </c>
      <c r="AV36" s="51">
        <f t="shared" si="44"/>
        <v>3787.959353</v>
      </c>
      <c r="AW36" s="51">
        <f t="shared" si="45"/>
        <v>212.2289655</v>
      </c>
      <c r="AX36" s="54"/>
      <c r="AY36" s="54"/>
      <c r="AZ36" s="54"/>
      <c r="BA36" s="54"/>
      <c r="BB36" s="4"/>
      <c r="BC36" s="4"/>
      <c r="BD36" s="4"/>
      <c r="BE36" s="4"/>
      <c r="BF36" s="4"/>
      <c r="BG36" s="4"/>
    </row>
    <row r="37" ht="15.75" customHeight="1">
      <c r="A37" s="19"/>
      <c r="B37" s="7" t="s">
        <v>35</v>
      </c>
      <c r="C37" s="7">
        <v>7.0</v>
      </c>
      <c r="D37" s="7">
        <v>90.0</v>
      </c>
      <c r="E37" s="21">
        <f>D36*a+(1-a)*E36</f>
        <v>34.30856</v>
      </c>
      <c r="F37" s="3"/>
      <c r="G37" s="18">
        <f t="shared" si="31"/>
        <v>55.69144</v>
      </c>
      <c r="H37" s="18">
        <f t="shared" si="32"/>
        <v>3101.536489</v>
      </c>
      <c r="I37" s="18">
        <f t="shared" si="33"/>
        <v>61.87937778</v>
      </c>
      <c r="J37" s="4"/>
      <c r="K37" s="19"/>
      <c r="L37" s="7" t="s">
        <v>35</v>
      </c>
      <c r="M37" s="7">
        <v>7.0</v>
      </c>
      <c r="N37" s="7">
        <v>90.0</v>
      </c>
      <c r="O37" s="21">
        <f>N36*b+(1-b)*O36</f>
        <v>50.88088</v>
      </c>
      <c r="P37" s="3"/>
      <c r="Q37" s="18">
        <f t="shared" si="34"/>
        <v>39.11912</v>
      </c>
      <c r="R37" s="18">
        <f t="shared" si="35"/>
        <v>1530.30555</v>
      </c>
      <c r="S37" s="18">
        <f t="shared" si="36"/>
        <v>43.46568889</v>
      </c>
      <c r="T37" s="4"/>
      <c r="U37" s="19"/>
      <c r="V37" s="47" t="s">
        <v>35</v>
      </c>
      <c r="W37" s="47">
        <v>7.0</v>
      </c>
      <c r="X37" s="47">
        <v>90.0</v>
      </c>
      <c r="Y37" s="52">
        <f>X36*d+(1-d)*Y36</f>
        <v>53.25</v>
      </c>
      <c r="Z37" s="3"/>
      <c r="AA37" s="51">
        <f t="shared" si="37"/>
        <v>36.75</v>
      </c>
      <c r="AB37" s="51">
        <f t="shared" si="38"/>
        <v>1350.5625</v>
      </c>
      <c r="AC37" s="51">
        <f t="shared" si="39"/>
        <v>40.83333333</v>
      </c>
      <c r="AD37" s="4"/>
      <c r="AE37" s="19"/>
      <c r="AF37" s="47" t="s">
        <v>35</v>
      </c>
      <c r="AG37" s="47">
        <v>7.0</v>
      </c>
      <c r="AH37" s="47">
        <v>90.0</v>
      </c>
      <c r="AI37" s="52">
        <f>AH36*e+(1-e)*AI36</f>
        <v>34.30856</v>
      </c>
      <c r="AJ37" s="3"/>
      <c r="AK37" s="51">
        <f t="shared" si="40"/>
        <v>55.69144</v>
      </c>
      <c r="AL37" s="51">
        <f t="shared" si="41"/>
        <v>3101.536489</v>
      </c>
      <c r="AM37" s="51">
        <f t="shared" si="42"/>
        <v>61.87937778</v>
      </c>
      <c r="AN37" s="4"/>
      <c r="AO37" s="19"/>
      <c r="AP37" s="47" t="s">
        <v>35</v>
      </c>
      <c r="AQ37" s="47">
        <v>7.0</v>
      </c>
      <c r="AR37" s="47">
        <v>90.0</v>
      </c>
      <c r="AS37" s="52">
        <f>AR36*f+(1-f)*AS36</f>
        <v>35.15464</v>
      </c>
      <c r="AT37" s="3"/>
      <c r="AU37" s="51">
        <f t="shared" si="43"/>
        <v>54.84536</v>
      </c>
      <c r="AV37" s="51">
        <f t="shared" si="44"/>
        <v>3008.013514</v>
      </c>
      <c r="AW37" s="51">
        <f t="shared" si="45"/>
        <v>60.93928889</v>
      </c>
      <c r="AX37" s="54"/>
      <c r="AY37" s="54"/>
      <c r="AZ37" s="54"/>
      <c r="BA37" s="54"/>
      <c r="BB37" s="4"/>
      <c r="BC37" s="4"/>
      <c r="BD37" s="4"/>
      <c r="BE37" s="4"/>
      <c r="BF37" s="4"/>
      <c r="BG37" s="4"/>
    </row>
    <row r="38" ht="15.75" customHeight="1">
      <c r="A38" s="19"/>
      <c r="B38" s="7" t="s">
        <v>36</v>
      </c>
      <c r="C38" s="7">
        <v>8.0</v>
      </c>
      <c r="D38" s="7">
        <v>46.0</v>
      </c>
      <c r="E38" s="21">
        <f>D37*a+(1-a)*E37</f>
        <v>39.877704</v>
      </c>
      <c r="F38" s="3"/>
      <c r="G38" s="18">
        <f t="shared" si="31"/>
        <v>6.122296</v>
      </c>
      <c r="H38" s="18">
        <f t="shared" si="32"/>
        <v>37.48250831</v>
      </c>
      <c r="I38" s="18">
        <f t="shared" si="33"/>
        <v>13.30933913</v>
      </c>
      <c r="J38" s="4"/>
      <c r="K38" s="19"/>
      <c r="L38" s="7" t="s">
        <v>36</v>
      </c>
      <c r="M38" s="7">
        <v>8.0</v>
      </c>
      <c r="N38" s="7">
        <v>46.0</v>
      </c>
      <c r="O38" s="21">
        <f>N37*b+(1-b)*O37</f>
        <v>62.616616</v>
      </c>
      <c r="P38" s="3"/>
      <c r="Q38" s="18">
        <f t="shared" si="34"/>
        <v>16.616616</v>
      </c>
      <c r="R38" s="18">
        <f t="shared" si="35"/>
        <v>276.1119273</v>
      </c>
      <c r="S38" s="18">
        <f t="shared" si="36"/>
        <v>36.12307826</v>
      </c>
      <c r="T38" s="4"/>
      <c r="U38" s="19"/>
      <c r="V38" s="47" t="s">
        <v>36</v>
      </c>
      <c r="W38" s="47">
        <v>8.0</v>
      </c>
      <c r="X38" s="47">
        <v>46.0</v>
      </c>
      <c r="Y38" s="52">
        <f>X37*d+(1-d)*Y37</f>
        <v>71.625</v>
      </c>
      <c r="Z38" s="3"/>
      <c r="AA38" s="51">
        <f t="shared" si="37"/>
        <v>25.625</v>
      </c>
      <c r="AB38" s="51">
        <f t="shared" si="38"/>
        <v>656.640625</v>
      </c>
      <c r="AC38" s="51">
        <f t="shared" si="39"/>
        <v>55.70652174</v>
      </c>
      <c r="AD38" s="4"/>
      <c r="AE38" s="19"/>
      <c r="AF38" s="47" t="s">
        <v>36</v>
      </c>
      <c r="AG38" s="47">
        <v>8.0</v>
      </c>
      <c r="AH38" s="47">
        <v>46.0</v>
      </c>
      <c r="AI38" s="52">
        <f>AH37*e+(1-e)*AI37</f>
        <v>39.877704</v>
      </c>
      <c r="AJ38" s="3"/>
      <c r="AK38" s="51">
        <f t="shared" si="40"/>
        <v>6.122296</v>
      </c>
      <c r="AL38" s="51">
        <f t="shared" si="41"/>
        <v>37.48250831</v>
      </c>
      <c r="AM38" s="51">
        <f t="shared" si="42"/>
        <v>13.30933913</v>
      </c>
      <c r="AN38" s="4"/>
      <c r="AO38" s="19"/>
      <c r="AP38" s="47" t="s">
        <v>36</v>
      </c>
      <c r="AQ38" s="47">
        <v>8.0</v>
      </c>
      <c r="AR38" s="47">
        <v>46.0</v>
      </c>
      <c r="AS38" s="52">
        <f>AR37*f+(1-f)*AS37</f>
        <v>84.515464</v>
      </c>
      <c r="AT38" s="3"/>
      <c r="AU38" s="51">
        <f t="shared" si="43"/>
        <v>38.515464</v>
      </c>
      <c r="AV38" s="51">
        <f t="shared" si="44"/>
        <v>1483.440967</v>
      </c>
      <c r="AW38" s="51">
        <f t="shared" si="45"/>
        <v>83.72926957</v>
      </c>
      <c r="AX38" s="54"/>
      <c r="AY38" s="54"/>
      <c r="AZ38" s="54"/>
      <c r="BA38" s="54"/>
      <c r="BB38" s="4"/>
      <c r="BC38" s="4"/>
      <c r="BD38" s="4"/>
      <c r="BE38" s="4"/>
      <c r="BF38" s="4"/>
      <c r="BG38" s="4"/>
    </row>
    <row r="39" ht="15.75" customHeight="1">
      <c r="A39" s="19"/>
      <c r="B39" s="7" t="s">
        <v>37</v>
      </c>
      <c r="C39" s="7">
        <v>9.0</v>
      </c>
      <c r="D39" s="7">
        <v>30.0</v>
      </c>
      <c r="E39" s="21">
        <f>D38*a+(1-a)*E38</f>
        <v>40.4899336</v>
      </c>
      <c r="F39" s="3"/>
      <c r="G39" s="18">
        <f t="shared" si="31"/>
        <v>10.4899336</v>
      </c>
      <c r="H39" s="18">
        <f t="shared" si="32"/>
        <v>110.0387069</v>
      </c>
      <c r="I39" s="18">
        <f t="shared" si="33"/>
        <v>34.96644533</v>
      </c>
      <c r="J39" s="4"/>
      <c r="K39" s="19"/>
      <c r="L39" s="7" t="s">
        <v>37</v>
      </c>
      <c r="M39" s="7">
        <v>9.0</v>
      </c>
      <c r="N39" s="7">
        <v>30.0</v>
      </c>
      <c r="O39" s="21">
        <f>N38*b+(1-b)*O38</f>
        <v>57.6316312</v>
      </c>
      <c r="P39" s="3"/>
      <c r="Q39" s="18">
        <f t="shared" si="34"/>
        <v>27.6316312</v>
      </c>
      <c r="R39" s="18">
        <f t="shared" si="35"/>
        <v>763.5070428</v>
      </c>
      <c r="S39" s="18">
        <f t="shared" si="36"/>
        <v>92.10543733</v>
      </c>
      <c r="T39" s="4"/>
      <c r="U39" s="19"/>
      <c r="V39" s="47" t="s">
        <v>37</v>
      </c>
      <c r="W39" s="47">
        <v>9.0</v>
      </c>
      <c r="X39" s="47">
        <v>30.0</v>
      </c>
      <c r="Y39" s="52">
        <f>X38*d+(1-d)*Y38</f>
        <v>58.8125</v>
      </c>
      <c r="Z39" s="3"/>
      <c r="AA39" s="51">
        <f t="shared" si="37"/>
        <v>28.8125</v>
      </c>
      <c r="AB39" s="51">
        <f t="shared" si="38"/>
        <v>830.1601563</v>
      </c>
      <c r="AC39" s="51">
        <f t="shared" si="39"/>
        <v>96.04166667</v>
      </c>
      <c r="AD39" s="4"/>
      <c r="AE39" s="19"/>
      <c r="AF39" s="47" t="s">
        <v>37</v>
      </c>
      <c r="AG39" s="47">
        <v>9.0</v>
      </c>
      <c r="AH39" s="47">
        <v>30.0</v>
      </c>
      <c r="AI39" s="52">
        <f>AH38*e+(1-e)*AI38</f>
        <v>40.4899336</v>
      </c>
      <c r="AJ39" s="3"/>
      <c r="AK39" s="51">
        <f t="shared" si="40"/>
        <v>10.4899336</v>
      </c>
      <c r="AL39" s="51">
        <f t="shared" si="41"/>
        <v>110.0387069</v>
      </c>
      <c r="AM39" s="51">
        <f t="shared" si="42"/>
        <v>34.96644533</v>
      </c>
      <c r="AN39" s="4"/>
      <c r="AO39" s="19"/>
      <c r="AP39" s="47" t="s">
        <v>37</v>
      </c>
      <c r="AQ39" s="47">
        <v>9.0</v>
      </c>
      <c r="AR39" s="47">
        <v>30.0</v>
      </c>
      <c r="AS39" s="52">
        <f>AR38*f+(1-f)*AS38</f>
        <v>49.8515464</v>
      </c>
      <c r="AT39" s="3"/>
      <c r="AU39" s="51">
        <f t="shared" si="43"/>
        <v>19.8515464</v>
      </c>
      <c r="AV39" s="51">
        <f t="shared" si="44"/>
        <v>394.0838945</v>
      </c>
      <c r="AW39" s="51">
        <f t="shared" si="45"/>
        <v>66.17182133</v>
      </c>
      <c r="AX39" s="54"/>
      <c r="AY39" s="54"/>
      <c r="AZ39" s="54"/>
      <c r="BA39" s="54"/>
      <c r="BB39" s="4"/>
      <c r="BC39" s="4"/>
      <c r="BD39" s="4"/>
      <c r="BE39" s="4"/>
      <c r="BF39" s="4"/>
      <c r="BG39" s="4"/>
    </row>
    <row r="40" ht="15.75" customHeight="1">
      <c r="A40" s="19"/>
      <c r="B40" s="7" t="s">
        <v>38</v>
      </c>
      <c r="C40" s="7">
        <v>10.0</v>
      </c>
      <c r="D40" s="7">
        <v>66.0</v>
      </c>
      <c r="E40" s="21">
        <f>D39*a+(1-a)*E39</f>
        <v>39.44094024</v>
      </c>
      <c r="F40" s="3"/>
      <c r="G40" s="18">
        <f t="shared" si="31"/>
        <v>26.55905976</v>
      </c>
      <c r="H40" s="18">
        <f t="shared" si="32"/>
        <v>705.3836553</v>
      </c>
      <c r="I40" s="18">
        <f t="shared" si="33"/>
        <v>40.24099964</v>
      </c>
      <c r="J40" s="4"/>
      <c r="K40" s="19"/>
      <c r="L40" s="7" t="s">
        <v>38</v>
      </c>
      <c r="M40" s="7">
        <v>10.0</v>
      </c>
      <c r="N40" s="7">
        <v>66.0</v>
      </c>
      <c r="O40" s="21">
        <f>N39*b+(1-b)*O39</f>
        <v>49.34214184</v>
      </c>
      <c r="P40" s="3"/>
      <c r="Q40" s="18">
        <f t="shared" si="34"/>
        <v>16.65785816</v>
      </c>
      <c r="R40" s="18">
        <f t="shared" si="35"/>
        <v>277.4842385</v>
      </c>
      <c r="S40" s="18">
        <f t="shared" si="36"/>
        <v>25.23917903</v>
      </c>
      <c r="T40" s="4"/>
      <c r="U40" s="19"/>
      <c r="V40" s="47" t="s">
        <v>38</v>
      </c>
      <c r="W40" s="47">
        <v>10.0</v>
      </c>
      <c r="X40" s="47">
        <v>66.0</v>
      </c>
      <c r="Y40" s="52">
        <f>X39*d+(1-d)*Y39</f>
        <v>44.40625</v>
      </c>
      <c r="Z40" s="3"/>
      <c r="AA40" s="51">
        <f t="shared" si="37"/>
        <v>21.59375</v>
      </c>
      <c r="AB40" s="51">
        <f t="shared" si="38"/>
        <v>466.2900391</v>
      </c>
      <c r="AC40" s="51">
        <f t="shared" si="39"/>
        <v>32.71780303</v>
      </c>
      <c r="AD40" s="4"/>
      <c r="AE40" s="19"/>
      <c r="AF40" s="47" t="s">
        <v>38</v>
      </c>
      <c r="AG40" s="47">
        <v>10.0</v>
      </c>
      <c r="AH40" s="47">
        <v>66.0</v>
      </c>
      <c r="AI40" s="52">
        <f>AH39*e+(1-e)*AI39</f>
        <v>39.44094024</v>
      </c>
      <c r="AJ40" s="3"/>
      <c r="AK40" s="51">
        <f t="shared" si="40"/>
        <v>26.55905976</v>
      </c>
      <c r="AL40" s="51">
        <f t="shared" si="41"/>
        <v>705.3836553</v>
      </c>
      <c r="AM40" s="51">
        <f t="shared" si="42"/>
        <v>40.24099964</v>
      </c>
      <c r="AN40" s="4"/>
      <c r="AO40" s="19"/>
      <c r="AP40" s="47" t="s">
        <v>38</v>
      </c>
      <c r="AQ40" s="47">
        <v>10.0</v>
      </c>
      <c r="AR40" s="47">
        <v>66.0</v>
      </c>
      <c r="AS40" s="52">
        <f>AR39*f+(1-f)*AS39</f>
        <v>31.98515464</v>
      </c>
      <c r="AT40" s="3"/>
      <c r="AU40" s="51">
        <f t="shared" si="43"/>
        <v>34.01484536</v>
      </c>
      <c r="AV40" s="51">
        <f t="shared" si="44"/>
        <v>1157.009705</v>
      </c>
      <c r="AW40" s="51">
        <f t="shared" si="45"/>
        <v>51.53764448</v>
      </c>
      <c r="AX40" s="54"/>
      <c r="AY40" s="54"/>
      <c r="AZ40" s="54"/>
      <c r="BA40" s="54"/>
      <c r="BB40" s="4"/>
      <c r="BC40" s="4"/>
      <c r="BD40" s="4"/>
      <c r="BE40" s="4"/>
      <c r="BF40" s="4"/>
      <c r="BG40" s="4"/>
    </row>
    <row r="41" ht="15.75" customHeight="1">
      <c r="A41" s="19"/>
      <c r="B41" s="7" t="s">
        <v>39</v>
      </c>
      <c r="C41" s="7">
        <v>11.0</v>
      </c>
      <c r="D41" s="7">
        <v>80.0</v>
      </c>
      <c r="E41" s="21">
        <f>D40*a+(1-a)*E40</f>
        <v>42.09684622</v>
      </c>
      <c r="F41" s="3"/>
      <c r="G41" s="18">
        <f t="shared" si="31"/>
        <v>37.90315378</v>
      </c>
      <c r="H41" s="18">
        <f t="shared" si="32"/>
        <v>1436.649067</v>
      </c>
      <c r="I41" s="18">
        <f t="shared" si="33"/>
        <v>47.37894223</v>
      </c>
      <c r="J41" s="4"/>
      <c r="K41" s="19"/>
      <c r="L41" s="7" t="s">
        <v>39</v>
      </c>
      <c r="M41" s="7">
        <v>11.0</v>
      </c>
      <c r="N41" s="7">
        <v>80.0</v>
      </c>
      <c r="O41" s="21">
        <f>N40*b+(1-b)*O40</f>
        <v>54.33949929</v>
      </c>
      <c r="P41" s="3"/>
      <c r="Q41" s="18">
        <f t="shared" si="34"/>
        <v>25.66050071</v>
      </c>
      <c r="R41" s="18">
        <f t="shared" si="35"/>
        <v>658.4612968</v>
      </c>
      <c r="S41" s="18">
        <f t="shared" si="36"/>
        <v>32.07562589</v>
      </c>
      <c r="T41" s="4"/>
      <c r="U41" s="19"/>
      <c r="V41" s="47" t="s">
        <v>39</v>
      </c>
      <c r="W41" s="47">
        <v>11.0</v>
      </c>
      <c r="X41" s="47">
        <v>80.0</v>
      </c>
      <c r="Y41" s="52">
        <f>X40*d+(1-d)*Y40</f>
        <v>55.203125</v>
      </c>
      <c r="Z41" s="3"/>
      <c r="AA41" s="51">
        <f t="shared" si="37"/>
        <v>24.796875</v>
      </c>
      <c r="AB41" s="51">
        <f t="shared" si="38"/>
        <v>614.8850098</v>
      </c>
      <c r="AC41" s="51">
        <f t="shared" si="39"/>
        <v>30.99609375</v>
      </c>
      <c r="AD41" s="4"/>
      <c r="AE41" s="19"/>
      <c r="AF41" s="47" t="s">
        <v>39</v>
      </c>
      <c r="AG41" s="47">
        <v>11.0</v>
      </c>
      <c r="AH41" s="47">
        <v>80.0</v>
      </c>
      <c r="AI41" s="52">
        <f>AH40*e+(1-e)*AI40</f>
        <v>42.09684622</v>
      </c>
      <c r="AJ41" s="3"/>
      <c r="AK41" s="51">
        <f t="shared" si="40"/>
        <v>37.90315378</v>
      </c>
      <c r="AL41" s="51">
        <f t="shared" si="41"/>
        <v>1436.649067</v>
      </c>
      <c r="AM41" s="51">
        <f t="shared" si="42"/>
        <v>47.37894223</v>
      </c>
      <c r="AN41" s="4"/>
      <c r="AO41" s="19"/>
      <c r="AP41" s="47" t="s">
        <v>39</v>
      </c>
      <c r="AQ41" s="47">
        <v>11.0</v>
      </c>
      <c r="AR41" s="47">
        <v>80.0</v>
      </c>
      <c r="AS41" s="52">
        <f>AR40*f+(1-f)*AS40</f>
        <v>62.59851546</v>
      </c>
      <c r="AT41" s="3"/>
      <c r="AU41" s="51">
        <f t="shared" si="43"/>
        <v>17.40148454</v>
      </c>
      <c r="AV41" s="51">
        <f t="shared" si="44"/>
        <v>302.8116641</v>
      </c>
      <c r="AW41" s="51">
        <f t="shared" si="45"/>
        <v>21.75185567</v>
      </c>
      <c r="AX41" s="54"/>
      <c r="AY41" s="54"/>
      <c r="AZ41" s="54"/>
      <c r="BA41" s="54"/>
      <c r="BB41" s="4"/>
      <c r="BC41" s="4"/>
      <c r="BD41" s="4"/>
      <c r="BE41" s="4"/>
      <c r="BF41" s="4"/>
      <c r="BG41" s="4"/>
    </row>
    <row r="42" ht="15.75" customHeight="1">
      <c r="A42" s="23"/>
      <c r="B42" s="7" t="s">
        <v>40</v>
      </c>
      <c r="C42" s="7">
        <v>12.0</v>
      </c>
      <c r="D42" s="7">
        <v>89.0</v>
      </c>
      <c r="E42" s="21">
        <f>D41*a+(1-a)*E41</f>
        <v>45.88716159</v>
      </c>
      <c r="F42" s="3"/>
      <c r="G42" s="18">
        <f t="shared" si="31"/>
        <v>43.11283841</v>
      </c>
      <c r="H42" s="18">
        <f t="shared" si="32"/>
        <v>1858.716835</v>
      </c>
      <c r="I42" s="18">
        <f t="shared" si="33"/>
        <v>48.44139147</v>
      </c>
      <c r="J42" s="4"/>
      <c r="K42" s="23"/>
      <c r="L42" s="7" t="s">
        <v>40</v>
      </c>
      <c r="M42" s="7">
        <v>12.0</v>
      </c>
      <c r="N42" s="7">
        <v>89.0</v>
      </c>
      <c r="O42" s="21">
        <f>N41*b+(1-b)*O41</f>
        <v>62.0376495</v>
      </c>
      <c r="P42" s="3"/>
      <c r="Q42" s="18">
        <f t="shared" si="34"/>
        <v>26.9623505</v>
      </c>
      <c r="R42" s="18">
        <f t="shared" si="35"/>
        <v>726.9683444</v>
      </c>
      <c r="S42" s="18">
        <f t="shared" si="36"/>
        <v>30.29477584</v>
      </c>
      <c r="T42" s="4"/>
      <c r="U42" s="23"/>
      <c r="V42" s="47" t="s">
        <v>40</v>
      </c>
      <c r="W42" s="47">
        <v>12.0</v>
      </c>
      <c r="X42" s="47">
        <v>89.0</v>
      </c>
      <c r="Y42" s="52">
        <f>X41*d+(1-d)*Y41</f>
        <v>67.6015625</v>
      </c>
      <c r="Z42" s="3"/>
      <c r="AA42" s="51">
        <f t="shared" si="37"/>
        <v>21.3984375</v>
      </c>
      <c r="AB42" s="51">
        <f t="shared" si="38"/>
        <v>457.8931274</v>
      </c>
      <c r="AC42" s="51">
        <f t="shared" si="39"/>
        <v>24.0431882</v>
      </c>
      <c r="AD42" s="4"/>
      <c r="AE42" s="23"/>
      <c r="AF42" s="47" t="s">
        <v>40</v>
      </c>
      <c r="AG42" s="47">
        <v>12.0</v>
      </c>
      <c r="AH42" s="47">
        <v>89.0</v>
      </c>
      <c r="AI42" s="52">
        <f>AH41*e+(1-e)*AI41</f>
        <v>45.88716159</v>
      </c>
      <c r="AJ42" s="3"/>
      <c r="AK42" s="51">
        <f t="shared" si="40"/>
        <v>43.11283841</v>
      </c>
      <c r="AL42" s="51">
        <f t="shared" si="41"/>
        <v>1858.716835</v>
      </c>
      <c r="AM42" s="51">
        <f t="shared" si="42"/>
        <v>48.44139147</v>
      </c>
      <c r="AN42" s="4"/>
      <c r="AO42" s="23"/>
      <c r="AP42" s="47" t="s">
        <v>40</v>
      </c>
      <c r="AQ42" s="47">
        <v>12.0</v>
      </c>
      <c r="AR42" s="47">
        <v>89.0</v>
      </c>
      <c r="AS42" s="52">
        <f>AR41*f+(1-f)*AS41</f>
        <v>78.25985155</v>
      </c>
      <c r="AT42" s="3"/>
      <c r="AU42" s="51">
        <f t="shared" si="43"/>
        <v>10.74014845</v>
      </c>
      <c r="AV42" s="51">
        <f t="shared" si="44"/>
        <v>115.3507888</v>
      </c>
      <c r="AW42" s="51">
        <f t="shared" si="45"/>
        <v>12.06758253</v>
      </c>
      <c r="AX42" s="54"/>
      <c r="AY42" s="54"/>
      <c r="AZ42" s="54"/>
      <c r="BA42" s="54"/>
      <c r="BB42" s="4"/>
      <c r="BC42" s="4"/>
      <c r="BD42" s="4"/>
      <c r="BE42" s="4"/>
      <c r="BF42" s="4"/>
      <c r="BG42" s="4"/>
    </row>
    <row r="43" ht="15.75" customHeight="1">
      <c r="A43" s="14">
        <v>1992.0</v>
      </c>
      <c r="B43" s="7" t="s">
        <v>29</v>
      </c>
      <c r="C43" s="7">
        <v>13.0</v>
      </c>
      <c r="D43" s="7">
        <v>82.0</v>
      </c>
      <c r="E43" s="21">
        <f>D42*a+(1-a)*E42</f>
        <v>50.19844543</v>
      </c>
      <c r="F43" s="3"/>
      <c r="G43" s="18">
        <f t="shared" si="31"/>
        <v>31.80155457</v>
      </c>
      <c r="H43" s="18">
        <f t="shared" si="32"/>
        <v>1011.338873</v>
      </c>
      <c r="I43" s="18">
        <f t="shared" si="33"/>
        <v>38.78238362</v>
      </c>
      <c r="J43" s="4"/>
      <c r="K43" s="14">
        <v>1992.0</v>
      </c>
      <c r="L43" s="7" t="s">
        <v>29</v>
      </c>
      <c r="M43" s="7">
        <v>13.0</v>
      </c>
      <c r="N43" s="7">
        <v>82.0</v>
      </c>
      <c r="O43" s="21">
        <f>N42*b+(1-b)*O42</f>
        <v>70.12635465</v>
      </c>
      <c r="P43" s="3"/>
      <c r="Q43" s="18">
        <f t="shared" si="34"/>
        <v>11.87364535</v>
      </c>
      <c r="R43" s="18">
        <f t="shared" si="35"/>
        <v>140.9834539</v>
      </c>
      <c r="S43" s="18">
        <f t="shared" si="36"/>
        <v>14.4800553</v>
      </c>
      <c r="T43" s="4"/>
      <c r="U43" s="50">
        <v>1992.0</v>
      </c>
      <c r="V43" s="47" t="s">
        <v>29</v>
      </c>
      <c r="W43" s="47">
        <v>13.0</v>
      </c>
      <c r="X43" s="47">
        <v>82.0</v>
      </c>
      <c r="Y43" s="52">
        <f>X42*d+(1-d)*Y42</f>
        <v>78.30078125</v>
      </c>
      <c r="Z43" s="3"/>
      <c r="AA43" s="51">
        <f t="shared" si="37"/>
        <v>3.69921875</v>
      </c>
      <c r="AB43" s="51">
        <f t="shared" si="38"/>
        <v>13.68421936</v>
      </c>
      <c r="AC43" s="51">
        <f t="shared" si="39"/>
        <v>4.511242378</v>
      </c>
      <c r="AD43" s="4"/>
      <c r="AE43" s="50">
        <v>1992.0</v>
      </c>
      <c r="AF43" s="47" t="s">
        <v>29</v>
      </c>
      <c r="AG43" s="47">
        <v>13.0</v>
      </c>
      <c r="AH43" s="47">
        <v>82.0</v>
      </c>
      <c r="AI43" s="52">
        <f>AH42*e+(1-e)*AI42</f>
        <v>50.19844543</v>
      </c>
      <c r="AJ43" s="3"/>
      <c r="AK43" s="51">
        <f t="shared" si="40"/>
        <v>31.80155457</v>
      </c>
      <c r="AL43" s="51">
        <f t="shared" si="41"/>
        <v>1011.338873</v>
      </c>
      <c r="AM43" s="51">
        <f t="shared" si="42"/>
        <v>38.78238362</v>
      </c>
      <c r="AN43" s="4"/>
      <c r="AO43" s="50">
        <v>1992.0</v>
      </c>
      <c r="AP43" s="47" t="s">
        <v>29</v>
      </c>
      <c r="AQ43" s="47">
        <v>13.0</v>
      </c>
      <c r="AR43" s="47">
        <v>82.0</v>
      </c>
      <c r="AS43" s="52">
        <f>AR42*f+(1-f)*AS42</f>
        <v>87.92598515</v>
      </c>
      <c r="AT43" s="3"/>
      <c r="AU43" s="51">
        <f t="shared" si="43"/>
        <v>5.925985155</v>
      </c>
      <c r="AV43" s="51">
        <f t="shared" si="44"/>
        <v>35.11730005</v>
      </c>
      <c r="AW43" s="51">
        <f t="shared" si="45"/>
        <v>7.226811164</v>
      </c>
      <c r="AX43" s="54"/>
      <c r="AY43" s="54"/>
      <c r="AZ43" s="54"/>
      <c r="BA43" s="54"/>
      <c r="BB43" s="4"/>
      <c r="BC43" s="4"/>
      <c r="BD43" s="4"/>
      <c r="BE43" s="4"/>
      <c r="BF43" s="4"/>
      <c r="BG43" s="4"/>
    </row>
    <row r="44" ht="15.75" customHeight="1">
      <c r="A44" s="19"/>
      <c r="B44" s="7" t="s">
        <v>30</v>
      </c>
      <c r="C44" s="7">
        <v>14.0</v>
      </c>
      <c r="D44" s="7">
        <v>17.0</v>
      </c>
      <c r="E44" s="21">
        <f>D43*a+(1-a)*E43</f>
        <v>53.37860089</v>
      </c>
      <c r="F44" s="3"/>
      <c r="G44" s="18">
        <f t="shared" si="31"/>
        <v>36.37860089</v>
      </c>
      <c r="H44" s="18">
        <f t="shared" si="32"/>
        <v>1323.402603</v>
      </c>
      <c r="I44" s="18">
        <f t="shared" si="33"/>
        <v>213.9917699</v>
      </c>
      <c r="J44" s="4"/>
      <c r="K44" s="19"/>
      <c r="L44" s="7" t="s">
        <v>30</v>
      </c>
      <c r="M44" s="7">
        <v>14.0</v>
      </c>
      <c r="N44" s="7">
        <v>17.0</v>
      </c>
      <c r="O44" s="21">
        <f>N43*b+(1-b)*O43</f>
        <v>73.68844826</v>
      </c>
      <c r="P44" s="3"/>
      <c r="Q44" s="18">
        <f t="shared" si="34"/>
        <v>56.68844826</v>
      </c>
      <c r="R44" s="18">
        <f t="shared" si="35"/>
        <v>3213.580166</v>
      </c>
      <c r="S44" s="18">
        <f t="shared" si="36"/>
        <v>333.4614603</v>
      </c>
      <c r="T44" s="4"/>
      <c r="U44" s="19"/>
      <c r="V44" s="47" t="s">
        <v>30</v>
      </c>
      <c r="W44" s="47">
        <v>14.0</v>
      </c>
      <c r="X44" s="47">
        <v>17.0</v>
      </c>
      <c r="Y44" s="52">
        <f>X43*d+(1-d)*Y43</f>
        <v>80.15039063</v>
      </c>
      <c r="Z44" s="3"/>
      <c r="AA44" s="51">
        <f t="shared" si="37"/>
        <v>63.15039063</v>
      </c>
      <c r="AB44" s="51">
        <f t="shared" si="38"/>
        <v>3987.971836</v>
      </c>
      <c r="AC44" s="51">
        <f t="shared" si="39"/>
        <v>371.472886</v>
      </c>
      <c r="AD44" s="4"/>
      <c r="AE44" s="19"/>
      <c r="AF44" s="47" t="s">
        <v>30</v>
      </c>
      <c r="AG44" s="47">
        <v>14.0</v>
      </c>
      <c r="AH44" s="47">
        <v>17.0</v>
      </c>
      <c r="AI44" s="52">
        <f>AH43*e+(1-e)*AI43</f>
        <v>53.37860089</v>
      </c>
      <c r="AJ44" s="3"/>
      <c r="AK44" s="51">
        <f t="shared" si="40"/>
        <v>36.37860089</v>
      </c>
      <c r="AL44" s="51">
        <f t="shared" si="41"/>
        <v>1323.402603</v>
      </c>
      <c r="AM44" s="51">
        <f t="shared" si="42"/>
        <v>213.9917699</v>
      </c>
      <c r="AN44" s="4"/>
      <c r="AO44" s="19"/>
      <c r="AP44" s="47" t="s">
        <v>30</v>
      </c>
      <c r="AQ44" s="47">
        <v>14.0</v>
      </c>
      <c r="AR44" s="47">
        <v>17.0</v>
      </c>
      <c r="AS44" s="52">
        <f>AR43*f+(1-f)*AS43</f>
        <v>82.59259852</v>
      </c>
      <c r="AT44" s="3"/>
      <c r="AU44" s="51">
        <f t="shared" si="43"/>
        <v>65.59259852</v>
      </c>
      <c r="AV44" s="51">
        <f t="shared" si="44"/>
        <v>4302.38898</v>
      </c>
      <c r="AW44" s="51">
        <f t="shared" si="45"/>
        <v>385.8388148</v>
      </c>
      <c r="AX44" s="54"/>
      <c r="AY44" s="54"/>
      <c r="AZ44" s="54"/>
      <c r="BA44" s="54"/>
      <c r="BB44" s="4"/>
      <c r="BC44" s="4"/>
      <c r="BD44" s="4"/>
      <c r="BE44" s="4"/>
      <c r="BF44" s="4"/>
      <c r="BG44" s="4"/>
    </row>
    <row r="45" ht="15.75" customHeight="1">
      <c r="A45" s="19"/>
      <c r="B45" s="7" t="s">
        <v>31</v>
      </c>
      <c r="C45" s="7">
        <v>15.0</v>
      </c>
      <c r="D45" s="7">
        <v>26.0</v>
      </c>
      <c r="E45" s="21">
        <f>D44*a+(1-a)*E44</f>
        <v>49.7407408</v>
      </c>
      <c r="F45" s="3"/>
      <c r="G45" s="18">
        <f t="shared" si="31"/>
        <v>23.7407408</v>
      </c>
      <c r="H45" s="18">
        <f t="shared" si="32"/>
        <v>563.6227738</v>
      </c>
      <c r="I45" s="18">
        <f t="shared" si="33"/>
        <v>91.31054155</v>
      </c>
      <c r="J45" s="4"/>
      <c r="K45" s="19"/>
      <c r="L45" s="7" t="s">
        <v>31</v>
      </c>
      <c r="M45" s="7">
        <v>15.0</v>
      </c>
      <c r="N45" s="7">
        <v>26.0</v>
      </c>
      <c r="O45" s="21">
        <f>N44*b+(1-b)*O44</f>
        <v>56.68191378</v>
      </c>
      <c r="P45" s="3"/>
      <c r="Q45" s="18">
        <f t="shared" si="34"/>
        <v>30.68191378</v>
      </c>
      <c r="R45" s="18">
        <f t="shared" si="35"/>
        <v>941.3798331</v>
      </c>
      <c r="S45" s="18">
        <f t="shared" si="36"/>
        <v>118.0073607</v>
      </c>
      <c r="T45" s="4"/>
      <c r="U45" s="19"/>
      <c r="V45" s="47" t="s">
        <v>31</v>
      </c>
      <c r="W45" s="47">
        <v>15.0</v>
      </c>
      <c r="X45" s="47">
        <v>26.0</v>
      </c>
      <c r="Y45" s="52">
        <f>X44*d+(1-d)*Y44</f>
        <v>48.57519531</v>
      </c>
      <c r="Z45" s="3"/>
      <c r="AA45" s="51">
        <f t="shared" si="37"/>
        <v>22.57519531</v>
      </c>
      <c r="AB45" s="51">
        <f t="shared" si="38"/>
        <v>509.6394434</v>
      </c>
      <c r="AC45" s="51">
        <f t="shared" si="39"/>
        <v>86.82767428</v>
      </c>
      <c r="AD45" s="4"/>
      <c r="AE45" s="19"/>
      <c r="AF45" s="47" t="s">
        <v>31</v>
      </c>
      <c r="AG45" s="47">
        <v>15.0</v>
      </c>
      <c r="AH45" s="47">
        <v>26.0</v>
      </c>
      <c r="AI45" s="52">
        <f>AH44*e+(1-e)*AI44</f>
        <v>49.7407408</v>
      </c>
      <c r="AJ45" s="3"/>
      <c r="AK45" s="51">
        <f t="shared" si="40"/>
        <v>23.7407408</v>
      </c>
      <c r="AL45" s="51">
        <f t="shared" si="41"/>
        <v>563.6227738</v>
      </c>
      <c r="AM45" s="51">
        <f t="shared" si="42"/>
        <v>91.31054155</v>
      </c>
      <c r="AN45" s="4"/>
      <c r="AO45" s="19"/>
      <c r="AP45" s="47" t="s">
        <v>31</v>
      </c>
      <c r="AQ45" s="47">
        <v>15.0</v>
      </c>
      <c r="AR45" s="47">
        <v>26.0</v>
      </c>
      <c r="AS45" s="52">
        <f>AR44*f+(1-f)*AS44</f>
        <v>23.55925985</v>
      </c>
      <c r="AT45" s="3"/>
      <c r="AU45" s="51">
        <f t="shared" si="43"/>
        <v>2.440740148</v>
      </c>
      <c r="AV45" s="51">
        <f t="shared" si="44"/>
        <v>5.957212472</v>
      </c>
      <c r="AW45" s="51">
        <f t="shared" si="45"/>
        <v>9.387462109</v>
      </c>
      <c r="AX45" s="54"/>
      <c r="AY45" s="54"/>
      <c r="AZ45" s="54"/>
      <c r="BA45" s="54"/>
      <c r="BB45" s="4"/>
      <c r="BC45" s="4"/>
      <c r="BD45" s="4"/>
      <c r="BE45" s="4"/>
      <c r="BF45" s="4"/>
      <c r="BG45" s="4"/>
    </row>
    <row r="46" ht="15.75" customHeight="1">
      <c r="A46" s="23"/>
      <c r="B46" s="7" t="s">
        <v>32</v>
      </c>
      <c r="C46" s="7">
        <v>16.0</v>
      </c>
      <c r="D46" s="7">
        <v>29.0</v>
      </c>
      <c r="E46" s="21">
        <f>D45*a+(1-a)*E45</f>
        <v>47.36666672</v>
      </c>
      <c r="F46" s="3"/>
      <c r="G46" s="18">
        <f t="shared" si="31"/>
        <v>18.36666672</v>
      </c>
      <c r="H46" s="18">
        <f t="shared" si="32"/>
        <v>337.3344465</v>
      </c>
      <c r="I46" s="18">
        <f t="shared" si="33"/>
        <v>63.33333352</v>
      </c>
      <c r="J46" s="4"/>
      <c r="K46" s="23"/>
      <c r="L46" s="7" t="s">
        <v>32</v>
      </c>
      <c r="M46" s="7">
        <v>16.0</v>
      </c>
      <c r="N46" s="7">
        <v>29.0</v>
      </c>
      <c r="O46" s="21">
        <f>N45*b+(1-b)*O45</f>
        <v>47.47733965</v>
      </c>
      <c r="P46" s="3"/>
      <c r="Q46" s="18">
        <f t="shared" si="34"/>
        <v>18.47733965</v>
      </c>
      <c r="R46" s="18">
        <f t="shared" si="35"/>
        <v>341.4120804</v>
      </c>
      <c r="S46" s="18">
        <f t="shared" si="36"/>
        <v>63.71496429</v>
      </c>
      <c r="T46" s="4"/>
      <c r="U46" s="23"/>
      <c r="V46" s="47" t="s">
        <v>32</v>
      </c>
      <c r="W46" s="47">
        <v>16.0</v>
      </c>
      <c r="X46" s="47">
        <v>29.0</v>
      </c>
      <c r="Y46" s="52">
        <f>X45*d+(1-d)*Y45</f>
        <v>37.28759766</v>
      </c>
      <c r="Z46" s="3"/>
      <c r="AA46" s="51">
        <f t="shared" si="37"/>
        <v>8.287597656</v>
      </c>
      <c r="AB46" s="51">
        <f t="shared" si="38"/>
        <v>68.68427491</v>
      </c>
      <c r="AC46" s="51">
        <f t="shared" si="39"/>
        <v>28.57792295</v>
      </c>
      <c r="AD46" s="4"/>
      <c r="AE46" s="23"/>
      <c r="AF46" s="47" t="s">
        <v>32</v>
      </c>
      <c r="AG46" s="47">
        <v>16.0</v>
      </c>
      <c r="AH46" s="47">
        <v>29.0</v>
      </c>
      <c r="AI46" s="52">
        <f>AH45*e+(1-e)*AI45</f>
        <v>47.36666672</v>
      </c>
      <c r="AJ46" s="3"/>
      <c r="AK46" s="51">
        <f t="shared" si="40"/>
        <v>18.36666672</v>
      </c>
      <c r="AL46" s="51">
        <f t="shared" si="41"/>
        <v>337.3344465</v>
      </c>
      <c r="AM46" s="51">
        <f t="shared" si="42"/>
        <v>63.33333352</v>
      </c>
      <c r="AN46" s="4"/>
      <c r="AO46" s="23"/>
      <c r="AP46" s="47" t="s">
        <v>32</v>
      </c>
      <c r="AQ46" s="47">
        <v>16.0</v>
      </c>
      <c r="AR46" s="47">
        <v>29.0</v>
      </c>
      <c r="AS46" s="52">
        <f>AR45*f+(1-f)*AS45</f>
        <v>25.75592599</v>
      </c>
      <c r="AT46" s="3"/>
      <c r="AU46" s="51">
        <f t="shared" si="43"/>
        <v>3.244074015</v>
      </c>
      <c r="AV46" s="51">
        <f t="shared" si="44"/>
        <v>10.52401621</v>
      </c>
      <c r="AW46" s="51">
        <f t="shared" si="45"/>
        <v>11.18646212</v>
      </c>
      <c r="AX46" s="54"/>
      <c r="AY46" s="54"/>
      <c r="AZ46" s="54"/>
      <c r="BA46" s="54"/>
      <c r="BB46" s="4"/>
      <c r="BC46" s="4"/>
      <c r="BD46" s="4"/>
      <c r="BE46" s="4"/>
      <c r="BF46" s="4"/>
      <c r="BG46" s="4"/>
    </row>
    <row r="47" ht="15.75" customHeight="1">
      <c r="A47" s="7"/>
      <c r="B47" s="7"/>
      <c r="C47" s="7"/>
      <c r="D47" s="7"/>
      <c r="E47" s="21">
        <f>D46*a+(1-a)*E46</f>
        <v>45.53000005</v>
      </c>
      <c r="F47" s="3"/>
      <c r="G47" s="7"/>
      <c r="H47" s="7"/>
      <c r="I47" s="7"/>
      <c r="J47" s="4"/>
      <c r="K47" s="7"/>
      <c r="L47" s="7"/>
      <c r="M47" s="7"/>
      <c r="N47" s="7"/>
      <c r="O47" s="21">
        <f>N46*b+(1-b)*O46</f>
        <v>41.93413775</v>
      </c>
      <c r="P47" s="3"/>
      <c r="Q47" s="7"/>
      <c r="R47" s="7"/>
      <c r="S47" s="7"/>
      <c r="T47" s="4"/>
      <c r="U47" s="47"/>
      <c r="V47" s="47"/>
      <c r="W47" s="47"/>
      <c r="X47" s="47"/>
      <c r="Y47" s="52">
        <f>X46*d+(1-d)*Y46</f>
        <v>33.14379883</v>
      </c>
      <c r="Z47" s="3"/>
      <c r="AA47" s="47"/>
      <c r="AB47" s="47"/>
      <c r="AC47" s="47"/>
      <c r="AD47" s="4"/>
      <c r="AE47" s="47"/>
      <c r="AF47" s="47"/>
      <c r="AG47" s="47"/>
      <c r="AH47" s="47"/>
      <c r="AI47" s="52">
        <f>AH46*e+(1-e)*AI46</f>
        <v>45.53000005</v>
      </c>
      <c r="AJ47" s="3"/>
      <c r="AK47" s="47"/>
      <c r="AL47" s="47"/>
      <c r="AM47" s="47"/>
      <c r="AN47" s="4"/>
      <c r="AO47" s="47"/>
      <c r="AP47" s="47"/>
      <c r="AQ47" s="47"/>
      <c r="AR47" s="47"/>
      <c r="AS47" s="52">
        <f>AR46*f+(1-f)*AS46</f>
        <v>28.6755926</v>
      </c>
      <c r="AT47" s="3"/>
      <c r="AU47" s="47"/>
      <c r="AV47" s="47"/>
      <c r="AW47" s="47"/>
      <c r="AX47" s="54"/>
      <c r="AY47" s="54"/>
      <c r="AZ47" s="54"/>
      <c r="BA47" s="54"/>
      <c r="BB47" s="4"/>
      <c r="BC47" s="4"/>
      <c r="BD47" s="4"/>
      <c r="BE47" s="4"/>
      <c r="BF47" s="4"/>
      <c r="BG47" s="4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4"/>
      <c r="K48" s="7"/>
      <c r="L48" s="7"/>
      <c r="M48" s="7"/>
      <c r="N48" s="7"/>
      <c r="O48" s="7"/>
      <c r="P48" s="7"/>
      <c r="Q48" s="7"/>
      <c r="R48" s="7"/>
      <c r="S48" s="7"/>
      <c r="T48" s="4"/>
      <c r="U48" s="47"/>
      <c r="V48" s="47"/>
      <c r="W48" s="47"/>
      <c r="X48" s="47"/>
      <c r="Y48" s="47"/>
      <c r="Z48" s="47"/>
      <c r="AA48" s="47"/>
      <c r="AB48" s="47"/>
      <c r="AC48" s="47"/>
      <c r="AD48" s="4"/>
      <c r="AE48" s="47"/>
      <c r="AF48" s="47"/>
      <c r="AG48" s="47"/>
      <c r="AH48" s="47"/>
      <c r="AI48" s="47"/>
      <c r="AJ48" s="47"/>
      <c r="AK48" s="47"/>
      <c r="AL48" s="47"/>
      <c r="AM48" s="47"/>
      <c r="AN48" s="4"/>
      <c r="AO48" s="47"/>
      <c r="AP48" s="47"/>
      <c r="AQ48" s="47"/>
      <c r="AR48" s="47"/>
      <c r="AS48" s="47"/>
      <c r="AT48" s="47"/>
      <c r="AU48" s="47"/>
      <c r="AV48" s="47"/>
      <c r="AW48" s="47"/>
      <c r="AX48" s="54"/>
      <c r="AY48" s="48"/>
      <c r="AZ48" s="48"/>
      <c r="BA48" s="48"/>
      <c r="BB48" s="4"/>
      <c r="BC48" s="4"/>
      <c r="BD48" s="4"/>
      <c r="BE48" s="4"/>
      <c r="BF48" s="4"/>
      <c r="BG48" s="4"/>
    </row>
    <row r="49" ht="15.75" customHeight="1">
      <c r="A49" s="27" t="s">
        <v>19</v>
      </c>
      <c r="B49" s="28"/>
      <c r="C49" s="29"/>
      <c r="D49" s="29"/>
      <c r="E49" s="29"/>
      <c r="F49" s="29"/>
      <c r="G49" s="34">
        <f t="shared" ref="G49:I49" si="46">G32+G33+G34+G35+G36+G37+G38+G39+G40+G41+G42+G43+G44+G45+G46</f>
        <v>463.0486845</v>
      </c>
      <c r="H49" s="34">
        <f t="shared" si="46"/>
        <v>21320.28486</v>
      </c>
      <c r="I49" s="34">
        <f t="shared" si="46"/>
        <v>900.7395661</v>
      </c>
      <c r="J49" s="4"/>
      <c r="K49" s="27" t="s">
        <v>19</v>
      </c>
      <c r="L49" s="28"/>
      <c r="M49" s="29"/>
      <c r="N49" s="29"/>
      <c r="O49" s="29"/>
      <c r="P49" s="29"/>
      <c r="Q49" s="34">
        <f t="shared" ref="Q49:S49" si="47">Q32+Q33+Q34+Q35+Q36+Q37+Q38+Q39+Q40+Q41+Q42+Q43+Q44+Q45+Q46</f>
        <v>447.1558236</v>
      </c>
      <c r="R49" s="34">
        <f t="shared" si="47"/>
        <v>18177.01725</v>
      </c>
      <c r="S49" s="34">
        <f t="shared" si="47"/>
        <v>1101.303467</v>
      </c>
      <c r="T49" s="4"/>
      <c r="U49" s="56" t="s">
        <v>19</v>
      </c>
      <c r="V49" s="28"/>
      <c r="W49" s="57"/>
      <c r="X49" s="57"/>
      <c r="Y49" s="57"/>
      <c r="Z49" s="57"/>
      <c r="AA49" s="58">
        <f t="shared" ref="AA49:AC49" si="48">AA32+AA33+AA34+AA35+AA36+AA37+AA38+AA39+AA40+AA41+AA42+AA43+AA44+AA45+AA46</f>
        <v>430.1889648</v>
      </c>
      <c r="AB49" s="58">
        <f t="shared" si="48"/>
        <v>17909.66123</v>
      </c>
      <c r="AC49" s="58">
        <f t="shared" si="48"/>
        <v>1122.373432</v>
      </c>
      <c r="AD49" s="4"/>
      <c r="AE49" s="56" t="s">
        <v>19</v>
      </c>
      <c r="AF49" s="28"/>
      <c r="AG49" s="57"/>
      <c r="AH49" s="57"/>
      <c r="AI49" s="57"/>
      <c r="AJ49" s="57"/>
      <c r="AK49" s="58">
        <f t="shared" ref="AK49:AM49" si="49">AK32+AK33+AK34+AK35+AK36+AK37+AK38+AK39+AK40+AK41+AK42+AK43+AK44+AK45+AK46</f>
        <v>463.0486845</v>
      </c>
      <c r="AL49" s="58">
        <f t="shared" si="49"/>
        <v>21320.28486</v>
      </c>
      <c r="AM49" s="58">
        <f t="shared" si="49"/>
        <v>900.7395661</v>
      </c>
      <c r="AN49" s="4"/>
      <c r="AO49" s="56" t="s">
        <v>19</v>
      </c>
      <c r="AP49" s="28"/>
      <c r="AQ49" s="57"/>
      <c r="AR49" s="57"/>
      <c r="AS49" s="57"/>
      <c r="AT49" s="57"/>
      <c r="AU49" s="58">
        <f t="shared" ref="AU49:AW49" si="50">AU32+AU33+AU34+AU35+AU36+AU37+AU38+AU39+AU40+AU41+AU42+AU43+AU44+AU45+AU46</f>
        <v>412.5426466</v>
      </c>
      <c r="AV49" s="58">
        <f t="shared" si="50"/>
        <v>19477.40229</v>
      </c>
      <c r="AW49" s="58">
        <f t="shared" si="50"/>
        <v>1079.395008</v>
      </c>
      <c r="AX49" s="48"/>
      <c r="AY49" s="48"/>
      <c r="AZ49" s="48"/>
      <c r="BA49" s="48"/>
      <c r="BB49" s="4"/>
      <c r="BC49" s="4"/>
      <c r="BD49" s="4"/>
      <c r="BE49" s="4"/>
      <c r="BF49" s="4"/>
      <c r="BG49" s="4"/>
    </row>
    <row r="50" ht="15.75" customHeight="1">
      <c r="A50" s="35"/>
      <c r="B50" s="36"/>
      <c r="C50" s="29"/>
      <c r="D50" s="29"/>
      <c r="E50" s="29"/>
      <c r="F50" s="29"/>
      <c r="G50" s="34">
        <f t="shared" ref="G50:I50" si="51">G49/15</f>
        <v>30.8699123</v>
      </c>
      <c r="H50" s="34">
        <f t="shared" si="51"/>
        <v>1421.352324</v>
      </c>
      <c r="I50" s="34">
        <f t="shared" si="51"/>
        <v>60.04930441</v>
      </c>
      <c r="J50" s="4"/>
      <c r="K50" s="35"/>
      <c r="L50" s="36"/>
      <c r="M50" s="29"/>
      <c r="N50" s="29"/>
      <c r="O50" s="29"/>
      <c r="P50" s="29"/>
      <c r="Q50" s="34">
        <f t="shared" ref="Q50:S50" si="52">Q49/15</f>
        <v>29.81038824</v>
      </c>
      <c r="R50" s="34">
        <f t="shared" si="52"/>
        <v>1211.80115</v>
      </c>
      <c r="S50" s="34">
        <f t="shared" si="52"/>
        <v>73.42023116</v>
      </c>
      <c r="T50" s="4"/>
      <c r="U50" s="35"/>
      <c r="V50" s="36"/>
      <c r="W50" s="57"/>
      <c r="X50" s="57"/>
      <c r="Y50" s="57"/>
      <c r="Z50" s="57"/>
      <c r="AA50" s="58">
        <f t="shared" ref="AA50:AC50" si="53">AA49/15</f>
        <v>28.67926432</v>
      </c>
      <c r="AB50" s="58">
        <f t="shared" si="53"/>
        <v>1193.977415</v>
      </c>
      <c r="AC50" s="58">
        <f t="shared" si="53"/>
        <v>74.82489548</v>
      </c>
      <c r="AD50" s="4"/>
      <c r="AE50" s="35"/>
      <c r="AF50" s="36"/>
      <c r="AG50" s="57"/>
      <c r="AH50" s="57"/>
      <c r="AI50" s="57"/>
      <c r="AJ50" s="57"/>
      <c r="AK50" s="58">
        <f t="shared" ref="AK50:AM50" si="54">AK49/15</f>
        <v>30.8699123</v>
      </c>
      <c r="AL50" s="58">
        <f t="shared" si="54"/>
        <v>1421.352324</v>
      </c>
      <c r="AM50" s="58">
        <f t="shared" si="54"/>
        <v>60.04930441</v>
      </c>
      <c r="AN50" s="4"/>
      <c r="AO50" s="35"/>
      <c r="AP50" s="36"/>
      <c r="AQ50" s="57"/>
      <c r="AR50" s="57"/>
      <c r="AS50" s="57"/>
      <c r="AT50" s="57"/>
      <c r="AU50" s="58">
        <f t="shared" ref="AU50:AW50" si="55">AU49/15</f>
        <v>27.50284311</v>
      </c>
      <c r="AV50" s="58">
        <f t="shared" si="55"/>
        <v>1298.493486</v>
      </c>
      <c r="AW50" s="58">
        <f t="shared" si="55"/>
        <v>71.95966719</v>
      </c>
      <c r="AX50" s="48"/>
      <c r="AY50" s="54"/>
      <c r="AZ50" s="54"/>
      <c r="BA50" s="54"/>
      <c r="BB50" s="4"/>
      <c r="BC50" s="4"/>
      <c r="BD50" s="4"/>
      <c r="BE50" s="4"/>
      <c r="BF50" s="4"/>
      <c r="BG50" s="4"/>
    </row>
    <row r="51" ht="15.75" customHeight="1">
      <c r="A51" s="39"/>
      <c r="B51" s="40"/>
      <c r="C51" s="29"/>
      <c r="D51" s="29"/>
      <c r="E51" s="29"/>
      <c r="F51" s="29"/>
      <c r="G51" s="29" t="s">
        <v>20</v>
      </c>
      <c r="H51" s="29" t="s">
        <v>21</v>
      </c>
      <c r="I51" s="29" t="s">
        <v>22</v>
      </c>
      <c r="J51" s="4"/>
      <c r="K51" s="39"/>
      <c r="L51" s="40"/>
      <c r="M51" s="29"/>
      <c r="N51" s="29"/>
      <c r="O51" s="29"/>
      <c r="P51" s="29"/>
      <c r="Q51" s="29" t="s">
        <v>20</v>
      </c>
      <c r="R51" s="29" t="s">
        <v>21</v>
      </c>
      <c r="S51" s="29" t="s">
        <v>22</v>
      </c>
      <c r="T51" s="4"/>
      <c r="U51" s="39"/>
      <c r="V51" s="40"/>
      <c r="W51" s="57"/>
      <c r="X51" s="57"/>
      <c r="Y51" s="57"/>
      <c r="Z51" s="57"/>
      <c r="AA51" s="57" t="s">
        <v>20</v>
      </c>
      <c r="AB51" s="57" t="s">
        <v>21</v>
      </c>
      <c r="AC51" s="57" t="s">
        <v>22</v>
      </c>
      <c r="AD51" s="4"/>
      <c r="AE51" s="39"/>
      <c r="AF51" s="40"/>
      <c r="AG51" s="57"/>
      <c r="AH51" s="57"/>
      <c r="AI51" s="57"/>
      <c r="AJ51" s="57"/>
      <c r="AK51" s="57" t="s">
        <v>20</v>
      </c>
      <c r="AL51" s="57" t="s">
        <v>21</v>
      </c>
      <c r="AM51" s="57" t="s">
        <v>22</v>
      </c>
      <c r="AN51" s="4"/>
      <c r="AO51" s="39"/>
      <c r="AP51" s="40"/>
      <c r="AQ51" s="57"/>
      <c r="AR51" s="57"/>
      <c r="AS51" s="57"/>
      <c r="AT51" s="57"/>
      <c r="AU51" s="57" t="s">
        <v>20</v>
      </c>
      <c r="AV51" s="57" t="s">
        <v>21</v>
      </c>
      <c r="AW51" s="57" t="s">
        <v>22</v>
      </c>
      <c r="AX51" s="48"/>
      <c r="AY51" s="54"/>
      <c r="AZ51" s="54"/>
      <c r="BA51" s="54"/>
      <c r="BB51" s="4"/>
      <c r="BC51" s="4"/>
      <c r="BD51" s="4"/>
      <c r="BE51" s="4"/>
      <c r="BF51" s="4"/>
      <c r="BG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"/>
      <c r="AH52" s="48"/>
      <c r="AI52" s="48"/>
      <c r="AJ52" s="48"/>
      <c r="AK52" s="48"/>
      <c r="AL52" s="48"/>
      <c r="AM52" s="48"/>
      <c r="AN52" s="48"/>
      <c r="AO52" s="48"/>
      <c r="AP52" s="48"/>
      <c r="AQ52" s="4"/>
      <c r="AR52" s="4"/>
      <c r="AS52" s="48"/>
      <c r="AT52" s="48"/>
      <c r="AU52" s="48"/>
      <c r="AV52" s="48"/>
      <c r="AW52" s="48"/>
      <c r="AX52" s="48"/>
      <c r="AY52" s="48"/>
      <c r="AZ52" s="48"/>
      <c r="BA52" s="48"/>
      <c r="BB52" s="4"/>
      <c r="BC52" s="4"/>
      <c r="BD52" s="4"/>
      <c r="BE52" s="4"/>
      <c r="BF52" s="4"/>
      <c r="BG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</row>
  </sheetData>
  <mergeCells count="240">
    <mergeCell ref="O17:Q17"/>
    <mergeCell ref="O18:Q18"/>
    <mergeCell ref="E19:F19"/>
    <mergeCell ref="O19:Q19"/>
    <mergeCell ref="E20:F20"/>
    <mergeCell ref="O20:Q20"/>
    <mergeCell ref="O21:Q21"/>
    <mergeCell ref="A1:I1"/>
    <mergeCell ref="A2:I2"/>
    <mergeCell ref="K1:T1"/>
    <mergeCell ref="K2:T2"/>
    <mergeCell ref="V1:AF1"/>
    <mergeCell ref="V2:AF2"/>
    <mergeCell ref="AH1:AS1"/>
    <mergeCell ref="AH2:AS2"/>
    <mergeCell ref="AL3:AP3"/>
    <mergeCell ref="AL4:AP4"/>
    <mergeCell ref="E5:F5"/>
    <mergeCell ref="V5:V16"/>
    <mergeCell ref="E13:F13"/>
    <mergeCell ref="E17:F17"/>
    <mergeCell ref="E18:F18"/>
    <mergeCell ref="AI35:AJ35"/>
    <mergeCell ref="AI36:AJ36"/>
    <mergeCell ref="AI37:AJ37"/>
    <mergeCell ref="AI38:AJ38"/>
    <mergeCell ref="AS38:AT38"/>
    <mergeCell ref="O39:P39"/>
    <mergeCell ref="Y39:Z39"/>
    <mergeCell ref="AI39:AJ39"/>
    <mergeCell ref="AS39:AT39"/>
    <mergeCell ref="AI40:AJ40"/>
    <mergeCell ref="AI41:AJ41"/>
    <mergeCell ref="E39:F39"/>
    <mergeCell ref="E40:F40"/>
    <mergeCell ref="O40:P40"/>
    <mergeCell ref="Y40:Z40"/>
    <mergeCell ref="E41:F41"/>
    <mergeCell ref="O41:P41"/>
    <mergeCell ref="Y41:Z41"/>
    <mergeCell ref="AI33:AJ33"/>
    <mergeCell ref="AI34:AJ34"/>
    <mergeCell ref="AH17:AH20"/>
    <mergeCell ref="AI29:AJ29"/>
    <mergeCell ref="AI30:AJ30"/>
    <mergeCell ref="AI31:AJ31"/>
    <mergeCell ref="AI32:AJ32"/>
    <mergeCell ref="AI42:AJ42"/>
    <mergeCell ref="AH23:AI25"/>
    <mergeCell ref="AI45:AJ45"/>
    <mergeCell ref="AI46:AJ46"/>
    <mergeCell ref="AE49:AF51"/>
    <mergeCell ref="AO49:AP51"/>
    <mergeCell ref="E46:F46"/>
    <mergeCell ref="E47:F47"/>
    <mergeCell ref="A49:B51"/>
    <mergeCell ref="K49:L51"/>
    <mergeCell ref="U49:V51"/>
    <mergeCell ref="O43:P43"/>
    <mergeCell ref="U43:U46"/>
    <mergeCell ref="E44:F44"/>
    <mergeCell ref="O44:P44"/>
    <mergeCell ref="E45:F45"/>
    <mergeCell ref="O45:P45"/>
    <mergeCell ref="O46:P46"/>
    <mergeCell ref="O47:P47"/>
    <mergeCell ref="AI44:AJ44"/>
    <mergeCell ref="AI47:AJ47"/>
    <mergeCell ref="Y43:Z43"/>
    <mergeCell ref="AI43:AJ43"/>
    <mergeCell ref="AO43:AO46"/>
    <mergeCell ref="Y44:Z44"/>
    <mergeCell ref="Y45:Z45"/>
    <mergeCell ref="Y46:Z46"/>
    <mergeCell ref="Y47:Z47"/>
    <mergeCell ref="AS47:AT47"/>
    <mergeCell ref="AE28:AH28"/>
    <mergeCell ref="AO28:AR28"/>
    <mergeCell ref="V23:W25"/>
    <mergeCell ref="K27:S27"/>
    <mergeCell ref="K28:N28"/>
    <mergeCell ref="U27:AC27"/>
    <mergeCell ref="U28:X28"/>
    <mergeCell ref="Y29:Z29"/>
    <mergeCell ref="AE27:AM27"/>
    <mergeCell ref="A5:A16"/>
    <mergeCell ref="A17:A20"/>
    <mergeCell ref="A31:A42"/>
    <mergeCell ref="A43:A46"/>
    <mergeCell ref="A27:I27"/>
    <mergeCell ref="A28:D28"/>
    <mergeCell ref="A23:B25"/>
    <mergeCell ref="K5:K16"/>
    <mergeCell ref="K17:K20"/>
    <mergeCell ref="K31:K42"/>
    <mergeCell ref="K43:K46"/>
    <mergeCell ref="K23:L25"/>
    <mergeCell ref="AL16:AP16"/>
    <mergeCell ref="AL17:AP17"/>
    <mergeCell ref="AU17:AU20"/>
    <mergeCell ref="AL18:AP18"/>
    <mergeCell ref="AL19:AP19"/>
    <mergeCell ref="AL20:AP20"/>
    <mergeCell ref="AL21:AP21"/>
    <mergeCell ref="AE31:AE42"/>
    <mergeCell ref="AE43:AE46"/>
    <mergeCell ref="AS40:AT40"/>
    <mergeCell ref="AS41:AT41"/>
    <mergeCell ref="E42:F42"/>
    <mergeCell ref="O42:P42"/>
    <mergeCell ref="Y42:Z42"/>
    <mergeCell ref="AS42:AT42"/>
    <mergeCell ref="E43:F43"/>
    <mergeCell ref="AS43:AT43"/>
    <mergeCell ref="AS44:AT44"/>
    <mergeCell ref="AS45:AT45"/>
    <mergeCell ref="AS46:AT46"/>
    <mergeCell ref="Z5:AC5"/>
    <mergeCell ref="AH5:AH16"/>
    <mergeCell ref="Z6:AC6"/>
    <mergeCell ref="Z7:AC7"/>
    <mergeCell ref="Z8:AC8"/>
    <mergeCell ref="Z9:AC9"/>
    <mergeCell ref="Z10:AC10"/>
    <mergeCell ref="E6:F6"/>
    <mergeCell ref="E10:F10"/>
    <mergeCell ref="AL9:AP9"/>
    <mergeCell ref="AL10:AP10"/>
    <mergeCell ref="O10:Q10"/>
    <mergeCell ref="O11:Q11"/>
    <mergeCell ref="E11:F11"/>
    <mergeCell ref="E12:F12"/>
    <mergeCell ref="Z11:AC11"/>
    <mergeCell ref="Z12:AC12"/>
    <mergeCell ref="AL11:AP11"/>
    <mergeCell ref="AL12:AP12"/>
    <mergeCell ref="O12:Q12"/>
    <mergeCell ref="O13:Q13"/>
    <mergeCell ref="Z15:AC15"/>
    <mergeCell ref="Z16:AC16"/>
    <mergeCell ref="AY16:BD16"/>
    <mergeCell ref="AY17:BD17"/>
    <mergeCell ref="AY18:BD18"/>
    <mergeCell ref="AY19:BD19"/>
    <mergeCell ref="AY20:BD20"/>
    <mergeCell ref="AY21:BD21"/>
    <mergeCell ref="AY11:BD11"/>
    <mergeCell ref="AY12:BD12"/>
    <mergeCell ref="Z13:AC13"/>
    <mergeCell ref="AY13:BD13"/>
    <mergeCell ref="Z14:AC14"/>
    <mergeCell ref="AY14:BD14"/>
    <mergeCell ref="AY15:BD15"/>
    <mergeCell ref="AL5:AP5"/>
    <mergeCell ref="AU5:AU16"/>
    <mergeCell ref="AL6:AP6"/>
    <mergeCell ref="AL7:AP7"/>
    <mergeCell ref="AL8:AP8"/>
    <mergeCell ref="AL13:AP13"/>
    <mergeCell ref="AL14:AP14"/>
    <mergeCell ref="AL15:AP15"/>
    <mergeCell ref="E3:F3"/>
    <mergeCell ref="O3:Q3"/>
    <mergeCell ref="Z3:AC3"/>
    <mergeCell ref="AY3:BD3"/>
    <mergeCell ref="E4:F4"/>
    <mergeCell ref="O4:Q4"/>
    <mergeCell ref="Z4:AC4"/>
    <mergeCell ref="O5:Q5"/>
    <mergeCell ref="O6:Q6"/>
    <mergeCell ref="E7:F7"/>
    <mergeCell ref="O7:Q7"/>
    <mergeCell ref="E8:F8"/>
    <mergeCell ref="O8:Q8"/>
    <mergeCell ref="E9:F9"/>
    <mergeCell ref="O9:Q9"/>
    <mergeCell ref="E14:F14"/>
    <mergeCell ref="O14:Q14"/>
    <mergeCell ref="E15:F15"/>
    <mergeCell ref="O15:Q15"/>
    <mergeCell ref="E16:F16"/>
    <mergeCell ref="O16:Q16"/>
    <mergeCell ref="AU1:BG1"/>
    <mergeCell ref="AU2:BG2"/>
    <mergeCell ref="AY4:BD4"/>
    <mergeCell ref="AY5:BD5"/>
    <mergeCell ref="AY6:BD6"/>
    <mergeCell ref="AY7:BD7"/>
    <mergeCell ref="AY8:BD8"/>
    <mergeCell ref="AY9:BD9"/>
    <mergeCell ref="AY10:BD10"/>
    <mergeCell ref="V17:V20"/>
    <mergeCell ref="Z17:AC17"/>
    <mergeCell ref="Z18:AC18"/>
    <mergeCell ref="Z19:AC19"/>
    <mergeCell ref="Z20:AC20"/>
    <mergeCell ref="Z21:AC21"/>
    <mergeCell ref="Y30:Z30"/>
    <mergeCell ref="O30:P30"/>
    <mergeCell ref="O32:P32"/>
    <mergeCell ref="O29:P29"/>
    <mergeCell ref="O33:P33"/>
    <mergeCell ref="E34:F34"/>
    <mergeCell ref="O34:P34"/>
    <mergeCell ref="E35:F35"/>
    <mergeCell ref="O35:P35"/>
    <mergeCell ref="E36:F36"/>
    <mergeCell ref="O36:P36"/>
    <mergeCell ref="E37:F37"/>
    <mergeCell ref="O37:P37"/>
    <mergeCell ref="E38:F38"/>
    <mergeCell ref="O38:P38"/>
    <mergeCell ref="E21:F21"/>
    <mergeCell ref="E29:F29"/>
    <mergeCell ref="E30:F30"/>
    <mergeCell ref="E31:F31"/>
    <mergeCell ref="U31:U42"/>
    <mergeCell ref="E32:F32"/>
    <mergeCell ref="E33:F33"/>
    <mergeCell ref="AS34:AT34"/>
    <mergeCell ref="AS35:AT35"/>
    <mergeCell ref="AS36:AT36"/>
    <mergeCell ref="AS37:AT37"/>
    <mergeCell ref="AS29:AT29"/>
    <mergeCell ref="AS30:AT30"/>
    <mergeCell ref="AO31:AO42"/>
    <mergeCell ref="AS31:AT31"/>
    <mergeCell ref="AS32:AT32"/>
    <mergeCell ref="AS33:AT33"/>
    <mergeCell ref="AU23:AV25"/>
    <mergeCell ref="AO27:AW27"/>
    <mergeCell ref="Y37:Z37"/>
    <mergeCell ref="Y38:Z38"/>
    <mergeCell ref="O31:P31"/>
    <mergeCell ref="Y31:Z31"/>
    <mergeCell ref="Y32:Z32"/>
    <mergeCell ref="Y33:Z33"/>
    <mergeCell ref="Y34:Z34"/>
    <mergeCell ref="Y35:Z35"/>
    <mergeCell ref="Y36:Z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44"/>
    <col customWidth="1" min="2" max="3" width="10.56"/>
    <col customWidth="1" min="4" max="4" width="10.67"/>
    <col customWidth="1" min="5" max="10" width="10.56"/>
    <col customWidth="1" min="11" max="11" width="13.11"/>
    <col customWidth="1" min="12" max="26" width="10.56"/>
  </cols>
  <sheetData>
    <row r="1" ht="15.75" customHeight="1">
      <c r="A1" s="59" t="s">
        <v>42</v>
      </c>
      <c r="B1" s="2"/>
      <c r="C1" s="2"/>
      <c r="D1" s="3"/>
      <c r="E1" s="45" t="s">
        <v>41</v>
      </c>
      <c r="F1" s="7">
        <v>1.0</v>
      </c>
      <c r="G1" s="7"/>
      <c r="H1" s="4"/>
      <c r="I1" s="1" t="s">
        <v>43</v>
      </c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8" t="s">
        <v>4</v>
      </c>
      <c r="B2" s="8" t="s">
        <v>44</v>
      </c>
      <c r="C2" s="9" t="s">
        <v>6</v>
      </c>
      <c r="D2" s="3"/>
      <c r="E2" s="8" t="s">
        <v>7</v>
      </c>
      <c r="F2" s="12" t="s">
        <v>45</v>
      </c>
      <c r="G2" s="8" t="s">
        <v>8</v>
      </c>
      <c r="H2" s="4"/>
      <c r="I2" s="7" t="s">
        <v>46</v>
      </c>
      <c r="J2" s="7" t="s">
        <v>47</v>
      </c>
      <c r="K2" s="7"/>
      <c r="L2" s="7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/>
      <c r="B3" s="8"/>
      <c r="C3" s="60" t="s">
        <v>48</v>
      </c>
      <c r="D3" s="3"/>
      <c r="E3" s="61" t="s">
        <v>9</v>
      </c>
      <c r="F3" s="8" t="s">
        <v>10</v>
      </c>
      <c r="G3" s="8" t="s">
        <v>11</v>
      </c>
      <c r="H3" s="4"/>
      <c r="I3" s="45">
        <v>0.1</v>
      </c>
      <c r="J3" s="45">
        <v>0.1</v>
      </c>
      <c r="K3" s="7"/>
      <c r="L3" s="7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7">
        <v>1.0</v>
      </c>
      <c r="B4" s="7">
        <v>2.0</v>
      </c>
      <c r="C4" s="17">
        <v>2.0</v>
      </c>
      <c r="D4" s="3"/>
      <c r="E4" s="18"/>
      <c r="F4" s="18"/>
      <c r="G4" s="18"/>
      <c r="I4" s="8"/>
      <c r="J4" s="8" t="s">
        <v>49</v>
      </c>
      <c r="K4" s="8" t="s">
        <v>50</v>
      </c>
      <c r="L4" s="8" t="s">
        <v>51</v>
      </c>
      <c r="M4" s="8" t="s">
        <v>52</v>
      </c>
      <c r="N4" s="8" t="s">
        <v>7</v>
      </c>
      <c r="O4" s="8" t="s">
        <v>10</v>
      </c>
      <c r="P4" s="8" t="s">
        <v>8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7">
        <v>2.0</v>
      </c>
      <c r="B5" s="7">
        <v>4.0</v>
      </c>
      <c r="C5" s="21">
        <f>B4*h+(1-h)*C4</f>
        <v>2</v>
      </c>
      <c r="D5" s="3"/>
      <c r="E5" s="18">
        <f t="shared" ref="E5:E13" si="1">ABS(B5-C5)</f>
        <v>2</v>
      </c>
      <c r="F5" s="18">
        <f t="shared" ref="F5:F13" si="2">E5^2</f>
        <v>4</v>
      </c>
      <c r="G5" s="18">
        <f t="shared" ref="G5:G13" si="3">(E5/B5)*100</f>
        <v>50</v>
      </c>
      <c r="H5" s="62"/>
      <c r="I5" s="7">
        <v>1.0</v>
      </c>
      <c r="J5" s="7">
        <v>2.0</v>
      </c>
      <c r="K5" s="7">
        <v>2.0</v>
      </c>
      <c r="L5" s="7">
        <v>2.0</v>
      </c>
      <c r="M5" s="7"/>
      <c r="N5" s="7"/>
      <c r="O5" s="7"/>
      <c r="P5" s="7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7">
        <v>3.0</v>
      </c>
      <c r="B6" s="7">
        <v>6.0</v>
      </c>
      <c r="C6" s="21">
        <f>B5*h+(1-h)*C5</f>
        <v>4</v>
      </c>
      <c r="D6" s="3"/>
      <c r="E6" s="18">
        <f t="shared" si="1"/>
        <v>2</v>
      </c>
      <c r="F6" s="18">
        <f t="shared" si="2"/>
        <v>4</v>
      </c>
      <c r="G6" s="18">
        <f t="shared" si="3"/>
        <v>33.33333333</v>
      </c>
      <c r="H6" s="4"/>
      <c r="I6" s="7">
        <v>2.0</v>
      </c>
      <c r="J6" s="7">
        <v>4.0</v>
      </c>
      <c r="K6" s="63">
        <f>i*J6+(1-i)*(K5+L5)</f>
        <v>4</v>
      </c>
      <c r="L6" s="63">
        <f>j*(K6-K5)+(1-j)*L5</f>
        <v>2</v>
      </c>
      <c r="M6" s="7">
        <f t="shared" ref="M6:M14" si="4">$K$5+$L$5*I5</f>
        <v>4</v>
      </c>
      <c r="N6" s="7">
        <f t="shared" ref="N6:N14" si="5">ABS(J6-M6)</f>
        <v>0</v>
      </c>
      <c r="O6" s="7">
        <f t="shared" ref="O6:O14" si="6">N6^2</f>
        <v>0</v>
      </c>
      <c r="P6" s="7">
        <f t="shared" ref="P6:P14" si="7">(N6/J6)*100</f>
        <v>0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7">
        <v>4.0</v>
      </c>
      <c r="B7" s="7">
        <v>8.0</v>
      </c>
      <c r="C7" s="21">
        <f>B6*h+(1-h)*C6</f>
        <v>6</v>
      </c>
      <c r="D7" s="3"/>
      <c r="E7" s="18">
        <f t="shared" si="1"/>
        <v>2</v>
      </c>
      <c r="F7" s="18">
        <f t="shared" si="2"/>
        <v>4</v>
      </c>
      <c r="G7" s="18">
        <f t="shared" si="3"/>
        <v>25</v>
      </c>
      <c r="H7" s="4"/>
      <c r="I7" s="7">
        <v>3.0</v>
      </c>
      <c r="J7" s="7">
        <v>6.0</v>
      </c>
      <c r="K7" s="63">
        <f>i*J7+(1-i)*(K6+L6)</f>
        <v>6</v>
      </c>
      <c r="L7" s="63">
        <f>j*(K7-K6)+(1-j)*L6</f>
        <v>2</v>
      </c>
      <c r="M7" s="7">
        <f t="shared" si="4"/>
        <v>6</v>
      </c>
      <c r="N7" s="7">
        <f t="shared" si="5"/>
        <v>0</v>
      </c>
      <c r="O7" s="7">
        <f t="shared" si="6"/>
        <v>0</v>
      </c>
      <c r="P7" s="7">
        <f t="shared" si="7"/>
        <v>0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7">
        <v>5.0</v>
      </c>
      <c r="B8" s="7">
        <v>10.0</v>
      </c>
      <c r="C8" s="21">
        <f>B7*h+(1-h)*C7</f>
        <v>8</v>
      </c>
      <c r="D8" s="3"/>
      <c r="E8" s="18">
        <f t="shared" si="1"/>
        <v>2</v>
      </c>
      <c r="F8" s="18">
        <f t="shared" si="2"/>
        <v>4</v>
      </c>
      <c r="G8" s="18">
        <f t="shared" si="3"/>
        <v>20</v>
      </c>
      <c r="H8" s="4"/>
      <c r="I8" s="7">
        <v>4.0</v>
      </c>
      <c r="J8" s="7">
        <v>8.0</v>
      </c>
      <c r="K8" s="63">
        <f>i*J8+(1-i)*(K7+L7)</f>
        <v>8</v>
      </c>
      <c r="L8" s="63">
        <f>j*(K8-K7)+(1-j)*L7</f>
        <v>2</v>
      </c>
      <c r="M8" s="7">
        <f t="shared" si="4"/>
        <v>8</v>
      </c>
      <c r="N8" s="7">
        <f t="shared" si="5"/>
        <v>0</v>
      </c>
      <c r="O8" s="7">
        <f t="shared" si="6"/>
        <v>0</v>
      </c>
      <c r="P8" s="7">
        <f t="shared" si="7"/>
        <v>0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7">
        <v>6.0</v>
      </c>
      <c r="B9" s="7">
        <v>12.0</v>
      </c>
      <c r="C9" s="21">
        <f>B8*h+(1-h)*C8</f>
        <v>10</v>
      </c>
      <c r="D9" s="3"/>
      <c r="E9" s="18">
        <f t="shared" si="1"/>
        <v>2</v>
      </c>
      <c r="F9" s="18">
        <f t="shared" si="2"/>
        <v>4</v>
      </c>
      <c r="G9" s="18">
        <f t="shared" si="3"/>
        <v>16.66666667</v>
      </c>
      <c r="H9" s="4"/>
      <c r="I9" s="7">
        <v>5.0</v>
      </c>
      <c r="J9" s="7">
        <v>10.0</v>
      </c>
      <c r="K9" s="63">
        <f>i*J9+(1-i)*(K8+L8)</f>
        <v>10</v>
      </c>
      <c r="L9" s="63">
        <f>j*(K9-K8)+(1-j)*L8</f>
        <v>2</v>
      </c>
      <c r="M9" s="7">
        <f t="shared" si="4"/>
        <v>10</v>
      </c>
      <c r="N9" s="7">
        <f t="shared" si="5"/>
        <v>0</v>
      </c>
      <c r="O9" s="7">
        <f t="shared" si="6"/>
        <v>0</v>
      </c>
      <c r="P9" s="7">
        <f t="shared" si="7"/>
        <v>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7">
        <v>7.0</v>
      </c>
      <c r="B10" s="7">
        <v>14.0</v>
      </c>
      <c r="C10" s="21">
        <f>B9*h+(1-h)*C9</f>
        <v>12</v>
      </c>
      <c r="D10" s="3"/>
      <c r="E10" s="18">
        <f t="shared" si="1"/>
        <v>2</v>
      </c>
      <c r="F10" s="18">
        <f t="shared" si="2"/>
        <v>4</v>
      </c>
      <c r="G10" s="18">
        <f t="shared" si="3"/>
        <v>14.28571429</v>
      </c>
      <c r="H10" s="4"/>
      <c r="I10" s="7">
        <v>6.0</v>
      </c>
      <c r="J10" s="7">
        <v>12.0</v>
      </c>
      <c r="K10" s="63">
        <f>i*J10+(1-i)*(K9+L9)</f>
        <v>12</v>
      </c>
      <c r="L10" s="63">
        <f>j*(K10-K9)+(1-j)*L9</f>
        <v>2</v>
      </c>
      <c r="M10" s="7">
        <f t="shared" si="4"/>
        <v>12</v>
      </c>
      <c r="N10" s="7">
        <f t="shared" si="5"/>
        <v>0</v>
      </c>
      <c r="O10" s="7">
        <f t="shared" si="6"/>
        <v>0</v>
      </c>
      <c r="P10" s="7">
        <f t="shared" si="7"/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7">
        <v>8.0</v>
      </c>
      <c r="B11" s="7">
        <v>16.0</v>
      </c>
      <c r="C11" s="21">
        <f>B10*h+(1-h)*C10</f>
        <v>14</v>
      </c>
      <c r="D11" s="3"/>
      <c r="E11" s="18">
        <f t="shared" si="1"/>
        <v>2</v>
      </c>
      <c r="F11" s="18">
        <f t="shared" si="2"/>
        <v>4</v>
      </c>
      <c r="G11" s="18">
        <f t="shared" si="3"/>
        <v>12.5</v>
      </c>
      <c r="H11" s="4"/>
      <c r="I11" s="7">
        <v>7.0</v>
      </c>
      <c r="J11" s="7">
        <v>14.0</v>
      </c>
      <c r="K11" s="63">
        <f>i*J11+(1-i)*(K10+L10)</f>
        <v>14</v>
      </c>
      <c r="L11" s="63">
        <f>j*(K11-K10)+(1-j)*L10</f>
        <v>2</v>
      </c>
      <c r="M11" s="7">
        <f t="shared" si="4"/>
        <v>14</v>
      </c>
      <c r="N11" s="7">
        <f t="shared" si="5"/>
        <v>0</v>
      </c>
      <c r="O11" s="7">
        <f t="shared" si="6"/>
        <v>0</v>
      </c>
      <c r="P11" s="7">
        <f t="shared" si="7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7">
        <v>9.0</v>
      </c>
      <c r="B12" s="7">
        <v>18.0</v>
      </c>
      <c r="C12" s="21">
        <f>B11*h+(1-h)*C11</f>
        <v>16</v>
      </c>
      <c r="D12" s="3"/>
      <c r="E12" s="18">
        <f t="shared" si="1"/>
        <v>2</v>
      </c>
      <c r="F12" s="18">
        <f t="shared" si="2"/>
        <v>4</v>
      </c>
      <c r="G12" s="18">
        <f t="shared" si="3"/>
        <v>11.11111111</v>
      </c>
      <c r="H12" s="4"/>
      <c r="I12" s="7">
        <v>8.0</v>
      </c>
      <c r="J12" s="7">
        <v>16.0</v>
      </c>
      <c r="K12" s="63">
        <f>i*J12+(1-i)*(K11+L11)</f>
        <v>16</v>
      </c>
      <c r="L12" s="63">
        <f>j*(K12-K11)+(1-j)*L11</f>
        <v>2</v>
      </c>
      <c r="M12" s="7">
        <f t="shared" si="4"/>
        <v>16</v>
      </c>
      <c r="N12" s="7">
        <f t="shared" si="5"/>
        <v>0</v>
      </c>
      <c r="O12" s="7">
        <f t="shared" si="6"/>
        <v>0</v>
      </c>
      <c r="P12" s="7">
        <f t="shared" si="7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7">
        <v>10.0</v>
      </c>
      <c r="B13" s="7">
        <v>20.0</v>
      </c>
      <c r="C13" s="21">
        <f>B12*h+(1-h)*C12</f>
        <v>18</v>
      </c>
      <c r="D13" s="3"/>
      <c r="E13" s="18">
        <f t="shared" si="1"/>
        <v>2</v>
      </c>
      <c r="F13" s="18">
        <f t="shared" si="2"/>
        <v>4</v>
      </c>
      <c r="G13" s="18">
        <f t="shared" si="3"/>
        <v>10</v>
      </c>
      <c r="H13" s="4"/>
      <c r="I13" s="7">
        <v>9.0</v>
      </c>
      <c r="J13" s="7">
        <v>18.0</v>
      </c>
      <c r="K13" s="63">
        <f>i*J13+(1-i)*(K12+L12)</f>
        <v>18</v>
      </c>
      <c r="L13" s="63">
        <f>j*(K13-K12)+(1-j)*L12</f>
        <v>2</v>
      </c>
      <c r="M13" s="7">
        <f t="shared" si="4"/>
        <v>18</v>
      </c>
      <c r="N13" s="7">
        <f t="shared" si="5"/>
        <v>0</v>
      </c>
      <c r="O13" s="7">
        <f t="shared" si="6"/>
        <v>0</v>
      </c>
      <c r="P13" s="7">
        <f t="shared" si="7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/>
      <c r="B14" s="7"/>
      <c r="C14" s="21">
        <f>B13*h+(1-h)*C13</f>
        <v>20</v>
      </c>
      <c r="D14" s="3"/>
      <c r="E14" s="18"/>
      <c r="F14" s="18"/>
      <c r="G14" s="18"/>
      <c r="H14" s="4"/>
      <c r="I14" s="7">
        <v>10.0</v>
      </c>
      <c r="J14" s="7">
        <v>20.0</v>
      </c>
      <c r="K14" s="63">
        <f>i*J14+(1-i)*(K13+L13)</f>
        <v>20</v>
      </c>
      <c r="L14" s="63">
        <f>j*(K14-K13)+(1-j)*L13</f>
        <v>2</v>
      </c>
      <c r="M14" s="7">
        <f t="shared" si="4"/>
        <v>20</v>
      </c>
      <c r="N14" s="7">
        <f t="shared" si="5"/>
        <v>0</v>
      </c>
      <c r="O14" s="7">
        <f t="shared" si="6"/>
        <v>0</v>
      </c>
      <c r="P14" s="7">
        <f t="shared" si="7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7"/>
      <c r="B15" s="7"/>
      <c r="C15" s="21"/>
      <c r="D15" s="3"/>
      <c r="E15" s="18"/>
      <c r="F15" s="18"/>
      <c r="G15" s="18"/>
      <c r="H15" s="4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64" t="s">
        <v>19</v>
      </c>
      <c r="B16" s="29"/>
      <c r="C16" s="33"/>
      <c r="D16" s="3"/>
      <c r="E16" s="34">
        <f t="shared" ref="E16:G16" si="8">E5+E6+E7+E8+E9+E10+E11+E12+E13</f>
        <v>18</v>
      </c>
      <c r="F16" s="34">
        <f t="shared" si="8"/>
        <v>36</v>
      </c>
      <c r="G16" s="34">
        <f t="shared" si="8"/>
        <v>192.8968254</v>
      </c>
      <c r="H16" s="4"/>
      <c r="I16" s="64" t="s">
        <v>19</v>
      </c>
      <c r="J16" s="29"/>
      <c r="K16" s="29"/>
      <c r="L16" s="29"/>
      <c r="M16" s="29"/>
      <c r="N16" s="29">
        <f t="shared" ref="N16:P16" si="9">N6+N7+N8+N9+N10+N11+N12+N13+N14</f>
        <v>0</v>
      </c>
      <c r="O16" s="29">
        <f t="shared" si="9"/>
        <v>0</v>
      </c>
      <c r="P16" s="29">
        <f t="shared" si="9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9"/>
      <c r="B17" s="29"/>
      <c r="C17" s="33"/>
      <c r="D17" s="3"/>
      <c r="E17" s="34">
        <f t="shared" ref="E17:G17" si="10">E16/9</f>
        <v>2</v>
      </c>
      <c r="F17" s="34">
        <f t="shared" si="10"/>
        <v>4</v>
      </c>
      <c r="G17" s="34">
        <f t="shared" si="10"/>
        <v>21.4329806</v>
      </c>
      <c r="H17" s="4"/>
      <c r="I17" s="19"/>
      <c r="J17" s="29"/>
      <c r="K17" s="29"/>
      <c r="L17" s="29"/>
      <c r="M17" s="29"/>
      <c r="N17" s="29">
        <f t="shared" ref="N17:P17" si="11">N16/9</f>
        <v>0</v>
      </c>
      <c r="O17" s="29">
        <f t="shared" si="11"/>
        <v>0</v>
      </c>
      <c r="P17" s="29">
        <f t="shared" si="11"/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3"/>
      <c r="B18" s="29"/>
      <c r="C18" s="33"/>
      <c r="D18" s="3"/>
      <c r="E18" s="34" t="s">
        <v>20</v>
      </c>
      <c r="F18" s="34" t="s">
        <v>21</v>
      </c>
      <c r="G18" s="34" t="s">
        <v>22</v>
      </c>
      <c r="H18" s="4"/>
      <c r="I18" s="23"/>
      <c r="J18" s="29"/>
      <c r="K18" s="29"/>
      <c r="L18" s="29"/>
      <c r="M18" s="29"/>
      <c r="N18" s="29" t="s">
        <v>20</v>
      </c>
      <c r="O18" s="29" t="s">
        <v>21</v>
      </c>
      <c r="P18" s="29" t="s">
        <v>22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65"/>
      <c r="D19" s="65"/>
      <c r="E19" s="65"/>
      <c r="F19" s="65"/>
      <c r="G19" s="6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66" t="s">
        <v>46</v>
      </c>
      <c r="B20" s="66" t="s">
        <v>21</v>
      </c>
      <c r="C20" s="67" t="s">
        <v>22</v>
      </c>
      <c r="D20" s="65"/>
      <c r="E20" s="4"/>
      <c r="F20" s="4"/>
      <c r="G20" s="4"/>
      <c r="H20" s="4"/>
      <c r="I20" s="68" t="s">
        <v>53</v>
      </c>
      <c r="J20" s="69" t="s">
        <v>54</v>
      </c>
      <c r="K20" s="2"/>
      <c r="L20" s="2"/>
      <c r="M20" s="2"/>
      <c r="N20" s="2"/>
      <c r="O20" s="2"/>
      <c r="P20" s="2"/>
      <c r="Q20" s="2"/>
      <c r="R20" s="2"/>
      <c r="S20" s="3"/>
      <c r="T20" s="4"/>
      <c r="U20" s="4"/>
      <c r="V20" s="4"/>
      <c r="W20" s="4"/>
      <c r="X20" s="4"/>
      <c r="Y20" s="4"/>
      <c r="Z20" s="4"/>
    </row>
    <row r="21" ht="15.75" customHeight="1">
      <c r="A21" s="66">
        <v>0.1</v>
      </c>
      <c r="B21" s="70">
        <v>70.97</v>
      </c>
      <c r="C21" s="70">
        <v>63.87</v>
      </c>
      <c r="D21" s="4"/>
      <c r="E21" s="4"/>
      <c r="F21" s="4"/>
      <c r="G21" s="4"/>
      <c r="H21" s="4"/>
      <c r="I21" s="23"/>
      <c r="J21" s="66">
        <v>0.1</v>
      </c>
      <c r="K21" s="66">
        <v>0.2</v>
      </c>
      <c r="L21" s="66">
        <v>0.3</v>
      </c>
      <c r="M21" s="66">
        <v>0.4</v>
      </c>
      <c r="N21" s="66">
        <v>0.5</v>
      </c>
      <c r="O21" s="66">
        <v>0.6</v>
      </c>
      <c r="P21" s="66">
        <v>0.7</v>
      </c>
      <c r="Q21" s="66">
        <v>0.8</v>
      </c>
      <c r="R21" s="66">
        <v>0.9</v>
      </c>
      <c r="S21" s="66">
        <v>1.0</v>
      </c>
      <c r="T21" s="4"/>
      <c r="U21" s="4"/>
      <c r="V21" s="4"/>
      <c r="W21" s="4"/>
      <c r="X21" s="4"/>
      <c r="Y21" s="4"/>
      <c r="Z21" s="4"/>
    </row>
    <row r="22" ht="15.75" customHeight="1">
      <c r="A22" s="66">
        <v>0.2</v>
      </c>
      <c r="B22" s="70">
        <v>42.44</v>
      </c>
      <c r="C22" s="70">
        <v>53.08</v>
      </c>
      <c r="D22" s="4"/>
      <c r="E22" s="65"/>
      <c r="F22" s="65"/>
      <c r="G22" s="65"/>
      <c r="H22" s="4"/>
      <c r="I22" s="66">
        <v>0.1</v>
      </c>
      <c r="J22" s="70">
        <v>0.0</v>
      </c>
      <c r="K22" s="70">
        <v>0.0</v>
      </c>
      <c r="L22" s="70">
        <v>0.0</v>
      </c>
      <c r="M22" s="70">
        <v>0.0</v>
      </c>
      <c r="N22" s="70">
        <v>0.0</v>
      </c>
      <c r="O22" s="70">
        <v>0.0</v>
      </c>
      <c r="P22" s="70">
        <v>0.0</v>
      </c>
      <c r="Q22" s="70">
        <v>0.0</v>
      </c>
      <c r="R22" s="70">
        <v>0.0</v>
      </c>
      <c r="S22" s="70">
        <v>0.0</v>
      </c>
      <c r="T22" s="4"/>
      <c r="U22" s="4"/>
      <c r="V22" s="4"/>
      <c r="W22" s="4"/>
      <c r="X22" s="4"/>
      <c r="Y22" s="4"/>
      <c r="Z22" s="4"/>
    </row>
    <row r="23" ht="15.75" customHeight="1">
      <c r="A23" s="66">
        <v>0.3</v>
      </c>
      <c r="B23" s="70">
        <v>27.07</v>
      </c>
      <c r="C23" s="70">
        <v>45.05</v>
      </c>
      <c r="D23" s="4"/>
      <c r="E23" s="65"/>
      <c r="F23" s="65"/>
      <c r="G23" s="65"/>
      <c r="H23" s="4"/>
      <c r="I23" s="66">
        <v>0.2</v>
      </c>
      <c r="J23" s="70">
        <v>0.0</v>
      </c>
      <c r="K23" s="70">
        <v>0.0</v>
      </c>
      <c r="L23" s="70">
        <v>0.0</v>
      </c>
      <c r="M23" s="70">
        <v>0.0</v>
      </c>
      <c r="N23" s="70">
        <v>0.0</v>
      </c>
      <c r="O23" s="70">
        <v>0.0</v>
      </c>
      <c r="P23" s="70">
        <v>0.0</v>
      </c>
      <c r="Q23" s="70">
        <v>0.0</v>
      </c>
      <c r="R23" s="70">
        <v>0.0</v>
      </c>
      <c r="S23" s="70">
        <v>0.0</v>
      </c>
      <c r="T23" s="4"/>
      <c r="U23" s="4"/>
      <c r="V23" s="4"/>
      <c r="W23" s="4"/>
      <c r="X23" s="4"/>
      <c r="Y23" s="4"/>
      <c r="Z23" s="4"/>
    </row>
    <row r="24" ht="15.75" customHeight="1">
      <c r="A24" s="66">
        <v>0.4</v>
      </c>
      <c r="B24" s="70">
        <v>18.31</v>
      </c>
      <c r="C24" s="70">
        <v>38.97</v>
      </c>
      <c r="D24" s="4"/>
      <c r="E24" s="4"/>
      <c r="F24" s="4"/>
      <c r="G24" s="4"/>
      <c r="H24" s="4"/>
      <c r="I24" s="66">
        <v>0.3</v>
      </c>
      <c r="J24" s="70">
        <v>0.0</v>
      </c>
      <c r="K24" s="70">
        <v>0.0</v>
      </c>
      <c r="L24" s="70">
        <v>0.0</v>
      </c>
      <c r="M24" s="70">
        <v>0.0</v>
      </c>
      <c r="N24" s="70">
        <v>0.0</v>
      </c>
      <c r="O24" s="70">
        <v>0.0</v>
      </c>
      <c r="P24" s="70">
        <v>0.0</v>
      </c>
      <c r="Q24" s="70">
        <v>0.0</v>
      </c>
      <c r="R24" s="70">
        <v>0.0</v>
      </c>
      <c r="S24" s="70">
        <v>0.0</v>
      </c>
      <c r="T24" s="4"/>
      <c r="U24" s="4"/>
      <c r="V24" s="4"/>
      <c r="W24" s="4"/>
      <c r="X24" s="4"/>
      <c r="Y24" s="4"/>
      <c r="Z24" s="4"/>
    </row>
    <row r="25" ht="15.75" customHeight="1">
      <c r="A25" s="66">
        <v>0.5</v>
      </c>
      <c r="B25" s="70">
        <v>13.04</v>
      </c>
      <c r="C25" s="70">
        <v>34.29</v>
      </c>
      <c r="D25" s="4"/>
      <c r="E25" s="4"/>
      <c r="F25" s="4"/>
      <c r="G25" s="4"/>
      <c r="H25" s="4"/>
      <c r="I25" s="66">
        <v>0.4</v>
      </c>
      <c r="J25" s="70">
        <v>0.0</v>
      </c>
      <c r="K25" s="70">
        <v>0.0</v>
      </c>
      <c r="L25" s="70">
        <v>0.0</v>
      </c>
      <c r="M25" s="70">
        <v>0.0</v>
      </c>
      <c r="N25" s="70">
        <v>0.0</v>
      </c>
      <c r="O25" s="70">
        <v>0.0</v>
      </c>
      <c r="P25" s="70">
        <v>0.0</v>
      </c>
      <c r="Q25" s="70">
        <v>0.0</v>
      </c>
      <c r="R25" s="70">
        <v>0.0</v>
      </c>
      <c r="S25" s="70">
        <v>0.0</v>
      </c>
      <c r="T25" s="4"/>
      <c r="U25" s="4"/>
      <c r="V25" s="4"/>
      <c r="W25" s="4"/>
      <c r="X25" s="4"/>
      <c r="Y25" s="4"/>
      <c r="Z25" s="4"/>
    </row>
    <row r="26" ht="15.75" customHeight="1">
      <c r="A26" s="66">
        <v>0.6</v>
      </c>
      <c r="B26" s="70">
        <v>9.7</v>
      </c>
      <c r="C26" s="70">
        <v>30.59</v>
      </c>
      <c r="D26" s="4"/>
      <c r="E26" s="4"/>
      <c r="F26" s="4"/>
      <c r="G26" s="4"/>
      <c r="H26" s="4"/>
      <c r="I26" s="66">
        <v>0.5</v>
      </c>
      <c r="J26" s="70">
        <v>0.0</v>
      </c>
      <c r="K26" s="70">
        <v>0.0</v>
      </c>
      <c r="L26" s="70">
        <v>0.0</v>
      </c>
      <c r="M26" s="70">
        <v>0.0</v>
      </c>
      <c r="N26" s="70">
        <v>0.0</v>
      </c>
      <c r="O26" s="70">
        <v>0.0</v>
      </c>
      <c r="P26" s="70">
        <v>0.0</v>
      </c>
      <c r="Q26" s="70">
        <v>0.0</v>
      </c>
      <c r="R26" s="70">
        <v>0.0</v>
      </c>
      <c r="S26" s="70">
        <v>0.0</v>
      </c>
      <c r="T26" s="4"/>
      <c r="U26" s="4"/>
      <c r="V26" s="4"/>
      <c r="W26" s="4"/>
      <c r="X26" s="4"/>
      <c r="Y26" s="4"/>
      <c r="Z26" s="4"/>
    </row>
    <row r="27" ht="15.75" customHeight="1">
      <c r="A27" s="66">
        <v>0.7</v>
      </c>
      <c r="B27" s="70">
        <v>7.48</v>
      </c>
      <c r="C27" s="70">
        <v>27.62</v>
      </c>
      <c r="D27" s="4"/>
      <c r="E27" s="4"/>
      <c r="F27" s="4"/>
      <c r="G27" s="4"/>
      <c r="H27" s="4"/>
      <c r="I27" s="66">
        <v>0.6</v>
      </c>
      <c r="J27" s="70">
        <v>0.0</v>
      </c>
      <c r="K27" s="70">
        <v>0.0</v>
      </c>
      <c r="L27" s="70">
        <v>0.0</v>
      </c>
      <c r="M27" s="70">
        <v>0.0</v>
      </c>
      <c r="N27" s="70">
        <v>0.0</v>
      </c>
      <c r="O27" s="70">
        <v>0.0</v>
      </c>
      <c r="P27" s="70">
        <v>0.0</v>
      </c>
      <c r="Q27" s="70">
        <v>0.0</v>
      </c>
      <c r="R27" s="70">
        <v>0.0</v>
      </c>
      <c r="S27" s="70">
        <v>0.0</v>
      </c>
      <c r="T27" s="4"/>
      <c r="U27" s="4"/>
      <c r="V27" s="4"/>
      <c r="W27" s="4"/>
      <c r="X27" s="4"/>
      <c r="Y27" s="4"/>
      <c r="Z27" s="4"/>
    </row>
    <row r="28" ht="15.75" customHeight="1">
      <c r="A28" s="66">
        <v>0.8</v>
      </c>
      <c r="B28" s="70">
        <v>5.93</v>
      </c>
      <c r="C28" s="70">
        <v>25.18</v>
      </c>
      <c r="D28" s="4"/>
      <c r="E28" s="4"/>
      <c r="F28" s="4"/>
      <c r="G28" s="4"/>
      <c r="H28" s="4"/>
      <c r="I28" s="66">
        <v>0.7</v>
      </c>
      <c r="J28" s="70">
        <v>0.0</v>
      </c>
      <c r="K28" s="70">
        <v>0.0</v>
      </c>
      <c r="L28" s="70">
        <v>0.0</v>
      </c>
      <c r="M28" s="70">
        <v>0.0</v>
      </c>
      <c r="N28" s="70">
        <v>0.0</v>
      </c>
      <c r="O28" s="70">
        <v>0.0</v>
      </c>
      <c r="P28" s="70">
        <v>0.0</v>
      </c>
      <c r="Q28" s="70">
        <v>0.0</v>
      </c>
      <c r="R28" s="70">
        <v>0.0</v>
      </c>
      <c r="S28" s="70">
        <v>0.0</v>
      </c>
      <c r="T28" s="4"/>
      <c r="U28" s="4"/>
      <c r="V28" s="4"/>
      <c r="W28" s="4"/>
      <c r="X28" s="4"/>
      <c r="Y28" s="4"/>
      <c r="Z28" s="4"/>
    </row>
    <row r="29" ht="15.75" customHeight="1">
      <c r="A29" s="66">
        <v>0.9</v>
      </c>
      <c r="B29" s="70">
        <v>4.82</v>
      </c>
      <c r="C29" s="70">
        <v>23.15</v>
      </c>
      <c r="D29" s="4"/>
      <c r="E29" s="4"/>
      <c r="F29" s="4"/>
      <c r="G29" s="4"/>
      <c r="H29" s="4"/>
      <c r="I29" s="66">
        <v>0.8</v>
      </c>
      <c r="J29" s="70">
        <v>0.0</v>
      </c>
      <c r="K29" s="70">
        <v>0.0</v>
      </c>
      <c r="L29" s="70">
        <v>0.0</v>
      </c>
      <c r="M29" s="70">
        <v>0.0</v>
      </c>
      <c r="N29" s="70">
        <v>0.0</v>
      </c>
      <c r="O29" s="70">
        <v>0.0</v>
      </c>
      <c r="P29" s="70">
        <v>0.0</v>
      </c>
      <c r="Q29" s="70">
        <v>0.0</v>
      </c>
      <c r="R29" s="70">
        <v>0.0</v>
      </c>
      <c r="S29" s="70">
        <v>0.0</v>
      </c>
      <c r="T29" s="4"/>
      <c r="U29" s="4"/>
      <c r="V29" s="4"/>
      <c r="W29" s="4"/>
      <c r="X29" s="4"/>
      <c r="Y29" s="4"/>
      <c r="Z29" s="4"/>
    </row>
    <row r="30" ht="15.75" customHeight="1">
      <c r="A30" s="66">
        <v>1.0</v>
      </c>
      <c r="B30" s="70">
        <v>4.0</v>
      </c>
      <c r="C30" s="70">
        <v>21.43</v>
      </c>
      <c r="D30" s="4"/>
      <c r="E30" s="4"/>
      <c r="F30" s="4"/>
      <c r="G30" s="4"/>
      <c r="H30" s="4"/>
      <c r="I30" s="66">
        <v>0.9</v>
      </c>
      <c r="J30" s="70">
        <v>0.0</v>
      </c>
      <c r="K30" s="70">
        <v>0.0</v>
      </c>
      <c r="L30" s="70">
        <v>0.0</v>
      </c>
      <c r="M30" s="70">
        <v>0.0</v>
      </c>
      <c r="N30" s="70">
        <v>0.0</v>
      </c>
      <c r="O30" s="70">
        <v>0.0</v>
      </c>
      <c r="P30" s="70">
        <v>0.0</v>
      </c>
      <c r="Q30" s="70">
        <v>0.0</v>
      </c>
      <c r="R30" s="70">
        <v>0.0</v>
      </c>
      <c r="S30" s="70">
        <v>0.0</v>
      </c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66">
        <v>1.0</v>
      </c>
      <c r="J31" s="70">
        <v>0.0</v>
      </c>
      <c r="K31" s="70">
        <v>0.0</v>
      </c>
      <c r="L31" s="70">
        <v>0.0</v>
      </c>
      <c r="M31" s="70">
        <v>0.0</v>
      </c>
      <c r="N31" s="70">
        <v>0.0</v>
      </c>
      <c r="O31" s="70">
        <v>0.0</v>
      </c>
      <c r="P31" s="70">
        <v>0.0</v>
      </c>
      <c r="Q31" s="70">
        <v>0.0</v>
      </c>
      <c r="R31" s="70">
        <v>0.0</v>
      </c>
      <c r="S31" s="70">
        <v>0.0</v>
      </c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3">
    <mergeCell ref="A1:D1"/>
    <mergeCell ref="I1:P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8:D18"/>
    <mergeCell ref="A16:A18"/>
    <mergeCell ref="C14:D14"/>
    <mergeCell ref="C15:D15"/>
    <mergeCell ref="C16:D16"/>
    <mergeCell ref="C17:D17"/>
    <mergeCell ref="I20:I21"/>
    <mergeCell ref="J20:S20"/>
    <mergeCell ref="I16:I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8" width="10.56"/>
  </cols>
  <sheetData>
    <row r="1" ht="15.75" customHeight="1">
      <c r="A1" s="1" t="s">
        <v>55</v>
      </c>
      <c r="B1" s="2"/>
      <c r="C1" s="2"/>
      <c r="D1" s="2"/>
      <c r="E1" s="2"/>
      <c r="F1" s="2"/>
      <c r="G1" s="2"/>
      <c r="H1" s="3"/>
      <c r="I1" s="4"/>
      <c r="J1" s="1" t="s">
        <v>55</v>
      </c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 t="s">
        <v>56</v>
      </c>
      <c r="B2" s="2"/>
      <c r="C2" s="2"/>
      <c r="D2" s="2"/>
      <c r="E2" s="2"/>
      <c r="F2" s="2"/>
      <c r="G2" s="2"/>
      <c r="H2" s="3"/>
      <c r="I2" s="4"/>
      <c r="J2" s="1" t="s">
        <v>57</v>
      </c>
      <c r="K2" s="2"/>
      <c r="L2" s="2"/>
      <c r="M2" s="2"/>
      <c r="N2" s="2"/>
      <c r="O2" s="2"/>
      <c r="P2" s="2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41" t="s">
        <v>4</v>
      </c>
      <c r="B3" s="41" t="s">
        <v>5</v>
      </c>
      <c r="C3" s="42" t="s">
        <v>6</v>
      </c>
      <c r="D3" s="2"/>
      <c r="E3" s="3"/>
      <c r="F3" s="41" t="s">
        <v>7</v>
      </c>
      <c r="G3" s="41"/>
      <c r="H3" s="41" t="s">
        <v>8</v>
      </c>
      <c r="I3" s="4"/>
      <c r="J3" s="10" t="s">
        <v>4</v>
      </c>
      <c r="K3" s="10" t="s">
        <v>5</v>
      </c>
      <c r="L3" s="11" t="s">
        <v>6</v>
      </c>
      <c r="M3" s="2"/>
      <c r="N3" s="3"/>
      <c r="O3" s="10" t="s">
        <v>7</v>
      </c>
      <c r="P3" s="10"/>
      <c r="Q3" s="10" t="s">
        <v>8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41"/>
      <c r="B4" s="41"/>
      <c r="C4" s="42"/>
      <c r="D4" s="2"/>
      <c r="E4" s="3"/>
      <c r="F4" s="43" t="s">
        <v>9</v>
      </c>
      <c r="G4" s="41" t="s">
        <v>10</v>
      </c>
      <c r="H4" s="41" t="s">
        <v>11</v>
      </c>
      <c r="I4" s="4"/>
      <c r="J4" s="10"/>
      <c r="K4" s="10"/>
      <c r="L4" s="11"/>
      <c r="M4" s="2"/>
      <c r="N4" s="3"/>
      <c r="O4" s="71" t="s">
        <v>9</v>
      </c>
      <c r="P4" s="10" t="s">
        <v>10</v>
      </c>
      <c r="Q4" s="10" t="s">
        <v>11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7">
        <v>1.0</v>
      </c>
      <c r="B5" s="7">
        <v>108.0</v>
      </c>
      <c r="C5" s="16"/>
      <c r="D5" s="2"/>
      <c r="E5" s="3"/>
      <c r="F5" s="7"/>
      <c r="G5" s="7"/>
      <c r="H5" s="7"/>
      <c r="I5" s="4"/>
      <c r="J5" s="7">
        <v>1.0</v>
      </c>
      <c r="K5" s="7">
        <v>108.0</v>
      </c>
      <c r="L5" s="16"/>
      <c r="M5" s="2"/>
      <c r="N5" s="3"/>
      <c r="O5" s="7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7">
        <v>2.0</v>
      </c>
      <c r="B6" s="7">
        <v>108.0</v>
      </c>
      <c r="C6" s="16"/>
      <c r="D6" s="2"/>
      <c r="E6" s="3"/>
      <c r="F6" s="7"/>
      <c r="G6" s="7"/>
      <c r="H6" s="7"/>
      <c r="I6" s="4"/>
      <c r="J6" s="7">
        <v>2.0</v>
      </c>
      <c r="K6" s="7">
        <v>108.0</v>
      </c>
      <c r="L6" s="16"/>
      <c r="M6" s="2"/>
      <c r="N6" s="3"/>
      <c r="O6" s="7"/>
      <c r="P6" s="7"/>
      <c r="Q6" s="7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7">
        <v>3.0</v>
      </c>
      <c r="B7" s="7">
        <v>110.0</v>
      </c>
      <c r="C7" s="16"/>
      <c r="D7" s="2"/>
      <c r="E7" s="3"/>
      <c r="F7" s="7"/>
      <c r="G7" s="7"/>
      <c r="H7" s="7"/>
      <c r="I7" s="4"/>
      <c r="J7" s="7">
        <v>3.0</v>
      </c>
      <c r="K7" s="7">
        <v>110.0</v>
      </c>
      <c r="L7" s="16"/>
      <c r="M7" s="2"/>
      <c r="N7" s="3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7">
        <v>4.0</v>
      </c>
      <c r="B8" s="7">
        <v>106.0</v>
      </c>
      <c r="C8" s="21"/>
      <c r="D8" s="2"/>
      <c r="E8" s="3"/>
      <c r="F8" s="18"/>
      <c r="G8" s="18"/>
      <c r="H8" s="18"/>
      <c r="I8" s="65"/>
      <c r="J8" s="7">
        <v>4.0</v>
      </c>
      <c r="K8" s="7">
        <v>106.0</v>
      </c>
      <c r="L8" s="21"/>
      <c r="M8" s="2"/>
      <c r="N8" s="3"/>
      <c r="O8" s="18"/>
      <c r="P8" s="18"/>
      <c r="Q8" s="18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7">
        <v>5.0</v>
      </c>
      <c r="B9" s="7">
        <v>108.0</v>
      </c>
      <c r="C9" s="21"/>
      <c r="D9" s="2"/>
      <c r="E9" s="3"/>
      <c r="F9" s="18"/>
      <c r="G9" s="18"/>
      <c r="H9" s="18"/>
      <c r="I9" s="65"/>
      <c r="J9" s="7">
        <v>5.0</v>
      </c>
      <c r="K9" s="7">
        <v>108.0</v>
      </c>
      <c r="L9" s="21"/>
      <c r="M9" s="2"/>
      <c r="N9" s="3"/>
      <c r="O9" s="18"/>
      <c r="P9" s="18"/>
      <c r="Q9" s="18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7">
        <v>6.0</v>
      </c>
      <c r="B10" s="7">
        <v>108.0</v>
      </c>
      <c r="C10" s="21"/>
      <c r="D10" s="2"/>
      <c r="E10" s="3"/>
      <c r="F10" s="18"/>
      <c r="G10" s="18"/>
      <c r="H10" s="18"/>
      <c r="I10" s="65"/>
      <c r="J10" s="7">
        <v>6.0</v>
      </c>
      <c r="K10" s="7">
        <v>108.0</v>
      </c>
      <c r="L10" s="21"/>
      <c r="M10" s="2"/>
      <c r="N10" s="3"/>
      <c r="O10" s="18"/>
      <c r="P10" s="18"/>
      <c r="Q10" s="1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7">
        <v>7.0</v>
      </c>
      <c r="B11" s="7">
        <v>105.0</v>
      </c>
      <c r="C11" s="21"/>
      <c r="D11" s="2"/>
      <c r="E11" s="3"/>
      <c r="F11" s="18"/>
      <c r="G11" s="18"/>
      <c r="H11" s="18"/>
      <c r="I11" s="65"/>
      <c r="J11" s="7">
        <v>7.0</v>
      </c>
      <c r="K11" s="7">
        <v>105.0</v>
      </c>
      <c r="L11" s="21">
        <f t="shared" ref="L11:L33" si="1">(K5+K6+K7+K8+K9+K10)/6</f>
        <v>108</v>
      </c>
      <c r="M11" s="2"/>
      <c r="N11" s="3"/>
      <c r="O11" s="18">
        <f t="shared" ref="O11:O32" si="2">ABS(K11-L11)</f>
        <v>3</v>
      </c>
      <c r="P11" s="18">
        <f t="shared" ref="P11:P32" si="3">O11^2</f>
        <v>9</v>
      </c>
      <c r="Q11" s="18">
        <f t="shared" ref="Q11:Q32" si="4">(O11/K11)*100</f>
        <v>2.857142857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7">
        <v>8.0</v>
      </c>
      <c r="B12" s="7">
        <v>100.0</v>
      </c>
      <c r="C12" s="21"/>
      <c r="D12" s="2"/>
      <c r="E12" s="3"/>
      <c r="F12" s="18"/>
      <c r="G12" s="18"/>
      <c r="H12" s="18"/>
      <c r="I12" s="65"/>
      <c r="J12" s="7">
        <v>8.0</v>
      </c>
      <c r="K12" s="7">
        <v>100.0</v>
      </c>
      <c r="L12" s="21">
        <f t="shared" si="1"/>
        <v>107.5</v>
      </c>
      <c r="M12" s="2"/>
      <c r="N12" s="3"/>
      <c r="O12" s="18">
        <f t="shared" si="2"/>
        <v>7.5</v>
      </c>
      <c r="P12" s="18">
        <f t="shared" si="3"/>
        <v>56.25</v>
      </c>
      <c r="Q12" s="18">
        <f t="shared" si="4"/>
        <v>7.5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7">
        <v>9.0</v>
      </c>
      <c r="B13" s="7">
        <v>97.0</v>
      </c>
      <c r="C13" s="21"/>
      <c r="D13" s="2"/>
      <c r="E13" s="3"/>
      <c r="F13" s="18"/>
      <c r="G13" s="18"/>
      <c r="H13" s="18"/>
      <c r="I13" s="65"/>
      <c r="J13" s="7">
        <v>9.0</v>
      </c>
      <c r="K13" s="7">
        <v>97.0</v>
      </c>
      <c r="L13" s="21">
        <f t="shared" si="1"/>
        <v>106.1666667</v>
      </c>
      <c r="M13" s="2"/>
      <c r="N13" s="3"/>
      <c r="O13" s="18">
        <f t="shared" si="2"/>
        <v>9.166666667</v>
      </c>
      <c r="P13" s="18">
        <f t="shared" si="3"/>
        <v>84.02777778</v>
      </c>
      <c r="Q13" s="18">
        <f t="shared" si="4"/>
        <v>9.450171821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7">
        <v>10.0</v>
      </c>
      <c r="B14" s="7">
        <v>95.0</v>
      </c>
      <c r="C14" s="21"/>
      <c r="D14" s="2"/>
      <c r="E14" s="3"/>
      <c r="F14" s="18"/>
      <c r="G14" s="18"/>
      <c r="H14" s="18"/>
      <c r="I14" s="65"/>
      <c r="J14" s="7">
        <v>10.0</v>
      </c>
      <c r="K14" s="7">
        <v>95.0</v>
      </c>
      <c r="L14" s="21">
        <f t="shared" si="1"/>
        <v>104</v>
      </c>
      <c r="M14" s="2"/>
      <c r="N14" s="3"/>
      <c r="O14" s="18">
        <f t="shared" si="2"/>
        <v>9</v>
      </c>
      <c r="P14" s="18">
        <f t="shared" si="3"/>
        <v>81</v>
      </c>
      <c r="Q14" s="18">
        <f t="shared" si="4"/>
        <v>9.473684211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7">
        <v>11.0</v>
      </c>
      <c r="B15" s="7">
        <v>95.0</v>
      </c>
      <c r="C15" s="21"/>
      <c r="D15" s="2"/>
      <c r="E15" s="3"/>
      <c r="F15" s="18"/>
      <c r="G15" s="18"/>
      <c r="H15" s="18"/>
      <c r="I15" s="65"/>
      <c r="J15" s="7">
        <v>11.0</v>
      </c>
      <c r="K15" s="7">
        <v>95.0</v>
      </c>
      <c r="L15" s="21">
        <f t="shared" si="1"/>
        <v>102.1666667</v>
      </c>
      <c r="M15" s="2"/>
      <c r="N15" s="3"/>
      <c r="O15" s="18">
        <f t="shared" si="2"/>
        <v>7.166666667</v>
      </c>
      <c r="P15" s="18">
        <f t="shared" si="3"/>
        <v>51.36111111</v>
      </c>
      <c r="Q15" s="18">
        <f t="shared" si="4"/>
        <v>7.543859649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7">
        <v>12.0</v>
      </c>
      <c r="B16" s="7">
        <v>92.0</v>
      </c>
      <c r="C16" s="21"/>
      <c r="D16" s="2"/>
      <c r="E16" s="3"/>
      <c r="F16" s="18"/>
      <c r="G16" s="18"/>
      <c r="H16" s="18"/>
      <c r="I16" s="65"/>
      <c r="J16" s="7">
        <v>12.0</v>
      </c>
      <c r="K16" s="7">
        <v>92.0</v>
      </c>
      <c r="L16" s="21">
        <f t="shared" si="1"/>
        <v>100</v>
      </c>
      <c r="M16" s="2"/>
      <c r="N16" s="3"/>
      <c r="O16" s="18">
        <f t="shared" si="2"/>
        <v>8</v>
      </c>
      <c r="P16" s="18">
        <f t="shared" si="3"/>
        <v>64</v>
      </c>
      <c r="Q16" s="18">
        <f t="shared" si="4"/>
        <v>8.695652174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7">
        <v>13.0</v>
      </c>
      <c r="B17" s="7">
        <v>95.0</v>
      </c>
      <c r="C17" s="21">
        <f t="shared" ref="C17:C33" si="5">(B5+B6+B7+B8+B9+B10+B11+B12+B13+B14+B15+B16)/12</f>
        <v>102.6666667</v>
      </c>
      <c r="D17" s="2"/>
      <c r="E17" s="3"/>
      <c r="F17" s="18">
        <f t="shared" ref="F17:F32" si="6">ABS(B17-C17)</f>
        <v>7.666666667</v>
      </c>
      <c r="G17" s="18">
        <f t="shared" ref="G17:G32" si="7">F17^2</f>
        <v>58.77777778</v>
      </c>
      <c r="H17" s="18">
        <f t="shared" ref="H17:H32" si="8">(F17/B17)*100</f>
        <v>8.070175439</v>
      </c>
      <c r="I17" s="65"/>
      <c r="J17" s="7">
        <v>13.0</v>
      </c>
      <c r="K17" s="7">
        <v>95.0</v>
      </c>
      <c r="L17" s="21">
        <f t="shared" si="1"/>
        <v>97.33333333</v>
      </c>
      <c r="M17" s="2"/>
      <c r="N17" s="3"/>
      <c r="O17" s="18">
        <f t="shared" si="2"/>
        <v>2.333333333</v>
      </c>
      <c r="P17" s="18">
        <f t="shared" si="3"/>
        <v>5.444444444</v>
      </c>
      <c r="Q17" s="18">
        <f t="shared" si="4"/>
        <v>2.456140351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7">
        <v>14.0</v>
      </c>
      <c r="B18" s="7">
        <v>95.0</v>
      </c>
      <c r="C18" s="21">
        <f t="shared" si="5"/>
        <v>101.5833333</v>
      </c>
      <c r="D18" s="2"/>
      <c r="E18" s="3"/>
      <c r="F18" s="18">
        <f t="shared" si="6"/>
        <v>6.583333333</v>
      </c>
      <c r="G18" s="18">
        <f t="shared" si="7"/>
        <v>43.34027778</v>
      </c>
      <c r="H18" s="18">
        <f t="shared" si="8"/>
        <v>6.929824561</v>
      </c>
      <c r="I18" s="65"/>
      <c r="J18" s="7">
        <v>14.0</v>
      </c>
      <c r="K18" s="7">
        <v>95.0</v>
      </c>
      <c r="L18" s="21">
        <f t="shared" si="1"/>
        <v>95.66666667</v>
      </c>
      <c r="M18" s="2"/>
      <c r="N18" s="3"/>
      <c r="O18" s="18">
        <f t="shared" si="2"/>
        <v>0.6666666667</v>
      </c>
      <c r="P18" s="18">
        <f t="shared" si="3"/>
        <v>0.4444444444</v>
      </c>
      <c r="Q18" s="18">
        <f t="shared" si="4"/>
        <v>0.701754386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7">
        <v>15.0</v>
      </c>
      <c r="B19" s="7">
        <v>98.0</v>
      </c>
      <c r="C19" s="21">
        <f t="shared" si="5"/>
        <v>100.5</v>
      </c>
      <c r="D19" s="2"/>
      <c r="E19" s="3"/>
      <c r="F19" s="18">
        <f t="shared" si="6"/>
        <v>2.5</v>
      </c>
      <c r="G19" s="18">
        <f t="shared" si="7"/>
        <v>6.25</v>
      </c>
      <c r="H19" s="18">
        <f t="shared" si="8"/>
        <v>2.551020408</v>
      </c>
      <c r="I19" s="65"/>
      <c r="J19" s="7">
        <v>15.0</v>
      </c>
      <c r="K19" s="7">
        <v>98.0</v>
      </c>
      <c r="L19" s="21">
        <f t="shared" si="1"/>
        <v>94.83333333</v>
      </c>
      <c r="M19" s="2"/>
      <c r="N19" s="3"/>
      <c r="O19" s="18">
        <f t="shared" si="2"/>
        <v>3.166666667</v>
      </c>
      <c r="P19" s="18">
        <f t="shared" si="3"/>
        <v>10.02777778</v>
      </c>
      <c r="Q19" s="18">
        <f t="shared" si="4"/>
        <v>3.231292517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7">
        <v>16.0</v>
      </c>
      <c r="B20" s="7">
        <v>97.0</v>
      </c>
      <c r="C20" s="21">
        <f t="shared" si="5"/>
        <v>99.5</v>
      </c>
      <c r="D20" s="2"/>
      <c r="E20" s="3"/>
      <c r="F20" s="18">
        <f t="shared" si="6"/>
        <v>2.5</v>
      </c>
      <c r="G20" s="18">
        <f t="shared" si="7"/>
        <v>6.25</v>
      </c>
      <c r="H20" s="18">
        <f t="shared" si="8"/>
        <v>2.577319588</v>
      </c>
      <c r="I20" s="65"/>
      <c r="J20" s="7">
        <v>16.0</v>
      </c>
      <c r="K20" s="7">
        <v>97.0</v>
      </c>
      <c r="L20" s="21">
        <f t="shared" si="1"/>
        <v>95</v>
      </c>
      <c r="M20" s="2"/>
      <c r="N20" s="3"/>
      <c r="O20" s="18">
        <f t="shared" si="2"/>
        <v>2</v>
      </c>
      <c r="P20" s="18">
        <f t="shared" si="3"/>
        <v>4</v>
      </c>
      <c r="Q20" s="18">
        <f t="shared" si="4"/>
        <v>2.06185567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7">
        <v>17.0</v>
      </c>
      <c r="B21" s="7">
        <v>101.0</v>
      </c>
      <c r="C21" s="21">
        <f t="shared" si="5"/>
        <v>98.75</v>
      </c>
      <c r="D21" s="2"/>
      <c r="E21" s="3"/>
      <c r="F21" s="18">
        <f t="shared" si="6"/>
        <v>2.25</v>
      </c>
      <c r="G21" s="18">
        <f t="shared" si="7"/>
        <v>5.0625</v>
      </c>
      <c r="H21" s="18">
        <f t="shared" si="8"/>
        <v>2.227722772</v>
      </c>
      <c r="I21" s="65"/>
      <c r="J21" s="7">
        <v>17.0</v>
      </c>
      <c r="K21" s="7">
        <v>101.0</v>
      </c>
      <c r="L21" s="21">
        <f t="shared" si="1"/>
        <v>95.33333333</v>
      </c>
      <c r="M21" s="2"/>
      <c r="N21" s="3"/>
      <c r="O21" s="18">
        <f t="shared" si="2"/>
        <v>5.666666667</v>
      </c>
      <c r="P21" s="18">
        <f t="shared" si="3"/>
        <v>32.11111111</v>
      </c>
      <c r="Q21" s="18">
        <f t="shared" si="4"/>
        <v>5.610561056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7">
        <v>18.0</v>
      </c>
      <c r="B22" s="7">
        <v>104.0</v>
      </c>
      <c r="C22" s="21">
        <f t="shared" si="5"/>
        <v>98.16666667</v>
      </c>
      <c r="D22" s="2"/>
      <c r="E22" s="3"/>
      <c r="F22" s="18">
        <f t="shared" si="6"/>
        <v>5.833333333</v>
      </c>
      <c r="G22" s="18">
        <f t="shared" si="7"/>
        <v>34.02777778</v>
      </c>
      <c r="H22" s="18">
        <f t="shared" si="8"/>
        <v>5.608974359</v>
      </c>
      <c r="I22" s="65"/>
      <c r="J22" s="7">
        <v>18.0</v>
      </c>
      <c r="K22" s="7">
        <v>104.0</v>
      </c>
      <c r="L22" s="21">
        <f t="shared" si="1"/>
        <v>96.33333333</v>
      </c>
      <c r="M22" s="2"/>
      <c r="N22" s="3"/>
      <c r="O22" s="18">
        <f t="shared" si="2"/>
        <v>7.666666667</v>
      </c>
      <c r="P22" s="18">
        <f t="shared" si="3"/>
        <v>58.77777778</v>
      </c>
      <c r="Q22" s="18">
        <f t="shared" si="4"/>
        <v>7.371794872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72">
        <v>19.0</v>
      </c>
      <c r="B23" s="72">
        <v>101.0</v>
      </c>
      <c r="C23" s="21">
        <f t="shared" si="5"/>
        <v>97.83333333</v>
      </c>
      <c r="D23" s="2"/>
      <c r="E23" s="3"/>
      <c r="F23" s="18">
        <f t="shared" si="6"/>
        <v>3.166666667</v>
      </c>
      <c r="G23" s="18">
        <f t="shared" si="7"/>
        <v>10.02777778</v>
      </c>
      <c r="H23" s="18">
        <f t="shared" si="8"/>
        <v>3.135313531</v>
      </c>
      <c r="I23" s="65"/>
      <c r="J23" s="72">
        <v>19.0</v>
      </c>
      <c r="K23" s="72">
        <v>101.0</v>
      </c>
      <c r="L23" s="21">
        <f t="shared" si="1"/>
        <v>98.33333333</v>
      </c>
      <c r="M23" s="2"/>
      <c r="N23" s="3"/>
      <c r="O23" s="18">
        <f t="shared" si="2"/>
        <v>2.666666667</v>
      </c>
      <c r="P23" s="18">
        <f t="shared" si="3"/>
        <v>7.111111111</v>
      </c>
      <c r="Q23" s="18">
        <f t="shared" si="4"/>
        <v>2.640264026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72">
        <v>20.0</v>
      </c>
      <c r="B24" s="72">
        <v>99.0</v>
      </c>
      <c r="C24" s="21">
        <f t="shared" si="5"/>
        <v>97.5</v>
      </c>
      <c r="D24" s="2"/>
      <c r="E24" s="3"/>
      <c r="F24" s="18">
        <f t="shared" si="6"/>
        <v>1.5</v>
      </c>
      <c r="G24" s="18">
        <f t="shared" si="7"/>
        <v>2.25</v>
      </c>
      <c r="H24" s="18">
        <f t="shared" si="8"/>
        <v>1.515151515</v>
      </c>
      <c r="I24" s="65"/>
      <c r="J24" s="72">
        <v>20.0</v>
      </c>
      <c r="K24" s="72">
        <v>99.0</v>
      </c>
      <c r="L24" s="21">
        <f t="shared" si="1"/>
        <v>99.33333333</v>
      </c>
      <c r="M24" s="2"/>
      <c r="N24" s="3"/>
      <c r="O24" s="18">
        <f t="shared" si="2"/>
        <v>0.3333333333</v>
      </c>
      <c r="P24" s="18">
        <f t="shared" si="3"/>
        <v>0.1111111111</v>
      </c>
      <c r="Q24" s="18">
        <f t="shared" si="4"/>
        <v>0.3367003367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72">
        <v>21.0</v>
      </c>
      <c r="B25" s="72">
        <v>95.0</v>
      </c>
      <c r="C25" s="21">
        <f t="shared" si="5"/>
        <v>97.41666667</v>
      </c>
      <c r="D25" s="2"/>
      <c r="E25" s="3"/>
      <c r="F25" s="18">
        <f t="shared" si="6"/>
        <v>2.416666667</v>
      </c>
      <c r="G25" s="18">
        <f t="shared" si="7"/>
        <v>5.840277778</v>
      </c>
      <c r="H25" s="18">
        <f t="shared" si="8"/>
        <v>2.543859649</v>
      </c>
      <c r="I25" s="4"/>
      <c r="J25" s="72">
        <v>21.0</v>
      </c>
      <c r="K25" s="72">
        <v>95.0</v>
      </c>
      <c r="L25" s="21">
        <f t="shared" si="1"/>
        <v>100</v>
      </c>
      <c r="M25" s="2"/>
      <c r="N25" s="3"/>
      <c r="O25" s="18">
        <f t="shared" si="2"/>
        <v>5</v>
      </c>
      <c r="P25" s="18">
        <f t="shared" si="3"/>
        <v>25</v>
      </c>
      <c r="Q25" s="18">
        <f t="shared" si="4"/>
        <v>5.263157895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72">
        <v>22.0</v>
      </c>
      <c r="B26" s="72">
        <v>95.0</v>
      </c>
      <c r="C26" s="21">
        <f t="shared" si="5"/>
        <v>97.25</v>
      </c>
      <c r="D26" s="2"/>
      <c r="E26" s="3"/>
      <c r="F26" s="18">
        <f t="shared" si="6"/>
        <v>2.25</v>
      </c>
      <c r="G26" s="18">
        <f t="shared" si="7"/>
        <v>5.0625</v>
      </c>
      <c r="H26" s="18">
        <f t="shared" si="8"/>
        <v>2.368421053</v>
      </c>
      <c r="I26" s="4"/>
      <c r="J26" s="72">
        <v>22.0</v>
      </c>
      <c r="K26" s="72">
        <v>95.0</v>
      </c>
      <c r="L26" s="21">
        <f t="shared" si="1"/>
        <v>99.5</v>
      </c>
      <c r="M26" s="2"/>
      <c r="N26" s="3"/>
      <c r="O26" s="18">
        <f t="shared" si="2"/>
        <v>4.5</v>
      </c>
      <c r="P26" s="18">
        <f t="shared" si="3"/>
        <v>20.25</v>
      </c>
      <c r="Q26" s="18">
        <f t="shared" si="4"/>
        <v>4.736842105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72">
        <v>23.0</v>
      </c>
      <c r="B27" s="7">
        <v>96.0</v>
      </c>
      <c r="C27" s="21">
        <f t="shared" si="5"/>
        <v>97.25</v>
      </c>
      <c r="D27" s="2"/>
      <c r="E27" s="3"/>
      <c r="F27" s="18">
        <f t="shared" si="6"/>
        <v>1.25</v>
      </c>
      <c r="G27" s="18">
        <f t="shared" si="7"/>
        <v>1.5625</v>
      </c>
      <c r="H27" s="18">
        <f t="shared" si="8"/>
        <v>1.302083333</v>
      </c>
      <c r="I27" s="4"/>
      <c r="J27" s="72">
        <v>23.0</v>
      </c>
      <c r="K27" s="7">
        <v>96.0</v>
      </c>
      <c r="L27" s="21">
        <f t="shared" si="1"/>
        <v>99.16666667</v>
      </c>
      <c r="M27" s="2"/>
      <c r="N27" s="3"/>
      <c r="O27" s="18">
        <f t="shared" si="2"/>
        <v>3.166666667</v>
      </c>
      <c r="P27" s="18">
        <f t="shared" si="3"/>
        <v>10.02777778</v>
      </c>
      <c r="Q27" s="18">
        <f t="shared" si="4"/>
        <v>3.298611111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72">
        <v>24.0</v>
      </c>
      <c r="B28" s="7">
        <v>96.0</v>
      </c>
      <c r="C28" s="21">
        <f t="shared" si="5"/>
        <v>97.33333333</v>
      </c>
      <c r="D28" s="2"/>
      <c r="E28" s="3"/>
      <c r="F28" s="18">
        <f t="shared" si="6"/>
        <v>1.333333333</v>
      </c>
      <c r="G28" s="18">
        <f t="shared" si="7"/>
        <v>1.777777778</v>
      </c>
      <c r="H28" s="18">
        <f t="shared" si="8"/>
        <v>1.388888889</v>
      </c>
      <c r="I28" s="4"/>
      <c r="J28" s="72">
        <v>24.0</v>
      </c>
      <c r="K28" s="7">
        <v>96.0</v>
      </c>
      <c r="L28" s="21">
        <f t="shared" si="1"/>
        <v>98.33333333</v>
      </c>
      <c r="M28" s="2"/>
      <c r="N28" s="3"/>
      <c r="O28" s="18">
        <f t="shared" si="2"/>
        <v>2.333333333</v>
      </c>
      <c r="P28" s="18">
        <f t="shared" si="3"/>
        <v>5.444444444</v>
      </c>
      <c r="Q28" s="18">
        <f t="shared" si="4"/>
        <v>2.430555556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72">
        <v>25.0</v>
      </c>
      <c r="B29" s="7">
        <v>97.0</v>
      </c>
      <c r="C29" s="21">
        <f t="shared" si="5"/>
        <v>97.66666667</v>
      </c>
      <c r="D29" s="2"/>
      <c r="E29" s="3"/>
      <c r="F29" s="18">
        <f t="shared" si="6"/>
        <v>0.6666666667</v>
      </c>
      <c r="G29" s="18">
        <f t="shared" si="7"/>
        <v>0.4444444444</v>
      </c>
      <c r="H29" s="18">
        <f t="shared" si="8"/>
        <v>0.6872852234</v>
      </c>
      <c r="I29" s="4"/>
      <c r="J29" s="72">
        <v>25.0</v>
      </c>
      <c r="K29" s="7">
        <v>97.0</v>
      </c>
      <c r="L29" s="21">
        <f t="shared" si="1"/>
        <v>97</v>
      </c>
      <c r="M29" s="2"/>
      <c r="N29" s="3"/>
      <c r="O29" s="18">
        <f t="shared" si="2"/>
        <v>0</v>
      </c>
      <c r="P29" s="18">
        <f t="shared" si="3"/>
        <v>0</v>
      </c>
      <c r="Q29" s="18">
        <f t="shared" si="4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72">
        <v>26.0</v>
      </c>
      <c r="B30" s="7">
        <v>98.0</v>
      </c>
      <c r="C30" s="21">
        <f t="shared" si="5"/>
        <v>97.83333333</v>
      </c>
      <c r="D30" s="2"/>
      <c r="E30" s="3"/>
      <c r="F30" s="18">
        <f t="shared" si="6"/>
        <v>0.1666666667</v>
      </c>
      <c r="G30" s="18">
        <f t="shared" si="7"/>
        <v>0.02777777778</v>
      </c>
      <c r="H30" s="18">
        <f t="shared" si="8"/>
        <v>0.1700680272</v>
      </c>
      <c r="I30" s="4"/>
      <c r="J30" s="72">
        <v>26.0</v>
      </c>
      <c r="K30" s="7">
        <v>98.0</v>
      </c>
      <c r="L30" s="21">
        <f t="shared" si="1"/>
        <v>96.33333333</v>
      </c>
      <c r="M30" s="2"/>
      <c r="N30" s="3"/>
      <c r="O30" s="18">
        <f t="shared" si="2"/>
        <v>1.666666667</v>
      </c>
      <c r="P30" s="18">
        <f t="shared" si="3"/>
        <v>2.777777778</v>
      </c>
      <c r="Q30" s="18">
        <f t="shared" si="4"/>
        <v>1.700680272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72">
        <v>27.0</v>
      </c>
      <c r="B31" s="7">
        <v>94.0</v>
      </c>
      <c r="C31" s="21">
        <f t="shared" si="5"/>
        <v>98.08333333</v>
      </c>
      <c r="D31" s="2"/>
      <c r="E31" s="3"/>
      <c r="F31" s="18">
        <f t="shared" si="6"/>
        <v>4.083333333</v>
      </c>
      <c r="G31" s="18">
        <f t="shared" si="7"/>
        <v>16.67361111</v>
      </c>
      <c r="H31" s="18">
        <f t="shared" si="8"/>
        <v>4.343971631</v>
      </c>
      <c r="I31" s="4"/>
      <c r="J31" s="72">
        <v>27.0</v>
      </c>
      <c r="K31" s="7">
        <v>94.0</v>
      </c>
      <c r="L31" s="21">
        <f t="shared" si="1"/>
        <v>96.16666667</v>
      </c>
      <c r="M31" s="2"/>
      <c r="N31" s="3"/>
      <c r="O31" s="18">
        <f t="shared" si="2"/>
        <v>2.166666667</v>
      </c>
      <c r="P31" s="18">
        <f t="shared" si="3"/>
        <v>4.694444444</v>
      </c>
      <c r="Q31" s="18">
        <f t="shared" si="4"/>
        <v>2.304964539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72">
        <v>28.0</v>
      </c>
      <c r="B32" s="7">
        <v>92.0</v>
      </c>
      <c r="C32" s="21">
        <f t="shared" si="5"/>
        <v>97.75</v>
      </c>
      <c r="D32" s="2"/>
      <c r="E32" s="3"/>
      <c r="F32" s="18">
        <f t="shared" si="6"/>
        <v>5.75</v>
      </c>
      <c r="G32" s="18">
        <f t="shared" si="7"/>
        <v>33.0625</v>
      </c>
      <c r="H32" s="18">
        <f t="shared" si="8"/>
        <v>6.25</v>
      </c>
      <c r="I32" s="4"/>
      <c r="J32" s="72">
        <v>28.0</v>
      </c>
      <c r="K32" s="7">
        <v>92.0</v>
      </c>
      <c r="L32" s="21">
        <f t="shared" si="1"/>
        <v>96</v>
      </c>
      <c r="M32" s="2"/>
      <c r="N32" s="3"/>
      <c r="O32" s="18">
        <f t="shared" si="2"/>
        <v>4</v>
      </c>
      <c r="P32" s="18">
        <f t="shared" si="3"/>
        <v>16</v>
      </c>
      <c r="Q32" s="18">
        <f t="shared" si="4"/>
        <v>4.347826087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72">
        <v>29.0</v>
      </c>
      <c r="B33" s="7"/>
      <c r="C33" s="21">
        <f t="shared" si="5"/>
        <v>97.33333333</v>
      </c>
      <c r="D33" s="2"/>
      <c r="E33" s="3"/>
      <c r="F33" s="18"/>
      <c r="G33" s="18"/>
      <c r="H33" s="18"/>
      <c r="I33" s="4"/>
      <c r="J33" s="72">
        <v>29.0</v>
      </c>
      <c r="K33" s="7"/>
      <c r="L33" s="21">
        <f t="shared" si="1"/>
        <v>95.5</v>
      </c>
      <c r="M33" s="2"/>
      <c r="N33" s="3"/>
      <c r="O33" s="18"/>
      <c r="P33" s="18"/>
      <c r="Q33" s="18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7"/>
      <c r="B34" s="7"/>
      <c r="C34" s="26"/>
      <c r="D34" s="2"/>
      <c r="E34" s="3"/>
      <c r="F34" s="7"/>
      <c r="G34" s="7"/>
      <c r="H34" s="7"/>
      <c r="I34" s="4"/>
      <c r="J34" s="7"/>
      <c r="K34" s="7"/>
      <c r="L34" s="26"/>
      <c r="M34" s="2"/>
      <c r="N34" s="3"/>
      <c r="O34" s="7"/>
      <c r="P34" s="7"/>
      <c r="Q34" s="7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73" t="s">
        <v>19</v>
      </c>
      <c r="B35" s="28"/>
      <c r="C35" s="30"/>
      <c r="D35" s="2"/>
      <c r="E35" s="3"/>
      <c r="F35" s="34">
        <f t="shared" ref="F35:H35" si="9">F17+F18+F19+F20+F21+F22+F23+F24+F25+F26+F27+F28+F29+F30+F31+F32</f>
        <v>49.91666667</v>
      </c>
      <c r="G35" s="34">
        <f t="shared" si="9"/>
        <v>230.4375</v>
      </c>
      <c r="H35" s="34">
        <f t="shared" si="9"/>
        <v>51.67007998</v>
      </c>
      <c r="I35" s="4"/>
      <c r="J35" s="73" t="s">
        <v>19</v>
      </c>
      <c r="K35" s="28"/>
      <c r="L35" s="30"/>
      <c r="M35" s="2"/>
      <c r="N35" s="3"/>
      <c r="O35" s="34">
        <f t="shared" ref="O35:Q35" si="10">O17+O18+O19+O20+O21+O22+O23+O24+O25+O26+O27+O28+O29+O30+O31+O32</f>
        <v>47.33333333</v>
      </c>
      <c r="P35" s="34">
        <f t="shared" si="10"/>
        <v>202.2222222</v>
      </c>
      <c r="Q35" s="34">
        <f t="shared" si="10"/>
        <v>48.49300078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35"/>
      <c r="B36" s="36"/>
      <c r="C36" s="30"/>
      <c r="D36" s="2"/>
      <c r="E36" s="3"/>
      <c r="F36" s="34">
        <f t="shared" ref="F36:H36" si="11">F35/16</f>
        <v>3.119791667</v>
      </c>
      <c r="G36" s="34">
        <f t="shared" si="11"/>
        <v>14.40234375</v>
      </c>
      <c r="H36" s="34">
        <f t="shared" si="11"/>
        <v>3.229379999</v>
      </c>
      <c r="I36" s="65"/>
      <c r="J36" s="35"/>
      <c r="K36" s="36"/>
      <c r="L36" s="30"/>
      <c r="M36" s="2"/>
      <c r="N36" s="3"/>
      <c r="O36" s="34">
        <f t="shared" ref="O36:Q36" si="12">O35/16</f>
        <v>2.958333333</v>
      </c>
      <c r="P36" s="34">
        <f t="shared" si="12"/>
        <v>12.63888889</v>
      </c>
      <c r="Q36" s="34">
        <f t="shared" si="12"/>
        <v>3.030812549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39"/>
      <c r="B37" s="40"/>
      <c r="C37" s="30"/>
      <c r="D37" s="2"/>
      <c r="E37" s="3"/>
      <c r="F37" s="29" t="s">
        <v>20</v>
      </c>
      <c r="G37" s="74" t="s">
        <v>21</v>
      </c>
      <c r="H37" s="29" t="s">
        <v>22</v>
      </c>
      <c r="I37" s="4"/>
      <c r="J37" s="39"/>
      <c r="K37" s="40"/>
      <c r="L37" s="30"/>
      <c r="M37" s="2"/>
      <c r="N37" s="3"/>
      <c r="O37" s="29" t="s">
        <v>20</v>
      </c>
      <c r="P37" s="74" t="s">
        <v>21</v>
      </c>
      <c r="Q37" s="29" t="s">
        <v>22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76">
    <mergeCell ref="L28:N28"/>
    <mergeCell ref="L29:N29"/>
    <mergeCell ref="L21:N21"/>
    <mergeCell ref="L22:N22"/>
    <mergeCell ref="L23:N23"/>
    <mergeCell ref="L24:N24"/>
    <mergeCell ref="L25:N25"/>
    <mergeCell ref="L26:N26"/>
    <mergeCell ref="L27:N27"/>
    <mergeCell ref="A1:H1"/>
    <mergeCell ref="A2:H2"/>
    <mergeCell ref="J1:Q1"/>
    <mergeCell ref="J2:Q2"/>
    <mergeCell ref="C3:E3"/>
    <mergeCell ref="L3:N3"/>
    <mergeCell ref="C4:E4"/>
    <mergeCell ref="L4:N4"/>
    <mergeCell ref="C5:E5"/>
    <mergeCell ref="L5:N5"/>
    <mergeCell ref="L6:N6"/>
    <mergeCell ref="L37:N37"/>
    <mergeCell ref="J35:K37"/>
    <mergeCell ref="L30:N30"/>
    <mergeCell ref="L31:N31"/>
    <mergeCell ref="L32:N32"/>
    <mergeCell ref="L33:N33"/>
    <mergeCell ref="L34:N34"/>
    <mergeCell ref="L35:N35"/>
    <mergeCell ref="L36:N36"/>
    <mergeCell ref="C6:E6"/>
    <mergeCell ref="C7:E7"/>
    <mergeCell ref="C8:E8"/>
    <mergeCell ref="C9:E9"/>
    <mergeCell ref="C10:E10"/>
    <mergeCell ref="C11:E11"/>
    <mergeCell ref="C12:E12"/>
    <mergeCell ref="L7:N7"/>
    <mergeCell ref="L8:N8"/>
    <mergeCell ref="L9:N9"/>
    <mergeCell ref="L10:N10"/>
    <mergeCell ref="L11:N11"/>
    <mergeCell ref="L12:N12"/>
    <mergeCell ref="L13:N13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L14:N14"/>
    <mergeCell ref="L15:N15"/>
    <mergeCell ref="L16:N16"/>
    <mergeCell ref="L17:N17"/>
    <mergeCell ref="L18:N18"/>
    <mergeCell ref="L19:N19"/>
    <mergeCell ref="L20:N20"/>
    <mergeCell ref="C34:E34"/>
    <mergeCell ref="C35:E35"/>
    <mergeCell ref="C36:E36"/>
    <mergeCell ref="C37:E37"/>
    <mergeCell ref="A35:B37"/>
    <mergeCell ref="C27:E27"/>
    <mergeCell ref="C28:E28"/>
    <mergeCell ref="C29:E29"/>
    <mergeCell ref="C30:E30"/>
    <mergeCell ref="C31:E31"/>
    <mergeCell ref="C32:E32"/>
    <mergeCell ref="C33:E3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78"/>
    <col customWidth="1" min="6" max="6" width="14.22"/>
    <col customWidth="1" min="7" max="8" width="15.33"/>
    <col customWidth="1" min="9" max="9" width="5.56"/>
    <col customWidth="1" min="10" max="13" width="10.56"/>
    <col customWidth="1" min="14" max="14" width="13.67"/>
    <col customWidth="1" min="15" max="15" width="13.89"/>
    <col customWidth="1" min="16" max="16" width="14.56"/>
    <col customWidth="1" min="17" max="17" width="13.56"/>
    <col customWidth="1" min="18" max="27" width="10.56"/>
  </cols>
  <sheetData>
    <row r="1" ht="15.75" customHeight="1">
      <c r="A1" s="75" t="s">
        <v>58</v>
      </c>
      <c r="B1" s="2"/>
      <c r="C1" s="3"/>
      <c r="D1" s="7"/>
      <c r="E1" s="45"/>
      <c r="F1" s="7"/>
      <c r="G1" s="7"/>
      <c r="H1" s="7"/>
      <c r="I1" s="4"/>
      <c r="J1" s="7"/>
      <c r="K1" s="7"/>
      <c r="L1" s="7"/>
      <c r="M1" s="7"/>
      <c r="N1" s="45"/>
      <c r="O1" s="7"/>
      <c r="P1" s="7"/>
      <c r="Q1" s="7"/>
    </row>
    <row r="2" ht="15.75" customHeight="1">
      <c r="A2" s="76" t="s">
        <v>59</v>
      </c>
      <c r="B2" s="2"/>
      <c r="C2" s="3"/>
      <c r="D2" s="45" t="s">
        <v>3</v>
      </c>
      <c r="E2" s="45">
        <v>0.235</v>
      </c>
      <c r="F2" s="7"/>
      <c r="G2" s="7"/>
      <c r="H2" s="7"/>
      <c r="I2" s="4"/>
      <c r="J2" s="59" t="s">
        <v>60</v>
      </c>
      <c r="K2" s="2"/>
      <c r="L2" s="3"/>
      <c r="M2" s="45" t="s">
        <v>3</v>
      </c>
      <c r="N2" s="77">
        <v>0.235</v>
      </c>
      <c r="O2" s="7"/>
      <c r="P2" s="7"/>
      <c r="Q2" s="7"/>
    </row>
    <row r="3" ht="15.75" customHeight="1">
      <c r="A3" s="78" t="s">
        <v>4</v>
      </c>
      <c r="B3" s="78" t="s">
        <v>44</v>
      </c>
      <c r="C3" s="79" t="s">
        <v>6</v>
      </c>
      <c r="D3" s="80" t="s">
        <v>61</v>
      </c>
      <c r="E3" s="80" t="s">
        <v>62</v>
      </c>
      <c r="F3" s="80" t="s">
        <v>63</v>
      </c>
      <c r="G3" s="81" t="s">
        <v>64</v>
      </c>
      <c r="H3" s="81" t="s">
        <v>65</v>
      </c>
      <c r="I3" s="82"/>
      <c r="J3" s="80" t="s">
        <v>4</v>
      </c>
      <c r="K3" s="80" t="s">
        <v>5</v>
      </c>
      <c r="L3" s="80" t="s">
        <v>6</v>
      </c>
      <c r="M3" s="80" t="s">
        <v>61</v>
      </c>
      <c r="N3" s="80" t="s">
        <v>66</v>
      </c>
      <c r="O3" s="80" t="s">
        <v>63</v>
      </c>
      <c r="P3" s="81" t="s">
        <v>64</v>
      </c>
      <c r="Q3" s="81" t="s">
        <v>65</v>
      </c>
    </row>
    <row r="4" ht="15.75" customHeight="1">
      <c r="A4" s="7">
        <v>1.0</v>
      </c>
      <c r="B4" s="7">
        <v>199.0</v>
      </c>
      <c r="C4" s="83">
        <v>199.0</v>
      </c>
      <c r="D4" s="18"/>
      <c r="E4" s="18"/>
      <c r="F4" s="18"/>
      <c r="G4" s="84">
        <f t="shared" ref="G4:G32" si="1">((C5-B5)/B4)^2</f>
        <v>0.01840862604</v>
      </c>
      <c r="H4" s="84">
        <f t="shared" ref="H4:H32" si="2">((B5-B4)/B4)^2</f>
        <v>0.01840862604</v>
      </c>
      <c r="I4" s="85"/>
      <c r="J4" s="45">
        <v>1.0</v>
      </c>
      <c r="K4" s="45">
        <v>139.0</v>
      </c>
      <c r="L4" s="86">
        <v>139.0</v>
      </c>
      <c r="M4" s="7"/>
      <c r="N4" s="7"/>
      <c r="O4" s="7"/>
      <c r="P4" s="84">
        <f t="shared" ref="P4:P32" si="3">((L5-K5)/K4)^2</f>
        <v>0.006262615807</v>
      </c>
      <c r="Q4" s="84">
        <f t="shared" ref="Q4:Q32" si="4">((K5-K4)/K4)^2</f>
        <v>0.006262615807</v>
      </c>
    </row>
    <row r="5" ht="15.75" customHeight="1">
      <c r="A5" s="7">
        <v>2.0</v>
      </c>
      <c r="B5" s="7">
        <v>172.0</v>
      </c>
      <c r="C5" s="18">
        <f>alfa1*B4+(1-alfa1)*C4</f>
        <v>199</v>
      </c>
      <c r="D5" s="18">
        <f t="shared" ref="D5:D33" si="5">abs(B5-C5)</f>
        <v>27</v>
      </c>
      <c r="E5" s="18">
        <f t="shared" ref="E5:E33" si="6">D5^2</f>
        <v>729</v>
      </c>
      <c r="F5" s="18">
        <f t="shared" ref="F5:F33" si="7">100*(D5/B5)</f>
        <v>15.69767442</v>
      </c>
      <c r="G5" s="84">
        <f t="shared" si="1"/>
        <v>0.2253765219</v>
      </c>
      <c r="H5" s="84">
        <f t="shared" si="2"/>
        <v>0.1257774473</v>
      </c>
      <c r="I5" s="85"/>
      <c r="J5" s="45">
        <v>2.0</v>
      </c>
      <c r="K5" s="45">
        <v>128.0</v>
      </c>
      <c r="L5" s="7">
        <f>alfa2*K4+(1-alfa2)*L4</f>
        <v>139</v>
      </c>
      <c r="M5" s="7">
        <f t="shared" ref="M5:M33" si="8">abs(K5-L5)</f>
        <v>11</v>
      </c>
      <c r="N5" s="7">
        <f t="shared" ref="N5:N33" si="9">M5^2</f>
        <v>121</v>
      </c>
      <c r="O5" s="22">
        <f t="shared" ref="O5:O33" si="10">100*(M5/K5)</f>
        <v>8.59375</v>
      </c>
      <c r="P5" s="84">
        <f t="shared" si="3"/>
        <v>0.07728834381</v>
      </c>
      <c r="Q5" s="84">
        <f t="shared" si="4"/>
        <v>0.1181640625</v>
      </c>
    </row>
    <row r="6" ht="15.75" customHeight="1">
      <c r="A6" s="7">
        <v>3.0</v>
      </c>
      <c r="B6" s="7">
        <v>111.0</v>
      </c>
      <c r="C6" s="18">
        <f>alfa1*B5+(1-alfa1)*C5</f>
        <v>192.655</v>
      </c>
      <c r="D6" s="18">
        <f t="shared" si="5"/>
        <v>81.655</v>
      </c>
      <c r="E6" s="18">
        <f t="shared" si="6"/>
        <v>6667.539025</v>
      </c>
      <c r="F6" s="18">
        <f t="shared" si="7"/>
        <v>73.56306306</v>
      </c>
      <c r="G6" s="84">
        <f t="shared" si="1"/>
        <v>0.102480304</v>
      </c>
      <c r="H6" s="84">
        <f t="shared" si="2"/>
        <v>0.7794821849</v>
      </c>
      <c r="I6" s="85"/>
      <c r="J6" s="45">
        <v>3.0</v>
      </c>
      <c r="K6" s="45">
        <v>172.0</v>
      </c>
      <c r="L6" s="22">
        <f>alfa2*K5+(1-alfa2)*L5</f>
        <v>136.415</v>
      </c>
      <c r="M6" s="22">
        <f t="shared" si="8"/>
        <v>35.585</v>
      </c>
      <c r="N6" s="22">
        <f t="shared" si="9"/>
        <v>1266.292225</v>
      </c>
      <c r="O6" s="22">
        <f t="shared" si="10"/>
        <v>20.68895349</v>
      </c>
      <c r="P6" s="84">
        <f t="shared" si="3"/>
        <v>0.001128286147</v>
      </c>
      <c r="Q6" s="84">
        <f t="shared" si="4"/>
        <v>0.03681043807</v>
      </c>
    </row>
    <row r="7" ht="15.75" customHeight="1">
      <c r="A7" s="7">
        <v>4.0</v>
      </c>
      <c r="B7" s="7">
        <v>209.0</v>
      </c>
      <c r="C7" s="18">
        <f>alfa1*B6+(1-alfa1)*C6</f>
        <v>173.466075</v>
      </c>
      <c r="D7" s="18">
        <f t="shared" si="5"/>
        <v>35.533925</v>
      </c>
      <c r="E7" s="18">
        <f t="shared" si="6"/>
        <v>1262.659826</v>
      </c>
      <c r="F7" s="18">
        <f t="shared" si="7"/>
        <v>17.00187799</v>
      </c>
      <c r="G7" s="84">
        <f t="shared" si="1"/>
        <v>0.009920300465</v>
      </c>
      <c r="H7" s="84">
        <f t="shared" si="2"/>
        <v>0.05274604519</v>
      </c>
      <c r="I7" s="85"/>
      <c r="J7" s="45">
        <v>4.0</v>
      </c>
      <c r="K7" s="45">
        <v>139.0</v>
      </c>
      <c r="L7" s="22">
        <f>alfa2*K6+(1-alfa2)*L6</f>
        <v>144.777475</v>
      </c>
      <c r="M7" s="22">
        <f t="shared" si="8"/>
        <v>5.777475</v>
      </c>
      <c r="N7" s="22">
        <f t="shared" si="9"/>
        <v>33.37921738</v>
      </c>
      <c r="O7" s="22">
        <f t="shared" si="10"/>
        <v>4.156456835</v>
      </c>
      <c r="P7" s="84">
        <f t="shared" si="3"/>
        <v>0.1171719084</v>
      </c>
      <c r="Q7" s="84">
        <f t="shared" si="4"/>
        <v>0.1399513483</v>
      </c>
    </row>
    <row r="8" ht="15.75" customHeight="1">
      <c r="A8" s="7">
        <v>5.0</v>
      </c>
      <c r="B8" s="7">
        <v>161.0</v>
      </c>
      <c r="C8" s="18">
        <f>alfa1*B7+(1-alfa1)*C7</f>
        <v>181.8165474</v>
      </c>
      <c r="D8" s="18">
        <f t="shared" si="5"/>
        <v>20.81654738</v>
      </c>
      <c r="E8" s="18">
        <f t="shared" si="6"/>
        <v>433.3286446</v>
      </c>
      <c r="F8" s="18">
        <f t="shared" si="7"/>
        <v>12.92953253</v>
      </c>
      <c r="G8" s="84">
        <f t="shared" si="1"/>
        <v>0.1294420003</v>
      </c>
      <c r="H8" s="84">
        <f t="shared" si="2"/>
        <v>0.06805293006</v>
      </c>
      <c r="I8" s="85"/>
      <c r="J8" s="45">
        <v>5.0</v>
      </c>
      <c r="K8" s="45">
        <v>191.0</v>
      </c>
      <c r="L8" s="22">
        <f>alfa2*K7+(1-alfa2)*L7</f>
        <v>143.4197684</v>
      </c>
      <c r="M8" s="22">
        <f t="shared" si="8"/>
        <v>47.58023163</v>
      </c>
      <c r="N8" s="22">
        <f t="shared" si="9"/>
        <v>2263.878441</v>
      </c>
      <c r="O8" s="22">
        <f t="shared" si="10"/>
        <v>24.91111603</v>
      </c>
      <c r="P8" s="84">
        <f t="shared" si="3"/>
        <v>0.004921189387</v>
      </c>
      <c r="Q8" s="84">
        <f t="shared" si="4"/>
        <v>0.01450069899</v>
      </c>
    </row>
    <row r="9" ht="15.75" customHeight="1">
      <c r="A9" s="7">
        <v>6.0</v>
      </c>
      <c r="B9" s="7">
        <v>119.0</v>
      </c>
      <c r="C9" s="18">
        <f>alfa1*B8+(1-alfa1)*C8</f>
        <v>176.9246587</v>
      </c>
      <c r="D9" s="18">
        <f t="shared" si="5"/>
        <v>57.92465874</v>
      </c>
      <c r="E9" s="18">
        <f t="shared" si="6"/>
        <v>3355.26609</v>
      </c>
      <c r="F9" s="18">
        <f t="shared" si="7"/>
        <v>48.67618382</v>
      </c>
      <c r="G9" s="84">
        <f t="shared" si="1"/>
        <v>0.07090645288</v>
      </c>
      <c r="H9" s="84">
        <f t="shared" si="2"/>
        <v>0.4078807994</v>
      </c>
      <c r="I9" s="85"/>
      <c r="J9" s="45">
        <v>6.0</v>
      </c>
      <c r="K9" s="45">
        <v>168.0</v>
      </c>
      <c r="L9" s="22">
        <f>alfa2*K8+(1-alfa2)*L8</f>
        <v>154.6011228</v>
      </c>
      <c r="M9" s="22">
        <f t="shared" si="8"/>
        <v>13.39887719</v>
      </c>
      <c r="N9" s="22">
        <f t="shared" si="9"/>
        <v>179.52991</v>
      </c>
      <c r="O9" s="22">
        <f t="shared" si="10"/>
        <v>7.975522139</v>
      </c>
      <c r="P9" s="84">
        <f t="shared" si="3"/>
        <v>0.00531696272</v>
      </c>
      <c r="Q9" s="84">
        <f t="shared" si="4"/>
        <v>0.000141723356</v>
      </c>
    </row>
    <row r="10" ht="15.75" customHeight="1">
      <c r="A10" s="7">
        <v>7.0</v>
      </c>
      <c r="B10" s="7">
        <v>195.0</v>
      </c>
      <c r="C10" s="18">
        <f>alfa1*B9+(1-alfa1)*C9</f>
        <v>163.3123639</v>
      </c>
      <c r="D10" s="18">
        <f t="shared" si="5"/>
        <v>31.68763606</v>
      </c>
      <c r="E10" s="18">
        <f t="shared" si="6"/>
        <v>1004.106279</v>
      </c>
      <c r="F10" s="18">
        <f t="shared" si="7"/>
        <v>16.25006978</v>
      </c>
      <c r="G10" s="84">
        <f t="shared" si="1"/>
        <v>0.01545373037</v>
      </c>
      <c r="H10" s="84">
        <f t="shared" si="2"/>
        <v>0</v>
      </c>
      <c r="I10" s="85"/>
      <c r="J10" s="45">
        <v>7.0</v>
      </c>
      <c r="K10" s="45">
        <v>170.0</v>
      </c>
      <c r="L10" s="22">
        <f>alfa2*K9+(1-alfa2)*L9</f>
        <v>157.7498589</v>
      </c>
      <c r="M10" s="22">
        <f t="shared" si="8"/>
        <v>12.25014105</v>
      </c>
      <c r="N10" s="22">
        <f t="shared" si="9"/>
        <v>150.0659558</v>
      </c>
      <c r="O10" s="22">
        <f t="shared" si="10"/>
        <v>7.205965325</v>
      </c>
      <c r="P10" s="84">
        <f t="shared" si="3"/>
        <v>0.008451711201</v>
      </c>
      <c r="Q10" s="84">
        <f t="shared" si="4"/>
        <v>0.02162629758</v>
      </c>
    </row>
    <row r="11" ht="15.75" customHeight="1">
      <c r="A11" s="7">
        <v>8.0</v>
      </c>
      <c r="B11" s="7">
        <v>195.0</v>
      </c>
      <c r="C11" s="18">
        <f>alfa1*B10+(1-alfa1)*C10</f>
        <v>170.7589584</v>
      </c>
      <c r="D11" s="18">
        <f t="shared" si="5"/>
        <v>24.24104159</v>
      </c>
      <c r="E11" s="18">
        <f t="shared" si="6"/>
        <v>587.6280973</v>
      </c>
      <c r="F11" s="18">
        <f t="shared" si="7"/>
        <v>12.43130338</v>
      </c>
      <c r="G11" s="84">
        <f t="shared" si="1"/>
        <v>0.05433824749</v>
      </c>
      <c r="H11" s="84">
        <f t="shared" si="2"/>
        <v>0.1077186062</v>
      </c>
      <c r="I11" s="85"/>
      <c r="J11" s="45">
        <v>8.0</v>
      </c>
      <c r="K11" s="45">
        <v>145.0</v>
      </c>
      <c r="L11" s="22">
        <f>alfa2*K10+(1-alfa2)*L10</f>
        <v>160.6286421</v>
      </c>
      <c r="M11" s="22">
        <f t="shared" si="8"/>
        <v>15.62864209</v>
      </c>
      <c r="N11" s="22">
        <f t="shared" si="9"/>
        <v>244.2544537</v>
      </c>
      <c r="O11" s="22">
        <f t="shared" si="10"/>
        <v>10.77837386</v>
      </c>
      <c r="P11" s="84">
        <f t="shared" si="3"/>
        <v>0.03478633716</v>
      </c>
      <c r="Q11" s="84">
        <f t="shared" si="4"/>
        <v>0.07234244946</v>
      </c>
    </row>
    <row r="12" ht="15.75" customHeight="1">
      <c r="A12" s="7">
        <v>9.0</v>
      </c>
      <c r="B12" s="7">
        <v>131.0</v>
      </c>
      <c r="C12" s="18">
        <f>alfa1*B11+(1-alfa1)*C11</f>
        <v>176.4556032</v>
      </c>
      <c r="D12" s="18">
        <f t="shared" si="5"/>
        <v>45.45560319</v>
      </c>
      <c r="E12" s="18">
        <f t="shared" si="6"/>
        <v>2066.211861</v>
      </c>
      <c r="F12" s="18">
        <f t="shared" si="7"/>
        <v>34.69893373</v>
      </c>
      <c r="G12" s="84">
        <f t="shared" si="1"/>
        <v>0.01729217685</v>
      </c>
      <c r="H12" s="84">
        <f t="shared" si="2"/>
        <v>0.1575665754</v>
      </c>
      <c r="I12" s="85"/>
      <c r="J12" s="45">
        <v>9.0</v>
      </c>
      <c r="K12" s="45">
        <v>184.0</v>
      </c>
      <c r="L12" s="22">
        <f>alfa2*K11+(1-alfa2)*L11</f>
        <v>156.9559112</v>
      </c>
      <c r="M12" s="22">
        <f t="shared" si="8"/>
        <v>27.0440888</v>
      </c>
      <c r="N12" s="22">
        <f t="shared" si="9"/>
        <v>731.3827389</v>
      </c>
      <c r="O12" s="22">
        <f t="shared" si="10"/>
        <v>14.69787435</v>
      </c>
      <c r="P12" s="84">
        <f t="shared" si="3"/>
        <v>0.02367462566</v>
      </c>
      <c r="Q12" s="84">
        <f t="shared" si="4"/>
        <v>0.07091800567</v>
      </c>
    </row>
    <row r="13" ht="15.75" customHeight="1">
      <c r="A13" s="7">
        <v>10.0</v>
      </c>
      <c r="B13" s="7">
        <v>183.0</v>
      </c>
      <c r="C13" s="18">
        <f>alfa1*B12+(1-alfa1)*C12</f>
        <v>165.7735364</v>
      </c>
      <c r="D13" s="18">
        <f t="shared" si="5"/>
        <v>17.22646356</v>
      </c>
      <c r="E13" s="18">
        <f t="shared" si="6"/>
        <v>296.7510469</v>
      </c>
      <c r="F13" s="18">
        <f t="shared" si="7"/>
        <v>9.413368067</v>
      </c>
      <c r="G13" s="84">
        <f t="shared" si="1"/>
        <v>0.02148187648</v>
      </c>
      <c r="H13" s="84">
        <f t="shared" si="2"/>
        <v>0.04777688196</v>
      </c>
      <c r="I13" s="85"/>
      <c r="J13" s="45">
        <v>10.0</v>
      </c>
      <c r="K13" s="45">
        <v>135.0</v>
      </c>
      <c r="L13" s="22">
        <f>alfa2*K12+(1-alfa2)*L12</f>
        <v>163.3112721</v>
      </c>
      <c r="M13" s="22">
        <f t="shared" si="8"/>
        <v>28.31127207</v>
      </c>
      <c r="N13" s="22">
        <f t="shared" si="9"/>
        <v>801.5281262</v>
      </c>
      <c r="O13" s="22">
        <f t="shared" si="10"/>
        <v>20.97131264</v>
      </c>
      <c r="P13" s="84">
        <f t="shared" si="3"/>
        <v>0.2064650676</v>
      </c>
      <c r="Q13" s="84">
        <f t="shared" si="4"/>
        <v>0.3779972565</v>
      </c>
    </row>
    <row r="14" ht="15.75" customHeight="1">
      <c r="A14" s="7">
        <v>11.0</v>
      </c>
      <c r="B14" s="7">
        <v>143.0</v>
      </c>
      <c r="C14" s="18">
        <f>alfa1*B13+(1-alfa1)*C13</f>
        <v>169.8217554</v>
      </c>
      <c r="D14" s="18">
        <f t="shared" si="5"/>
        <v>26.82175537</v>
      </c>
      <c r="E14" s="18">
        <f t="shared" si="6"/>
        <v>719.4065614</v>
      </c>
      <c r="F14" s="18">
        <f t="shared" si="7"/>
        <v>18.75647229</v>
      </c>
      <c r="G14" s="84">
        <f t="shared" si="1"/>
        <v>0.02479775423</v>
      </c>
      <c r="H14" s="84">
        <f t="shared" si="2"/>
        <v>0.0001956085872</v>
      </c>
      <c r="I14" s="85"/>
      <c r="J14" s="45">
        <v>11.0</v>
      </c>
      <c r="K14" s="45">
        <v>218.0</v>
      </c>
      <c r="L14" s="22">
        <f>alfa2*K13+(1-alfa2)*L13</f>
        <v>156.6581231</v>
      </c>
      <c r="M14" s="22">
        <f t="shared" si="8"/>
        <v>61.34187687</v>
      </c>
      <c r="N14" s="22">
        <f t="shared" si="9"/>
        <v>3762.825858</v>
      </c>
      <c r="O14" s="22">
        <f t="shared" si="10"/>
        <v>28.13847563</v>
      </c>
      <c r="P14" s="84">
        <f t="shared" si="3"/>
        <v>0.01525625643</v>
      </c>
      <c r="Q14" s="84">
        <f t="shared" si="4"/>
        <v>0.008416799933</v>
      </c>
    </row>
    <row r="15" ht="15.75" customHeight="1">
      <c r="A15" s="7">
        <v>12.0</v>
      </c>
      <c r="B15" s="7">
        <v>141.0</v>
      </c>
      <c r="C15" s="18">
        <f>alfa1*B14+(1-alfa1)*C14</f>
        <v>163.5186429</v>
      </c>
      <c r="D15" s="18">
        <f t="shared" si="5"/>
        <v>22.51864286</v>
      </c>
      <c r="E15" s="18">
        <f t="shared" si="6"/>
        <v>507.0892763</v>
      </c>
      <c r="F15" s="18">
        <f t="shared" si="7"/>
        <v>15.9706687</v>
      </c>
      <c r="G15" s="84">
        <f t="shared" si="1"/>
        <v>0.004804395409</v>
      </c>
      <c r="H15" s="84">
        <f t="shared" si="2"/>
        <v>0.03666817565</v>
      </c>
      <c r="I15" s="85"/>
      <c r="J15" s="45">
        <v>12.0</v>
      </c>
      <c r="K15" s="45">
        <v>198.0</v>
      </c>
      <c r="L15" s="22">
        <f>alfa2*K14+(1-alfa2)*L14</f>
        <v>171.0734642</v>
      </c>
      <c r="M15" s="22">
        <f t="shared" si="8"/>
        <v>26.9265358</v>
      </c>
      <c r="N15" s="22">
        <f t="shared" si="9"/>
        <v>725.0383303</v>
      </c>
      <c r="O15" s="22">
        <f t="shared" si="10"/>
        <v>13.59926051</v>
      </c>
      <c r="P15" s="84">
        <f t="shared" si="3"/>
        <v>0.07057019054</v>
      </c>
      <c r="Q15" s="84">
        <f t="shared" si="4"/>
        <v>0.0261197837</v>
      </c>
    </row>
    <row r="16" ht="15.75" customHeight="1">
      <c r="A16" s="7">
        <v>13.0</v>
      </c>
      <c r="B16" s="7">
        <v>168.0</v>
      </c>
      <c r="C16" s="18">
        <f>alfa1*B15+(1-alfa1)*C15</f>
        <v>158.2267618</v>
      </c>
      <c r="D16" s="18">
        <f t="shared" si="5"/>
        <v>9.773238211</v>
      </c>
      <c r="E16" s="18">
        <f t="shared" si="6"/>
        <v>95.51618513</v>
      </c>
      <c r="F16" s="18">
        <f t="shared" si="7"/>
        <v>5.817403697</v>
      </c>
      <c r="G16" s="84">
        <f t="shared" si="1"/>
        <v>0.05804808874</v>
      </c>
      <c r="H16" s="84">
        <f t="shared" si="2"/>
        <v>0.03858418367</v>
      </c>
      <c r="I16" s="85"/>
      <c r="J16" s="45">
        <v>13.0</v>
      </c>
      <c r="K16" s="45">
        <v>230.0</v>
      </c>
      <c r="L16" s="22">
        <f>alfa2*K15+(1-alfa2)*L15</f>
        <v>177.4012001</v>
      </c>
      <c r="M16" s="22">
        <f t="shared" si="8"/>
        <v>52.59879989</v>
      </c>
      <c r="N16" s="22">
        <f t="shared" si="9"/>
        <v>2766.63375</v>
      </c>
      <c r="O16" s="22">
        <f t="shared" si="10"/>
        <v>22.86904343</v>
      </c>
      <c r="P16" s="84">
        <f t="shared" si="3"/>
        <v>0.01964638801</v>
      </c>
      <c r="Q16" s="84">
        <f t="shared" si="4"/>
        <v>0.001209829868</v>
      </c>
    </row>
    <row r="17" ht="15.75" customHeight="1">
      <c r="A17" s="7">
        <v>14.0</v>
      </c>
      <c r="B17" s="7">
        <v>201.0</v>
      </c>
      <c r="C17" s="18">
        <f>alfa1*B16+(1-alfa1)*C16</f>
        <v>160.5234728</v>
      </c>
      <c r="D17" s="18">
        <f t="shared" si="5"/>
        <v>40.47652723</v>
      </c>
      <c r="E17" s="18">
        <f t="shared" si="6"/>
        <v>1638.349257</v>
      </c>
      <c r="F17" s="18">
        <f t="shared" si="7"/>
        <v>20.13757574</v>
      </c>
      <c r="G17" s="84">
        <f t="shared" si="1"/>
        <v>0.005595528755</v>
      </c>
      <c r="H17" s="84">
        <f t="shared" si="2"/>
        <v>0.05237494121</v>
      </c>
      <c r="I17" s="85"/>
      <c r="J17" s="45">
        <v>14.0</v>
      </c>
      <c r="K17" s="45">
        <v>222.0</v>
      </c>
      <c r="L17" s="22">
        <f>alfa2*K16+(1-alfa2)*L16</f>
        <v>189.7619181</v>
      </c>
      <c r="M17" s="22">
        <f t="shared" si="8"/>
        <v>32.23808192</v>
      </c>
      <c r="N17" s="22">
        <f t="shared" si="9"/>
        <v>1039.293926</v>
      </c>
      <c r="O17" s="22">
        <f t="shared" si="10"/>
        <v>14.52165852</v>
      </c>
      <c r="P17" s="84">
        <f t="shared" si="3"/>
        <v>0.001522452364</v>
      </c>
      <c r="Q17" s="84">
        <f t="shared" si="4"/>
        <v>0.005194383573</v>
      </c>
    </row>
    <row r="18" ht="15.75" customHeight="1">
      <c r="A18" s="7">
        <v>15.0</v>
      </c>
      <c r="B18" s="7">
        <v>155.0</v>
      </c>
      <c r="C18" s="18">
        <f>alfa1*B17+(1-alfa1)*C17</f>
        <v>170.0354567</v>
      </c>
      <c r="D18" s="18">
        <f t="shared" si="5"/>
        <v>15.03545667</v>
      </c>
      <c r="E18" s="18">
        <f t="shared" si="6"/>
        <v>226.0649572</v>
      </c>
      <c r="F18" s="18">
        <f t="shared" si="7"/>
        <v>9.700294624</v>
      </c>
      <c r="G18" s="84">
        <f t="shared" si="1"/>
        <v>0.2435764819</v>
      </c>
      <c r="H18" s="84">
        <f t="shared" si="2"/>
        <v>0.3223309053</v>
      </c>
      <c r="I18" s="85"/>
      <c r="J18" s="45">
        <v>15.0</v>
      </c>
      <c r="K18" s="45">
        <v>206.0</v>
      </c>
      <c r="L18" s="22">
        <f>alfa2*K17+(1-alfa2)*L17</f>
        <v>197.3378673</v>
      </c>
      <c r="M18" s="22">
        <f t="shared" si="8"/>
        <v>8.662132665</v>
      </c>
      <c r="N18" s="22">
        <f t="shared" si="9"/>
        <v>75.03254231</v>
      </c>
      <c r="O18" s="22">
        <f t="shared" si="10"/>
        <v>4.20491877</v>
      </c>
      <c r="P18" s="84">
        <f t="shared" si="3"/>
        <v>0.03889421861</v>
      </c>
      <c r="Q18" s="84">
        <f t="shared" si="4"/>
        <v>0.02724102177</v>
      </c>
    </row>
    <row r="19" ht="15.75" customHeight="1">
      <c r="A19" s="7">
        <v>16.0</v>
      </c>
      <c r="B19" s="7">
        <v>243.0</v>
      </c>
      <c r="C19" s="18">
        <f>alfa1*B18+(1-alfa1)*C18</f>
        <v>166.5021244</v>
      </c>
      <c r="D19" s="18">
        <f t="shared" si="5"/>
        <v>76.49787565</v>
      </c>
      <c r="E19" s="18">
        <f t="shared" si="6"/>
        <v>5851.924979</v>
      </c>
      <c r="F19" s="18">
        <f t="shared" si="7"/>
        <v>31.48060726</v>
      </c>
      <c r="G19" s="84">
        <f t="shared" si="1"/>
        <v>0.0278064201</v>
      </c>
      <c r="H19" s="84">
        <f t="shared" si="2"/>
        <v>0.00548696845</v>
      </c>
      <c r="I19" s="85"/>
      <c r="J19" s="45">
        <v>16.0</v>
      </c>
      <c r="K19" s="45">
        <v>240.0</v>
      </c>
      <c r="L19" s="22">
        <f>alfa2*K18+(1-alfa2)*L18</f>
        <v>199.3734685</v>
      </c>
      <c r="M19" s="22">
        <f t="shared" si="8"/>
        <v>40.62653149</v>
      </c>
      <c r="N19" s="22">
        <f t="shared" si="9"/>
        <v>1650.515061</v>
      </c>
      <c r="O19" s="22">
        <f t="shared" si="10"/>
        <v>16.92772145</v>
      </c>
      <c r="P19" s="84">
        <f t="shared" si="3"/>
        <v>0.006889486535</v>
      </c>
      <c r="Q19" s="84">
        <f t="shared" si="4"/>
        <v>0.04515625</v>
      </c>
    </row>
    <row r="20" ht="15.75" customHeight="1">
      <c r="A20" s="7">
        <v>17.0</v>
      </c>
      <c r="B20" s="7">
        <v>225.0</v>
      </c>
      <c r="C20" s="18">
        <f>alfa1*B19+(1-alfa1)*C19</f>
        <v>184.4791251</v>
      </c>
      <c r="D20" s="18">
        <f t="shared" si="5"/>
        <v>40.52087487</v>
      </c>
      <c r="E20" s="18">
        <f t="shared" si="6"/>
        <v>1641.9413</v>
      </c>
      <c r="F20" s="18">
        <f t="shared" si="7"/>
        <v>18.00927772</v>
      </c>
      <c r="G20" s="84">
        <f t="shared" si="1"/>
        <v>0.01440163282</v>
      </c>
      <c r="H20" s="84">
        <f t="shared" si="2"/>
        <v>0.06644938272</v>
      </c>
      <c r="I20" s="85"/>
      <c r="J20" s="45">
        <v>17.0</v>
      </c>
      <c r="K20" s="45">
        <v>189.0</v>
      </c>
      <c r="L20" s="22">
        <f>alfa2*K19+(1-alfa2)*L19</f>
        <v>208.9207034</v>
      </c>
      <c r="M20" s="22">
        <f t="shared" si="8"/>
        <v>19.92070341</v>
      </c>
      <c r="N20" s="22">
        <f t="shared" si="9"/>
        <v>396.8344244</v>
      </c>
      <c r="O20" s="22">
        <f t="shared" si="10"/>
        <v>10.54005471</v>
      </c>
      <c r="P20" s="84">
        <f t="shared" si="3"/>
        <v>0.008830690932</v>
      </c>
      <c r="Q20" s="84">
        <f t="shared" si="4"/>
        <v>0.03048626858</v>
      </c>
    </row>
    <row r="21" ht="15.75" customHeight="1">
      <c r="A21" s="7">
        <v>18.0</v>
      </c>
      <c r="B21" s="7">
        <v>167.0</v>
      </c>
      <c r="C21" s="18">
        <f>alfa1*B20+(1-alfa1)*C20</f>
        <v>194.0015307</v>
      </c>
      <c r="D21" s="18">
        <f t="shared" si="5"/>
        <v>27.00153072</v>
      </c>
      <c r="E21" s="18">
        <f t="shared" si="6"/>
        <v>729.0826614</v>
      </c>
      <c r="F21" s="18">
        <f t="shared" si="7"/>
        <v>16.16858127</v>
      </c>
      <c r="G21" s="84">
        <f t="shared" si="1"/>
        <v>0.08730372047</v>
      </c>
      <c r="H21" s="84">
        <f t="shared" si="2"/>
        <v>0.1756965112</v>
      </c>
      <c r="I21" s="85"/>
      <c r="J21" s="45">
        <v>18.0</v>
      </c>
      <c r="K21" s="45">
        <v>222.0</v>
      </c>
      <c r="L21" s="22">
        <f>alfa2*K20+(1-alfa2)*L20</f>
        <v>204.2393381</v>
      </c>
      <c r="M21" s="22">
        <f t="shared" si="8"/>
        <v>17.76066189</v>
      </c>
      <c r="N21" s="22">
        <f t="shared" si="9"/>
        <v>315.4411108</v>
      </c>
      <c r="O21" s="22">
        <f t="shared" si="10"/>
        <v>8.000298149</v>
      </c>
      <c r="P21" s="84">
        <f t="shared" si="3"/>
        <v>0.05156805478</v>
      </c>
      <c r="Q21" s="84">
        <f t="shared" si="4"/>
        <v>0.08311013716</v>
      </c>
    </row>
    <row r="22" ht="15.75" customHeight="1">
      <c r="A22" s="7">
        <v>19.0</v>
      </c>
      <c r="B22" s="7">
        <v>237.0</v>
      </c>
      <c r="C22" s="18">
        <f>alfa1*B21+(1-alfa1)*C21</f>
        <v>187.656171</v>
      </c>
      <c r="D22" s="18">
        <f t="shared" si="5"/>
        <v>49.343829</v>
      </c>
      <c r="E22" s="18">
        <f t="shared" si="6"/>
        <v>2434.81346</v>
      </c>
      <c r="F22" s="18">
        <f t="shared" si="7"/>
        <v>20.82018101</v>
      </c>
      <c r="G22" s="84">
        <f t="shared" si="1"/>
        <v>0.0001344454127</v>
      </c>
      <c r="H22" s="84">
        <f t="shared" si="2"/>
        <v>0.021809183</v>
      </c>
      <c r="I22" s="85"/>
      <c r="J22" s="45">
        <v>19.0</v>
      </c>
      <c r="K22" s="45">
        <v>158.0</v>
      </c>
      <c r="L22" s="22">
        <f>alfa2*K21+(1-alfa2)*L21</f>
        <v>208.4130937</v>
      </c>
      <c r="M22" s="22">
        <f t="shared" si="8"/>
        <v>50.41309365</v>
      </c>
      <c r="N22" s="22">
        <f t="shared" si="9"/>
        <v>2541.480012</v>
      </c>
      <c r="O22" s="22">
        <f t="shared" si="10"/>
        <v>31.9070213</v>
      </c>
      <c r="P22" s="84">
        <f t="shared" si="3"/>
        <v>0.01380776214</v>
      </c>
      <c r="Q22" s="84">
        <f t="shared" si="4"/>
        <v>0.01602307323</v>
      </c>
    </row>
    <row r="23" ht="15.75" customHeight="1">
      <c r="A23" s="7">
        <v>20.0</v>
      </c>
      <c r="B23" s="7">
        <v>202.0</v>
      </c>
      <c r="C23" s="18">
        <f>alfa1*B22+(1-alfa1)*C22</f>
        <v>199.2519708</v>
      </c>
      <c r="D23" s="18">
        <f t="shared" si="5"/>
        <v>2.748029182</v>
      </c>
      <c r="E23" s="18">
        <f t="shared" si="6"/>
        <v>7.551664388</v>
      </c>
      <c r="F23" s="18">
        <f t="shared" si="7"/>
        <v>1.360410486</v>
      </c>
      <c r="G23" s="84">
        <f t="shared" si="1"/>
        <v>0.004733547407</v>
      </c>
      <c r="H23" s="84">
        <f t="shared" si="2"/>
        <v>0.006273894716</v>
      </c>
      <c r="I23" s="85"/>
      <c r="J23" s="45">
        <v>20.0</v>
      </c>
      <c r="K23" s="45">
        <v>178.0</v>
      </c>
      <c r="L23" s="22">
        <f>alfa2*K22+(1-alfa2)*L22</f>
        <v>196.5660166</v>
      </c>
      <c r="M23" s="22">
        <f t="shared" si="8"/>
        <v>18.56601665</v>
      </c>
      <c r="N23" s="22">
        <f t="shared" si="9"/>
        <v>344.6969741</v>
      </c>
      <c r="O23" s="22">
        <f t="shared" si="10"/>
        <v>10.43034643</v>
      </c>
      <c r="P23" s="84">
        <f t="shared" si="3"/>
        <v>0.01940699007</v>
      </c>
      <c r="Q23" s="84">
        <f t="shared" si="4"/>
        <v>0.04800530236</v>
      </c>
    </row>
    <row r="24" ht="15.75" customHeight="1">
      <c r="A24" s="7">
        <v>21.0</v>
      </c>
      <c r="B24" s="7">
        <v>186.0</v>
      </c>
      <c r="C24" s="18">
        <f>alfa1*B23+(1-alfa1)*C23</f>
        <v>199.8977577</v>
      </c>
      <c r="D24" s="18">
        <f t="shared" si="5"/>
        <v>13.89775768</v>
      </c>
      <c r="E24" s="18">
        <f t="shared" si="6"/>
        <v>193.1476684</v>
      </c>
      <c r="F24" s="18">
        <f t="shared" si="7"/>
        <v>7.471912729</v>
      </c>
      <c r="G24" s="84">
        <f t="shared" si="1"/>
        <v>0.0123040391</v>
      </c>
      <c r="H24" s="84">
        <f t="shared" si="2"/>
        <v>0.002890507573</v>
      </c>
      <c r="I24" s="85"/>
      <c r="J24" s="45">
        <v>21.0</v>
      </c>
      <c r="K24" s="45">
        <v>217.0</v>
      </c>
      <c r="L24" s="22">
        <f>alfa2*K23+(1-alfa2)*L23</f>
        <v>192.2030027</v>
      </c>
      <c r="M24" s="22">
        <f t="shared" si="8"/>
        <v>24.79699727</v>
      </c>
      <c r="N24" s="22">
        <f t="shared" si="9"/>
        <v>614.8910734</v>
      </c>
      <c r="O24" s="22">
        <f t="shared" si="10"/>
        <v>11.42718768</v>
      </c>
      <c r="P24" s="84">
        <f t="shared" si="3"/>
        <v>0.08420615185</v>
      </c>
      <c r="Q24" s="84">
        <f t="shared" si="4"/>
        <v>0.04111363588</v>
      </c>
    </row>
    <row r="25" ht="15.75" customHeight="1">
      <c r="A25" s="7">
        <v>22.0</v>
      </c>
      <c r="B25" s="7">
        <v>176.0</v>
      </c>
      <c r="C25" s="18">
        <f>alfa1*B24+(1-alfa1)*C24</f>
        <v>196.6317846</v>
      </c>
      <c r="D25" s="18">
        <f t="shared" si="5"/>
        <v>20.63178462</v>
      </c>
      <c r="E25" s="18">
        <f t="shared" si="6"/>
        <v>425.6705367</v>
      </c>
      <c r="F25" s="18">
        <f t="shared" si="7"/>
        <v>11.7226049</v>
      </c>
      <c r="G25" s="84">
        <f t="shared" si="1"/>
        <v>0.05221402807</v>
      </c>
      <c r="H25" s="84">
        <f t="shared" si="2"/>
        <v>0.1012396694</v>
      </c>
      <c r="I25" s="85"/>
      <c r="J25" s="45">
        <v>22.0</v>
      </c>
      <c r="K25" s="45">
        <v>261.0</v>
      </c>
      <c r="L25" s="22">
        <f>alfa2*K24+(1-alfa2)*L24</f>
        <v>198.0302971</v>
      </c>
      <c r="M25" s="22">
        <f t="shared" si="8"/>
        <v>62.96970291</v>
      </c>
      <c r="N25" s="22">
        <f t="shared" si="9"/>
        <v>3965.183484</v>
      </c>
      <c r="O25" s="22">
        <f t="shared" si="10"/>
        <v>24.12632295</v>
      </c>
      <c r="P25" s="84">
        <f t="shared" si="3"/>
        <v>0.009301399852</v>
      </c>
      <c r="Q25" s="84">
        <f t="shared" si="4"/>
        <v>0.007765593576</v>
      </c>
    </row>
    <row r="26" ht="15.75" customHeight="1">
      <c r="A26" s="7">
        <v>23.0</v>
      </c>
      <c r="B26" s="7">
        <v>232.0</v>
      </c>
      <c r="C26" s="18">
        <f>alfa1*B25+(1-alfa1)*C25</f>
        <v>191.7833152</v>
      </c>
      <c r="D26" s="18">
        <f t="shared" si="5"/>
        <v>40.21668476</v>
      </c>
      <c r="E26" s="18">
        <f t="shared" si="6"/>
        <v>1617.381733</v>
      </c>
      <c r="F26" s="18">
        <f t="shared" si="7"/>
        <v>17.33477792</v>
      </c>
      <c r="G26" s="84">
        <f t="shared" si="1"/>
        <v>0.0007220886675</v>
      </c>
      <c r="H26" s="84">
        <f t="shared" si="2"/>
        <v>0.0254347503</v>
      </c>
      <c r="I26" s="85"/>
      <c r="J26" s="45">
        <v>23.0</v>
      </c>
      <c r="K26" s="45">
        <v>238.0</v>
      </c>
      <c r="L26" s="22">
        <f>alfa2*K25+(1-alfa2)*L25</f>
        <v>212.8281773</v>
      </c>
      <c r="M26" s="22">
        <f t="shared" si="8"/>
        <v>25.17182273</v>
      </c>
      <c r="N26" s="22">
        <f t="shared" si="9"/>
        <v>633.6206593</v>
      </c>
      <c r="O26" s="22">
        <f t="shared" si="10"/>
        <v>10.5763961</v>
      </c>
      <c r="P26" s="84">
        <f t="shared" si="3"/>
        <v>0.007976774731</v>
      </c>
      <c r="Q26" s="84">
        <f t="shared" si="4"/>
        <v>0.00007061648189</v>
      </c>
    </row>
    <row r="27" ht="15.75" customHeight="1">
      <c r="A27" s="7">
        <v>24.0</v>
      </c>
      <c r="B27" s="7">
        <v>195.0</v>
      </c>
      <c r="C27" s="18">
        <f>alfa1*B26+(1-alfa1)*C26</f>
        <v>201.2342362</v>
      </c>
      <c r="D27" s="18">
        <f t="shared" si="5"/>
        <v>6.234236155</v>
      </c>
      <c r="E27" s="18">
        <f t="shared" si="6"/>
        <v>38.86570044</v>
      </c>
      <c r="F27" s="18">
        <f t="shared" si="7"/>
        <v>3.197044182</v>
      </c>
      <c r="G27" s="84">
        <f t="shared" si="1"/>
        <v>0.002509851049</v>
      </c>
      <c r="H27" s="84">
        <f t="shared" si="2"/>
        <v>0.0006574621959</v>
      </c>
      <c r="I27" s="85"/>
      <c r="J27" s="45">
        <v>24.0</v>
      </c>
      <c r="K27" s="45">
        <v>240.0</v>
      </c>
      <c r="L27" s="22">
        <f>alfa2*K26+(1-alfa2)*L26</f>
        <v>218.7435556</v>
      </c>
      <c r="M27" s="22">
        <f t="shared" si="8"/>
        <v>21.25644438</v>
      </c>
      <c r="N27" s="22">
        <f t="shared" si="9"/>
        <v>451.8364279</v>
      </c>
      <c r="O27" s="22">
        <f t="shared" si="10"/>
        <v>8.856851827</v>
      </c>
      <c r="P27" s="84">
        <f t="shared" si="3"/>
        <v>0.001646607915</v>
      </c>
      <c r="Q27" s="84">
        <f t="shared" si="4"/>
        <v>0.01173611111</v>
      </c>
    </row>
    <row r="28" ht="15.75" customHeight="1">
      <c r="A28" s="7">
        <v>25.0</v>
      </c>
      <c r="B28" s="7">
        <v>190.0</v>
      </c>
      <c r="C28" s="18">
        <f>alfa1*B27+(1-alfa1)*C27</f>
        <v>199.7691907</v>
      </c>
      <c r="D28" s="18">
        <f t="shared" si="5"/>
        <v>9.769190659</v>
      </c>
      <c r="E28" s="18">
        <f t="shared" si="6"/>
        <v>95.43708613</v>
      </c>
      <c r="F28" s="18">
        <f t="shared" si="7"/>
        <v>5.141679294</v>
      </c>
      <c r="G28" s="84">
        <f t="shared" si="1"/>
        <v>0.006632328598</v>
      </c>
      <c r="H28" s="84">
        <f t="shared" si="2"/>
        <v>0.001772853186</v>
      </c>
      <c r="I28" s="85"/>
      <c r="J28" s="45">
        <v>25.0</v>
      </c>
      <c r="K28" s="45">
        <v>214.0</v>
      </c>
      <c r="L28" s="22">
        <f>alfa2*K27+(1-alfa2)*L27</f>
        <v>223.73882</v>
      </c>
      <c r="M28" s="22">
        <f t="shared" si="8"/>
        <v>9.738820046</v>
      </c>
      <c r="N28" s="22">
        <f t="shared" si="9"/>
        <v>94.84461588</v>
      </c>
      <c r="O28" s="22">
        <f t="shared" si="10"/>
        <v>4.550850489</v>
      </c>
      <c r="P28" s="84">
        <f t="shared" si="3"/>
        <v>0.01004696842</v>
      </c>
      <c r="Q28" s="84">
        <f t="shared" si="4"/>
        <v>0.004279849769</v>
      </c>
    </row>
    <row r="29" ht="15.75" customHeight="1">
      <c r="A29" s="7">
        <v>26.0</v>
      </c>
      <c r="B29" s="7">
        <v>182.0</v>
      </c>
      <c r="C29" s="18">
        <f>alfa1*B28+(1-alfa1)*C28</f>
        <v>197.4734309</v>
      </c>
      <c r="D29" s="18">
        <f t="shared" si="5"/>
        <v>15.47343085</v>
      </c>
      <c r="E29" s="18">
        <f t="shared" si="6"/>
        <v>239.4270624</v>
      </c>
      <c r="F29" s="18">
        <f t="shared" si="7"/>
        <v>8.501885085</v>
      </c>
      <c r="G29" s="84">
        <f t="shared" si="1"/>
        <v>0.02394471484</v>
      </c>
      <c r="H29" s="84">
        <f t="shared" si="2"/>
        <v>0.04830334501</v>
      </c>
      <c r="I29" s="85"/>
      <c r="J29" s="45">
        <v>26.0</v>
      </c>
      <c r="K29" s="45">
        <v>200.0</v>
      </c>
      <c r="L29" s="22">
        <f>alfa2*K28+(1-alfa2)*L28</f>
        <v>221.4501973</v>
      </c>
      <c r="M29" s="22">
        <f t="shared" si="8"/>
        <v>21.45019733</v>
      </c>
      <c r="N29" s="22">
        <f t="shared" si="9"/>
        <v>460.1109657</v>
      </c>
      <c r="O29" s="22">
        <f t="shared" si="10"/>
        <v>10.72509867</v>
      </c>
      <c r="P29" s="84">
        <f t="shared" si="3"/>
        <v>0.00593624095</v>
      </c>
      <c r="Q29" s="84">
        <f t="shared" si="4"/>
        <v>0.000025</v>
      </c>
    </row>
    <row r="30" ht="15.75" customHeight="1">
      <c r="A30" s="7">
        <v>27.0</v>
      </c>
      <c r="B30" s="7">
        <v>222.0</v>
      </c>
      <c r="C30" s="18">
        <f>alfa1*B29+(1-alfa1)*C29</f>
        <v>193.8371746</v>
      </c>
      <c r="D30" s="18">
        <f t="shared" si="5"/>
        <v>28.1628254</v>
      </c>
      <c r="E30" s="18">
        <f t="shared" si="6"/>
        <v>793.1447343</v>
      </c>
      <c r="F30" s="18">
        <f t="shared" si="7"/>
        <v>12.68595739</v>
      </c>
      <c r="G30" s="84">
        <f t="shared" si="1"/>
        <v>0.005553983298</v>
      </c>
      <c r="H30" s="84">
        <f t="shared" si="2"/>
        <v>0.0005072640208</v>
      </c>
      <c r="I30" s="85"/>
      <c r="J30" s="45">
        <v>27.0</v>
      </c>
      <c r="K30" s="45">
        <v>201.0</v>
      </c>
      <c r="L30" s="22">
        <f>alfa2*K29+(1-alfa2)*L29</f>
        <v>216.409401</v>
      </c>
      <c r="M30" s="22">
        <f t="shared" si="8"/>
        <v>15.40940096</v>
      </c>
      <c r="N30" s="22">
        <f t="shared" si="9"/>
        <v>237.449638</v>
      </c>
      <c r="O30" s="22">
        <f t="shared" si="10"/>
        <v>7.666368637</v>
      </c>
      <c r="P30" s="84">
        <f t="shared" si="3"/>
        <v>0.1220192079</v>
      </c>
      <c r="Q30" s="84">
        <f t="shared" si="4"/>
        <v>0.166431524</v>
      </c>
    </row>
    <row r="31" ht="15.75" customHeight="1">
      <c r="A31" s="7">
        <v>28.0</v>
      </c>
      <c r="B31" s="7">
        <v>217.0</v>
      </c>
      <c r="C31" s="18">
        <f>alfa1*B30+(1-alfa1)*C30</f>
        <v>200.4554386</v>
      </c>
      <c r="D31" s="18">
        <f t="shared" si="5"/>
        <v>16.54456143</v>
      </c>
      <c r="E31" s="18">
        <f t="shared" si="6"/>
        <v>273.7225129</v>
      </c>
      <c r="F31" s="18">
        <f t="shared" si="7"/>
        <v>7.624221856</v>
      </c>
      <c r="G31" s="84">
        <f t="shared" si="1"/>
        <v>0.005672387755</v>
      </c>
      <c r="H31" s="84">
        <f t="shared" si="2"/>
        <v>0.0178597974</v>
      </c>
      <c r="I31" s="85"/>
      <c r="J31" s="45">
        <v>28.0</v>
      </c>
      <c r="K31" s="45">
        <v>283.0</v>
      </c>
      <c r="L31" s="22">
        <f>alfa2*K30+(1-alfa2)*L30</f>
        <v>212.7881917</v>
      </c>
      <c r="M31" s="22">
        <f t="shared" si="8"/>
        <v>70.21180826</v>
      </c>
      <c r="N31" s="22">
        <f t="shared" si="9"/>
        <v>4929.69802</v>
      </c>
      <c r="O31" s="22">
        <f t="shared" si="10"/>
        <v>24.80982624</v>
      </c>
      <c r="P31" s="84">
        <f t="shared" si="3"/>
        <v>0.001077130755</v>
      </c>
      <c r="Q31" s="84">
        <f t="shared" si="4"/>
        <v>0.04955736743</v>
      </c>
    </row>
    <row r="32" ht="15.75" customHeight="1">
      <c r="A32" s="7">
        <v>29.0</v>
      </c>
      <c r="B32" s="7">
        <v>188.0</v>
      </c>
      <c r="C32" s="18">
        <f>alfa1*B31+(1-alfa1)*C31</f>
        <v>204.3434105</v>
      </c>
      <c r="D32" s="18">
        <f t="shared" si="5"/>
        <v>16.34341051</v>
      </c>
      <c r="E32" s="18">
        <f t="shared" si="6"/>
        <v>267.107067</v>
      </c>
      <c r="F32" s="18">
        <f t="shared" si="7"/>
        <v>8.693303461</v>
      </c>
      <c r="G32" s="84">
        <f t="shared" si="1"/>
        <v>0.06117015807</v>
      </c>
      <c r="H32" s="84">
        <f t="shared" si="2"/>
        <v>0.09848913536</v>
      </c>
      <c r="I32" s="85"/>
      <c r="J32" s="45">
        <v>29.0</v>
      </c>
      <c r="K32" s="45">
        <v>220.0</v>
      </c>
      <c r="L32" s="22">
        <f>alfa2*K31+(1-alfa2)*L31</f>
        <v>229.2879667</v>
      </c>
      <c r="M32" s="22">
        <f t="shared" si="8"/>
        <v>9.287966678</v>
      </c>
      <c r="N32" s="22">
        <f t="shared" si="9"/>
        <v>86.266325</v>
      </c>
      <c r="O32" s="22">
        <f t="shared" si="10"/>
        <v>4.221803035</v>
      </c>
      <c r="P32" s="84">
        <f t="shared" si="3"/>
        <v>0.02101802145</v>
      </c>
      <c r="Q32" s="84">
        <f t="shared" si="4"/>
        <v>0.03142561983</v>
      </c>
    </row>
    <row r="33" ht="15.75" customHeight="1">
      <c r="A33" s="7">
        <v>30.0</v>
      </c>
      <c r="B33" s="7">
        <v>247.0</v>
      </c>
      <c r="C33" s="18">
        <f>alfa1*B32+(1-alfa1)*C32</f>
        <v>200.502709</v>
      </c>
      <c r="D33" s="18">
        <f t="shared" si="5"/>
        <v>46.49729096</v>
      </c>
      <c r="E33" s="18">
        <f t="shared" si="6"/>
        <v>2161.998067</v>
      </c>
      <c r="F33" s="18">
        <f t="shared" si="7"/>
        <v>18.82481415</v>
      </c>
      <c r="G33" s="84"/>
      <c r="H33" s="84"/>
      <c r="I33" s="85"/>
      <c r="J33" s="45">
        <v>30.0</v>
      </c>
      <c r="K33" s="45">
        <v>259.0</v>
      </c>
      <c r="L33" s="22">
        <f>alfa2*K32+(1-alfa2)*L32</f>
        <v>227.1052945</v>
      </c>
      <c r="M33" s="22">
        <f t="shared" si="8"/>
        <v>31.89470549</v>
      </c>
      <c r="N33" s="22">
        <f t="shared" si="9"/>
        <v>1017.272238</v>
      </c>
      <c r="O33" s="22">
        <f t="shared" si="10"/>
        <v>12.3145581</v>
      </c>
      <c r="P33" s="7"/>
      <c r="Q33" s="7"/>
    </row>
    <row r="34" ht="15.75" customHeight="1">
      <c r="A34" s="7">
        <v>31.0</v>
      </c>
      <c r="B34" s="7"/>
      <c r="C34" s="18">
        <f>alfa1*$B$33+(1-alfa1)*$C$33</f>
        <v>211.4295724</v>
      </c>
      <c r="D34" s="18"/>
      <c r="E34" s="18"/>
      <c r="F34" s="18"/>
      <c r="G34" s="7"/>
      <c r="H34" s="84"/>
      <c r="I34" s="85"/>
      <c r="J34" s="45">
        <v>31.0</v>
      </c>
      <c r="K34" s="7"/>
      <c r="L34" s="22">
        <f>alfa2*$K$33+(1-alfa2)*$L$33</f>
        <v>234.6005503</v>
      </c>
      <c r="M34" s="7"/>
      <c r="N34" s="7"/>
      <c r="O34" s="7"/>
      <c r="P34" s="7"/>
      <c r="Q34" s="7"/>
    </row>
    <row r="35" ht="15.75" customHeight="1">
      <c r="A35" s="45">
        <v>32.0</v>
      </c>
      <c r="B35" s="7"/>
      <c r="C35" s="18">
        <f>alfa1*$B$33+(1-alfa1)*$C$33</f>
        <v>211.4295724</v>
      </c>
      <c r="D35" s="18"/>
      <c r="E35" s="18"/>
      <c r="F35" s="18"/>
      <c r="G35" s="7"/>
      <c r="H35" s="84"/>
      <c r="I35" s="85"/>
      <c r="J35" s="45">
        <v>32.0</v>
      </c>
      <c r="K35" s="7"/>
      <c r="L35" s="22">
        <f>alfa2*$K$33+(1-alfa2)*$L$33</f>
        <v>234.6005503</v>
      </c>
      <c r="M35" s="7"/>
      <c r="N35" s="7"/>
      <c r="O35" s="7"/>
      <c r="P35" s="7"/>
      <c r="Q35" s="7"/>
    </row>
    <row r="36" ht="15.75" customHeight="1">
      <c r="A36" s="45">
        <v>33.0</v>
      </c>
      <c r="B36" s="7"/>
      <c r="C36" s="18">
        <f>alfa1*$B$33+(1-alfa1)*$C$33</f>
        <v>211.4295724</v>
      </c>
      <c r="D36" s="18"/>
      <c r="E36" s="18"/>
      <c r="F36" s="18"/>
      <c r="G36" s="7"/>
      <c r="H36" s="84"/>
      <c r="I36" s="85"/>
      <c r="J36" s="45">
        <v>33.0</v>
      </c>
      <c r="K36" s="7"/>
      <c r="L36" s="22">
        <f>alfa2*$K$33+(1-alfa2)*$L$33</f>
        <v>234.6005503</v>
      </c>
      <c r="M36" s="7"/>
      <c r="N36" s="7"/>
      <c r="O36" s="7"/>
      <c r="P36" s="7"/>
      <c r="Q36" s="7"/>
    </row>
    <row r="37" ht="15.75" customHeight="1">
      <c r="A37" s="45">
        <v>34.0</v>
      </c>
      <c r="B37" s="7"/>
      <c r="C37" s="18">
        <f>alfa1*$B$33+(1-alfa1)*$C$33</f>
        <v>211.4295724</v>
      </c>
      <c r="D37" s="18"/>
      <c r="E37" s="18"/>
      <c r="F37" s="18"/>
      <c r="G37" s="7"/>
      <c r="H37" s="84"/>
      <c r="I37" s="85"/>
      <c r="J37" s="45">
        <v>34.0</v>
      </c>
      <c r="K37" s="7"/>
      <c r="L37" s="22">
        <f>alfa2*$K$33+(1-alfa2)*$L$33</f>
        <v>234.6005503</v>
      </c>
      <c r="M37" s="7"/>
      <c r="N37" s="7"/>
      <c r="O37" s="7"/>
      <c r="P37" s="7"/>
      <c r="Q37" s="7"/>
    </row>
    <row r="38" ht="15.75" customHeight="1">
      <c r="A38" s="38" t="s">
        <v>20</v>
      </c>
      <c r="B38" s="2"/>
      <c r="C38" s="3"/>
      <c r="D38" s="37">
        <f>average(D5:D33)</f>
        <v>29.86378649</v>
      </c>
      <c r="E38" s="2"/>
      <c r="F38" s="2"/>
      <c r="G38" s="2"/>
      <c r="H38" s="3"/>
      <c r="I38" s="4"/>
      <c r="J38" s="38" t="s">
        <v>20</v>
      </c>
      <c r="K38" s="2"/>
      <c r="L38" s="3"/>
      <c r="M38" s="37">
        <f>AVERAGE(M5:M33)</f>
        <v>28.20062166</v>
      </c>
      <c r="N38" s="2"/>
      <c r="O38" s="2"/>
      <c r="P38" s="2"/>
      <c r="Q38" s="3"/>
    </row>
    <row r="39" ht="15.75" customHeight="1">
      <c r="A39" s="38" t="s">
        <v>21</v>
      </c>
      <c r="B39" s="2"/>
      <c r="C39" s="3"/>
      <c r="D39" s="37">
        <f>average(E5:E33)</f>
        <v>1253.797701</v>
      </c>
      <c r="E39" s="2"/>
      <c r="F39" s="2"/>
      <c r="G39" s="2"/>
      <c r="H39" s="3"/>
      <c r="I39" s="4"/>
      <c r="J39" s="38" t="s">
        <v>21</v>
      </c>
      <c r="K39" s="2"/>
      <c r="L39" s="3"/>
      <c r="M39" s="37">
        <f>AVERAGE(N5:N33)</f>
        <v>1100.009535</v>
      </c>
      <c r="N39" s="2"/>
      <c r="O39" s="2"/>
      <c r="P39" s="2"/>
      <c r="Q39" s="3"/>
    </row>
    <row r="40" ht="15.75" customHeight="1">
      <c r="A40" s="38" t="s">
        <v>22</v>
      </c>
      <c r="B40" s="2"/>
      <c r="C40" s="3"/>
      <c r="D40" s="37">
        <f>AVERAGE(F5:F33)</f>
        <v>17.24419588</v>
      </c>
      <c r="E40" s="2"/>
      <c r="F40" s="2"/>
      <c r="G40" s="2"/>
      <c r="H40" s="3"/>
      <c r="I40" s="4"/>
      <c r="J40" s="38" t="s">
        <v>22</v>
      </c>
      <c r="K40" s="2"/>
      <c r="L40" s="3"/>
      <c r="M40" s="37">
        <f>AVERAGE(O5:O33)</f>
        <v>13.80666853</v>
      </c>
      <c r="N40" s="2"/>
      <c r="O40" s="2"/>
      <c r="P40" s="2"/>
      <c r="Q40" s="3"/>
    </row>
    <row r="41" ht="15.75" customHeight="1">
      <c r="A41" s="38" t="s">
        <v>23</v>
      </c>
      <c r="B41" s="2"/>
      <c r="C41" s="3"/>
      <c r="D41" s="30">
        <f>(sum(G4:G32))/sum(H4:H32)</f>
        <v>0.4687310275</v>
      </c>
      <c r="E41" s="2"/>
      <c r="F41" s="2"/>
      <c r="G41" s="2"/>
      <c r="H41" s="3"/>
      <c r="I41" s="4"/>
      <c r="J41" s="38" t="s">
        <v>67</v>
      </c>
      <c r="K41" s="2"/>
      <c r="L41" s="3"/>
      <c r="M41" s="30">
        <f>sum(P4:P32)/sum(Q4:Q32)</f>
        <v>0.6805961072</v>
      </c>
      <c r="N41" s="2"/>
      <c r="O41" s="2"/>
      <c r="P41" s="2"/>
      <c r="Q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9">
    <mergeCell ref="A1:C1"/>
    <mergeCell ref="A2:C2"/>
    <mergeCell ref="J2:L2"/>
    <mergeCell ref="A38:C38"/>
    <mergeCell ref="J38:L38"/>
    <mergeCell ref="D38:H38"/>
    <mergeCell ref="A40:C40"/>
    <mergeCell ref="A41:C41"/>
    <mergeCell ref="D41:H41"/>
    <mergeCell ref="J41:L41"/>
    <mergeCell ref="M41:Q41"/>
    <mergeCell ref="A39:C39"/>
    <mergeCell ref="J39:L39"/>
    <mergeCell ref="J40:L40"/>
    <mergeCell ref="D39:H39"/>
    <mergeCell ref="D40:H40"/>
    <mergeCell ref="M38:Q38"/>
    <mergeCell ref="M39:Q39"/>
    <mergeCell ref="M40:Q4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78"/>
    <col customWidth="1" min="8" max="8" width="14.0"/>
    <col customWidth="1" min="9" max="10" width="14.56"/>
    <col customWidth="1" min="11" max="12" width="6.11"/>
    <col customWidth="1" min="19" max="19" width="15.33"/>
    <col customWidth="1" min="20" max="20" width="14.33"/>
    <col customWidth="1" min="21" max="21" width="13.33"/>
  </cols>
  <sheetData>
    <row r="1">
      <c r="A1" s="87" t="s">
        <v>68</v>
      </c>
      <c r="B1" s="2"/>
      <c r="C1" s="3"/>
      <c r="D1" s="88"/>
      <c r="E1" s="88"/>
      <c r="F1" s="88"/>
      <c r="P1" s="89"/>
      <c r="Q1" s="89"/>
    </row>
    <row r="2">
      <c r="A2" s="90" t="s">
        <v>69</v>
      </c>
      <c r="B2" s="91"/>
      <c r="C2" s="28"/>
      <c r="D2" s="10"/>
      <c r="E2" s="92" t="s">
        <v>70</v>
      </c>
      <c r="F2" s="92" t="s">
        <v>47</v>
      </c>
      <c r="G2" s="10"/>
      <c r="H2" s="10"/>
      <c r="I2" s="10"/>
      <c r="J2" s="10"/>
      <c r="L2" s="93" t="s">
        <v>71</v>
      </c>
      <c r="M2" s="91"/>
      <c r="N2" s="28"/>
      <c r="O2" s="41"/>
      <c r="P2" s="92" t="s">
        <v>70</v>
      </c>
      <c r="Q2" s="92" t="s">
        <v>47</v>
      </c>
      <c r="R2" s="41"/>
      <c r="S2" s="41"/>
      <c r="T2" s="41"/>
      <c r="U2" s="41"/>
    </row>
    <row r="3">
      <c r="A3" s="39"/>
      <c r="B3" s="94"/>
      <c r="C3" s="40"/>
      <c r="D3" s="10"/>
      <c r="E3" s="92">
        <v>0.235</v>
      </c>
      <c r="F3" s="92">
        <v>0.435</v>
      </c>
      <c r="G3" s="10"/>
      <c r="H3" s="10"/>
      <c r="I3" s="10"/>
      <c r="J3" s="10"/>
      <c r="K3" s="89"/>
      <c r="L3" s="39"/>
      <c r="M3" s="94"/>
      <c r="N3" s="40"/>
      <c r="O3" s="41"/>
      <c r="P3" s="95">
        <v>0.235</v>
      </c>
      <c r="Q3" s="92">
        <v>0.435</v>
      </c>
      <c r="R3" s="41"/>
      <c r="S3" s="41"/>
      <c r="T3" s="41"/>
      <c r="U3" s="41"/>
    </row>
    <row r="4">
      <c r="A4" s="80" t="s">
        <v>4</v>
      </c>
      <c r="B4" s="80" t="s">
        <v>72</v>
      </c>
      <c r="C4" s="80" t="s">
        <v>73</v>
      </c>
      <c r="D4" s="80" t="s">
        <v>74</v>
      </c>
      <c r="E4" s="80" t="s">
        <v>75</v>
      </c>
      <c r="F4" s="80" t="s">
        <v>61</v>
      </c>
      <c r="G4" s="80" t="s">
        <v>66</v>
      </c>
      <c r="H4" s="80" t="s">
        <v>63</v>
      </c>
      <c r="I4" s="81" t="s">
        <v>64</v>
      </c>
      <c r="J4" s="81" t="s">
        <v>65</v>
      </c>
      <c r="K4" s="96"/>
      <c r="L4" s="80" t="s">
        <v>4</v>
      </c>
      <c r="M4" s="80" t="s">
        <v>72</v>
      </c>
      <c r="N4" s="80" t="s">
        <v>73</v>
      </c>
      <c r="O4" s="80" t="s">
        <v>74</v>
      </c>
      <c r="P4" s="80" t="s">
        <v>75</v>
      </c>
      <c r="Q4" s="80" t="s">
        <v>61</v>
      </c>
      <c r="R4" s="80" t="s">
        <v>66</v>
      </c>
      <c r="S4" s="80" t="s">
        <v>63</v>
      </c>
      <c r="T4" s="81" t="s">
        <v>64</v>
      </c>
      <c r="U4" s="81" t="s">
        <v>65</v>
      </c>
    </row>
    <row r="5">
      <c r="A5" s="97">
        <v>1.0</v>
      </c>
      <c r="B5" s="97">
        <v>199.0</v>
      </c>
      <c r="C5" s="98">
        <v>199.0</v>
      </c>
      <c r="D5" s="99">
        <f>B6-B5</f>
        <v>-27</v>
      </c>
      <c r="E5" s="97"/>
      <c r="F5" s="97"/>
      <c r="G5" s="97"/>
      <c r="H5" s="97"/>
      <c r="I5" s="100">
        <f t="shared" ref="I5:I33" si="1">((E6-B6)/B5)^2</f>
        <v>0</v>
      </c>
      <c r="J5" s="100">
        <f t="shared" ref="J5:J33" si="2">((B6-B5)/B5)^2</f>
        <v>0.01840862604</v>
      </c>
      <c r="L5" s="97">
        <v>1.0</v>
      </c>
      <c r="M5" s="99">
        <v>139.0</v>
      </c>
      <c r="N5" s="99">
        <v>139.0</v>
      </c>
      <c r="O5" s="97">
        <f>M8-M5</f>
        <v>0</v>
      </c>
      <c r="P5" s="97"/>
      <c r="Q5" s="97"/>
      <c r="R5" s="97"/>
      <c r="S5" s="97"/>
      <c r="T5" s="100">
        <f t="shared" ref="T5:T33" si="3">((P6-M6)/M5)^2</f>
        <v>0.006262615807</v>
      </c>
      <c r="U5" s="100">
        <f t="shared" ref="U5:U33" si="4">((M6-M5)/M5)^2</f>
        <v>0.006262615807</v>
      </c>
    </row>
    <row r="6">
      <c r="A6" s="97">
        <v>2.0</v>
      </c>
      <c r="B6" s="97">
        <v>172.0</v>
      </c>
      <c r="C6" s="101">
        <f>(alfa3*B6)+((1-alfa3)*(C5+D5))</f>
        <v>172</v>
      </c>
      <c r="D6" s="101">
        <f>(beta1*(C6-C5))+((1-beta1)*D5)</f>
        <v>-27</v>
      </c>
      <c r="E6" s="99">
        <f t="shared" ref="E6:E35" si="5">C5+D5</f>
        <v>172</v>
      </c>
      <c r="F6" s="97">
        <f t="shared" ref="F6:F34" si="6">abs(E6-B6)</f>
        <v>0</v>
      </c>
      <c r="G6" s="97">
        <f t="shared" ref="G6:G34" si="7">F6^2</f>
        <v>0</v>
      </c>
      <c r="H6" s="97">
        <f t="shared" ref="H6:H34" si="8">100*(F6/B6)</f>
        <v>0</v>
      </c>
      <c r="I6" s="100">
        <f t="shared" si="1"/>
        <v>0.03907517577</v>
      </c>
      <c r="J6" s="100">
        <f t="shared" si="2"/>
        <v>0.1257774473</v>
      </c>
      <c r="L6" s="97">
        <v>2.0</v>
      </c>
      <c r="M6" s="99">
        <v>128.0</v>
      </c>
      <c r="N6" s="102">
        <f>(alfa4*M6)+((1-alfa4)*(N5+O5))</f>
        <v>136.415</v>
      </c>
      <c r="O6" s="102">
        <f>(beta2*(N6-N5))+((1-beta2)*O5)</f>
        <v>-1.124475</v>
      </c>
      <c r="P6" s="97">
        <f t="shared" ref="P6:P35" si="9">N5+O5</f>
        <v>139</v>
      </c>
      <c r="Q6" s="97">
        <f t="shared" ref="Q6:Q34" si="10">abs(M6-P6)</f>
        <v>11</v>
      </c>
      <c r="R6" s="102">
        <f t="shared" ref="R6:R34" si="11">Q6^2</f>
        <v>121</v>
      </c>
      <c r="S6" s="102">
        <f t="shared" ref="S6:S34" si="12">100*(Q6/M6)</f>
        <v>8.59375</v>
      </c>
      <c r="T6" s="100">
        <f t="shared" si="3"/>
        <v>0.0822500949</v>
      </c>
      <c r="U6" s="100">
        <f t="shared" si="4"/>
        <v>0.1181640625</v>
      </c>
    </row>
    <row r="7">
      <c r="A7" s="97">
        <v>3.0</v>
      </c>
      <c r="B7" s="97">
        <v>111.0</v>
      </c>
      <c r="C7" s="101">
        <f>(alfa3*B7)+((1-alfa3)*(C6+D6))</f>
        <v>137.01</v>
      </c>
      <c r="D7" s="101">
        <f>(beta1*(C7-C6))+((1-beta1)*D6)</f>
        <v>-30.47565</v>
      </c>
      <c r="E7" s="101">
        <f t="shared" si="5"/>
        <v>145</v>
      </c>
      <c r="F7" s="97">
        <f t="shared" si="6"/>
        <v>34</v>
      </c>
      <c r="G7" s="102">
        <f t="shared" si="7"/>
        <v>1156</v>
      </c>
      <c r="H7" s="102">
        <f t="shared" si="8"/>
        <v>30.63063063</v>
      </c>
      <c r="I7" s="100">
        <f t="shared" si="1"/>
        <v>0.8521393905</v>
      </c>
      <c r="J7" s="100">
        <f t="shared" si="2"/>
        <v>0.7794821849</v>
      </c>
      <c r="L7" s="97">
        <v>3.0</v>
      </c>
      <c r="M7" s="99">
        <v>172.0</v>
      </c>
      <c r="N7" s="102">
        <f>(alfa4*M7)+((1-alfa4)*(N6+O6))</f>
        <v>143.9172516</v>
      </c>
      <c r="O7" s="102">
        <f>(beta2*(N7-N6))+((1-beta2)*O6)</f>
        <v>2.628151082</v>
      </c>
      <c r="P7" s="102">
        <f t="shared" si="9"/>
        <v>135.290525</v>
      </c>
      <c r="Q7" s="102">
        <f t="shared" si="10"/>
        <v>36.709475</v>
      </c>
      <c r="R7" s="102">
        <f t="shared" si="11"/>
        <v>1347.585555</v>
      </c>
      <c r="S7" s="102">
        <f t="shared" si="12"/>
        <v>21.34271802</v>
      </c>
      <c r="T7" s="100">
        <f t="shared" si="3"/>
        <v>0.001924455855</v>
      </c>
      <c r="U7" s="100">
        <f t="shared" si="4"/>
        <v>0.03681043807</v>
      </c>
    </row>
    <row r="8">
      <c r="A8" s="97">
        <v>4.0</v>
      </c>
      <c r="B8" s="97">
        <v>209.0</v>
      </c>
      <c r="C8" s="102">
        <f>(alfa3*B8)+((1-alfa3)*(C7+D7))</f>
        <v>130.6137778</v>
      </c>
      <c r="D8" s="102">
        <f>(beta1*(C8-C7))+((1-beta1)*D7)</f>
        <v>-20.00109893</v>
      </c>
      <c r="E8" s="102">
        <f t="shared" si="5"/>
        <v>106.53435</v>
      </c>
      <c r="F8" s="102">
        <f t="shared" si="6"/>
        <v>102.46565</v>
      </c>
      <c r="G8" s="102">
        <f t="shared" si="7"/>
        <v>10499.20943</v>
      </c>
      <c r="H8" s="102">
        <f t="shared" si="8"/>
        <v>49.02662679</v>
      </c>
      <c r="I8" s="100">
        <f t="shared" si="1"/>
        <v>0.05812326036</v>
      </c>
      <c r="J8" s="100">
        <f t="shared" si="2"/>
        <v>0.05274604519</v>
      </c>
      <c r="L8" s="97">
        <v>4.0</v>
      </c>
      <c r="M8" s="99">
        <v>139.0</v>
      </c>
      <c r="N8" s="102">
        <f>(alfa4*M8)+((1-alfa4)*(N7+O7))</f>
        <v>144.7722331</v>
      </c>
      <c r="O8" s="102">
        <f>(beta2*(N8-N7))+((1-beta2)*O7)</f>
        <v>1.85682229</v>
      </c>
      <c r="P8" s="102">
        <f t="shared" si="9"/>
        <v>146.5454027</v>
      </c>
      <c r="Q8" s="102">
        <f t="shared" si="10"/>
        <v>7.545402707</v>
      </c>
      <c r="R8" s="102">
        <f t="shared" si="11"/>
        <v>56.93310201</v>
      </c>
      <c r="S8" s="102">
        <f t="shared" si="12"/>
        <v>5.428347271</v>
      </c>
      <c r="T8" s="100">
        <f t="shared" si="3"/>
        <v>0.1018984901</v>
      </c>
      <c r="U8" s="100">
        <f t="shared" si="4"/>
        <v>0.1399513483</v>
      </c>
    </row>
    <row r="9">
      <c r="A9" s="97">
        <v>5.0</v>
      </c>
      <c r="B9" s="97">
        <v>161.0</v>
      </c>
      <c r="C9" s="102">
        <f>(alfa3*B9)+((1-alfa3)*(C8+D8))</f>
        <v>122.4536993</v>
      </c>
      <c r="D9" s="102">
        <f>(beta1*(C9-C8))+((1-beta1)*D8)</f>
        <v>-14.85025502</v>
      </c>
      <c r="E9" s="102">
        <f t="shared" si="5"/>
        <v>110.6126788</v>
      </c>
      <c r="F9" s="102">
        <f t="shared" si="6"/>
        <v>50.38732118</v>
      </c>
      <c r="G9" s="102">
        <f t="shared" si="7"/>
        <v>2538.882136</v>
      </c>
      <c r="H9" s="102">
        <f t="shared" si="8"/>
        <v>31.29647278</v>
      </c>
      <c r="I9" s="100">
        <f t="shared" si="1"/>
        <v>0.005010666346</v>
      </c>
      <c r="J9" s="100">
        <f t="shared" si="2"/>
        <v>0.06805293006</v>
      </c>
      <c r="L9" s="97">
        <v>5.0</v>
      </c>
      <c r="M9" s="99">
        <v>191.0</v>
      </c>
      <c r="N9" s="102">
        <f>(alfa4*M9)+((1-alfa4)*(N8+O8))</f>
        <v>157.0562274</v>
      </c>
      <c r="O9" s="102">
        <f>(beta2*(N9-N8))+((1-beta2)*O8)</f>
        <v>6.392642106</v>
      </c>
      <c r="P9" s="102">
        <f t="shared" si="9"/>
        <v>146.6290554</v>
      </c>
      <c r="Q9" s="102">
        <f t="shared" si="10"/>
        <v>44.37094464</v>
      </c>
      <c r="R9" s="102">
        <f t="shared" si="11"/>
        <v>1968.780728</v>
      </c>
      <c r="S9" s="102">
        <f t="shared" si="12"/>
        <v>23.23086107</v>
      </c>
      <c r="T9" s="100">
        <f t="shared" si="3"/>
        <v>0.0005677692283</v>
      </c>
      <c r="U9" s="100">
        <f t="shared" si="4"/>
        <v>0.01450069899</v>
      </c>
    </row>
    <row r="10">
      <c r="A10" s="97">
        <v>6.0</v>
      </c>
      <c r="B10" s="97">
        <v>119.0</v>
      </c>
      <c r="C10" s="102">
        <f>(alfa3*B10)+((1-alfa3)*(C9+D9))</f>
        <v>110.2816349</v>
      </c>
      <c r="D10" s="102">
        <f>(beta1*(C10-C9))+((1-beta1)*D9)</f>
        <v>-13.68524211</v>
      </c>
      <c r="E10" s="102">
        <f t="shared" si="5"/>
        <v>107.6034443</v>
      </c>
      <c r="F10" s="102">
        <f t="shared" si="6"/>
        <v>11.39655572</v>
      </c>
      <c r="G10" s="102">
        <f t="shared" si="7"/>
        <v>129.8814823</v>
      </c>
      <c r="H10" s="102">
        <f t="shared" si="8"/>
        <v>9.576937582</v>
      </c>
      <c r="I10" s="100">
        <f t="shared" si="1"/>
        <v>0.6837984548</v>
      </c>
      <c r="J10" s="100">
        <f t="shared" si="2"/>
        <v>0.4078807994</v>
      </c>
      <c r="L10" s="97">
        <v>6.0</v>
      </c>
      <c r="M10" s="99">
        <v>168.0</v>
      </c>
      <c r="N10" s="102">
        <f>(alfa4*M10)+((1-alfa4)*(N9+O9))</f>
        <v>164.5183851</v>
      </c>
      <c r="O10" s="102">
        <f>(beta2*(N10-N9))+((1-beta2)*O9)</f>
        <v>6.857881426</v>
      </c>
      <c r="P10" s="102">
        <f t="shared" si="9"/>
        <v>163.4488695</v>
      </c>
      <c r="Q10" s="102">
        <f t="shared" si="10"/>
        <v>4.551130543</v>
      </c>
      <c r="R10" s="102">
        <f t="shared" si="11"/>
        <v>20.71278922</v>
      </c>
      <c r="S10" s="102">
        <f t="shared" si="12"/>
        <v>2.709006276</v>
      </c>
      <c r="T10" s="100">
        <f t="shared" si="3"/>
        <v>0.00006710989388</v>
      </c>
      <c r="U10" s="100">
        <f t="shared" si="4"/>
        <v>0.000141723356</v>
      </c>
    </row>
    <row r="11">
      <c r="A11" s="97">
        <v>7.0</v>
      </c>
      <c r="B11" s="97">
        <v>195.0</v>
      </c>
      <c r="C11" s="102">
        <f>(alfa3*B11)+((1-alfa3)*(C10+D10))</f>
        <v>119.7212405</v>
      </c>
      <c r="D11" s="102">
        <f>(beta1*(C11-C10))+((1-beta1)*D10)</f>
        <v>-3.625933362</v>
      </c>
      <c r="E11" s="102">
        <f t="shared" si="5"/>
        <v>96.59639276</v>
      </c>
      <c r="F11" s="102">
        <f t="shared" si="6"/>
        <v>98.40360724</v>
      </c>
      <c r="G11" s="102">
        <f t="shared" si="7"/>
        <v>9683.269918</v>
      </c>
      <c r="H11" s="102">
        <f t="shared" si="8"/>
        <v>50.46338833</v>
      </c>
      <c r="I11" s="100">
        <f t="shared" si="1"/>
        <v>0.1637330851</v>
      </c>
      <c r="J11" s="100">
        <f t="shared" si="2"/>
        <v>0</v>
      </c>
      <c r="L11" s="97">
        <v>7.0</v>
      </c>
      <c r="M11" s="99">
        <v>170.0</v>
      </c>
      <c r="N11" s="102">
        <f>(alfa4*M11)+((1-alfa4)*(N10+O10))</f>
        <v>171.0528439</v>
      </c>
      <c r="O11" s="102">
        <f>(beta2*(N11-N10))+((1-beta2)*O10)</f>
        <v>6.717192577</v>
      </c>
      <c r="P11" s="102">
        <f t="shared" si="9"/>
        <v>171.3762666</v>
      </c>
      <c r="Q11" s="102">
        <f t="shared" si="10"/>
        <v>1.37626656</v>
      </c>
      <c r="R11" s="102">
        <f t="shared" si="11"/>
        <v>1.894109645</v>
      </c>
      <c r="S11" s="102">
        <f t="shared" si="12"/>
        <v>0.8095685649</v>
      </c>
      <c r="T11" s="100">
        <f t="shared" si="3"/>
        <v>0.0371583146</v>
      </c>
      <c r="U11" s="100">
        <f t="shared" si="4"/>
        <v>0.02162629758</v>
      </c>
    </row>
    <row r="12">
      <c r="A12" s="97">
        <v>8.0</v>
      </c>
      <c r="B12" s="97">
        <v>195.0</v>
      </c>
      <c r="C12" s="102">
        <f>(alfa3*B12)+((1-alfa3)*(C11+D11))</f>
        <v>134.6379099</v>
      </c>
      <c r="D12" s="102">
        <f>(beta1*(C12-C11))+((1-beta1)*D11)</f>
        <v>4.44009887</v>
      </c>
      <c r="E12" s="102">
        <f t="shared" si="5"/>
        <v>116.0953071</v>
      </c>
      <c r="F12" s="102">
        <f t="shared" si="6"/>
        <v>78.9046929</v>
      </c>
      <c r="G12" s="102">
        <f t="shared" si="7"/>
        <v>6225.950562</v>
      </c>
      <c r="H12" s="102">
        <f t="shared" si="8"/>
        <v>40.46394508</v>
      </c>
      <c r="I12" s="100">
        <f t="shared" si="1"/>
        <v>0.001716087473</v>
      </c>
      <c r="J12" s="100">
        <f t="shared" si="2"/>
        <v>0.1077186062</v>
      </c>
      <c r="L12" s="97">
        <v>8.0</v>
      </c>
      <c r="M12" s="99">
        <v>145.0</v>
      </c>
      <c r="N12" s="102">
        <f>(alfa4*M12)+((1-alfa4)*(N11+O11))</f>
        <v>170.0690779</v>
      </c>
      <c r="O12" s="102">
        <f>(beta2*(N12-N11))+((1-beta2)*O11)</f>
        <v>3.367275596</v>
      </c>
      <c r="P12" s="102">
        <f t="shared" si="9"/>
        <v>177.7700365</v>
      </c>
      <c r="Q12" s="102">
        <f t="shared" si="10"/>
        <v>32.7700365</v>
      </c>
      <c r="R12" s="102">
        <f t="shared" si="11"/>
        <v>1073.875292</v>
      </c>
      <c r="S12" s="102">
        <f t="shared" si="12"/>
        <v>22.60002517</v>
      </c>
      <c r="T12" s="100">
        <f t="shared" si="3"/>
        <v>0.005307520907</v>
      </c>
      <c r="U12" s="100">
        <f t="shared" si="4"/>
        <v>0.07234244946</v>
      </c>
    </row>
    <row r="13">
      <c r="A13" s="97">
        <v>9.0</v>
      </c>
      <c r="B13" s="97">
        <v>131.0</v>
      </c>
      <c r="C13" s="102">
        <f>(alfa3*B13)+((1-alfa3)*(C12+D12))</f>
        <v>137.1796767</v>
      </c>
      <c r="D13" s="102">
        <f>(beta1*(C13-C12))+((1-beta1)*D12)</f>
        <v>3.61432442</v>
      </c>
      <c r="E13" s="102">
        <f t="shared" si="5"/>
        <v>139.0780088</v>
      </c>
      <c r="F13" s="102">
        <f t="shared" si="6"/>
        <v>8.0780088</v>
      </c>
      <c r="G13" s="102">
        <f t="shared" si="7"/>
        <v>65.25422617</v>
      </c>
      <c r="H13" s="102">
        <f t="shared" si="8"/>
        <v>6.166418931</v>
      </c>
      <c r="I13" s="100">
        <f t="shared" si="1"/>
        <v>0.1038020126</v>
      </c>
      <c r="J13" s="100">
        <f t="shared" si="2"/>
        <v>0.1575665754</v>
      </c>
      <c r="L13" s="97">
        <v>9.0</v>
      </c>
      <c r="M13" s="99">
        <v>184.0</v>
      </c>
      <c r="N13" s="102">
        <f>(alfa4*M13)+((1-alfa4)*(N12+O12))</f>
        <v>175.9188104</v>
      </c>
      <c r="O13" s="102">
        <f>(beta2*(N13-N12))+((1-beta2)*O12)</f>
        <v>4.447144358</v>
      </c>
      <c r="P13" s="102">
        <f t="shared" si="9"/>
        <v>173.4363535</v>
      </c>
      <c r="Q13" s="102">
        <f t="shared" si="10"/>
        <v>10.56364649</v>
      </c>
      <c r="R13" s="102">
        <f t="shared" si="11"/>
        <v>111.5906271</v>
      </c>
      <c r="S13" s="102">
        <f t="shared" si="12"/>
        <v>5.74111222</v>
      </c>
      <c r="T13" s="100">
        <f t="shared" si="3"/>
        <v>0.06078892529</v>
      </c>
      <c r="U13" s="100">
        <f t="shared" si="4"/>
        <v>0.07091800567</v>
      </c>
    </row>
    <row r="14">
      <c r="A14" s="97">
        <v>10.0</v>
      </c>
      <c r="B14" s="97">
        <v>183.0</v>
      </c>
      <c r="C14" s="102">
        <f>(alfa3*B14)+((1-alfa3)*(C13+D13))</f>
        <v>150.7124109</v>
      </c>
      <c r="D14" s="102">
        <f>(beta1*(C14-C13))+((1-beta1)*D13)</f>
        <v>7.928832652</v>
      </c>
      <c r="E14" s="102">
        <f t="shared" si="5"/>
        <v>140.7940012</v>
      </c>
      <c r="F14" s="102">
        <f t="shared" si="6"/>
        <v>42.20599885</v>
      </c>
      <c r="G14" s="102">
        <f t="shared" si="7"/>
        <v>1781.346339</v>
      </c>
      <c r="H14" s="102">
        <f t="shared" si="8"/>
        <v>23.06338735</v>
      </c>
      <c r="I14" s="100">
        <f t="shared" si="1"/>
        <v>0.007305339045</v>
      </c>
      <c r="J14" s="100">
        <f t="shared" si="2"/>
        <v>0.04777688196</v>
      </c>
      <c r="L14" s="97">
        <v>10.0</v>
      </c>
      <c r="M14" s="99">
        <v>135.0</v>
      </c>
      <c r="N14" s="102">
        <f>(alfa4*M14)+((1-alfa4)*(N13+O13))</f>
        <v>169.7049554</v>
      </c>
      <c r="O14" s="102">
        <f>(beta2*(N14-N13))+((1-beta2)*O13)</f>
        <v>-0.1903903713</v>
      </c>
      <c r="P14" s="102">
        <f t="shared" si="9"/>
        <v>180.3659548</v>
      </c>
      <c r="Q14" s="102">
        <f t="shared" si="10"/>
        <v>45.3659548</v>
      </c>
      <c r="R14" s="102">
        <f t="shared" si="11"/>
        <v>2058.069855</v>
      </c>
      <c r="S14" s="102">
        <f t="shared" si="12"/>
        <v>33.60441096</v>
      </c>
      <c r="T14" s="100">
        <f t="shared" si="3"/>
        <v>0.1289897066</v>
      </c>
      <c r="U14" s="100">
        <f t="shared" si="4"/>
        <v>0.3779972565</v>
      </c>
    </row>
    <row r="15">
      <c r="A15" s="97">
        <v>11.0</v>
      </c>
      <c r="B15" s="97">
        <v>143.0</v>
      </c>
      <c r="C15" s="102">
        <f>(alfa3*B15)+((1-alfa3)*(C14+D14))</f>
        <v>154.9655513</v>
      </c>
      <c r="D15" s="102">
        <f>(beta1*(C15-C14))+((1-beta1)*D14)</f>
        <v>6.329906532</v>
      </c>
      <c r="E15" s="102">
        <f t="shared" si="5"/>
        <v>158.6412435</v>
      </c>
      <c r="F15" s="102">
        <f t="shared" si="6"/>
        <v>15.64124353</v>
      </c>
      <c r="G15" s="102">
        <f t="shared" si="7"/>
        <v>244.6484993</v>
      </c>
      <c r="H15" s="102">
        <f t="shared" si="8"/>
        <v>10.93793254</v>
      </c>
      <c r="I15" s="100">
        <f t="shared" si="1"/>
        <v>0.02014306855</v>
      </c>
      <c r="J15" s="100">
        <f t="shared" si="2"/>
        <v>0.0001956085872</v>
      </c>
      <c r="L15" s="97">
        <v>11.0</v>
      </c>
      <c r="M15" s="99">
        <v>218.0</v>
      </c>
      <c r="N15" s="102">
        <f>(alfa4*M15)+((1-alfa4)*(N14+O14))</f>
        <v>180.9086423</v>
      </c>
      <c r="O15" s="102">
        <f>(beta2*(N15-N14))+((1-beta2)*O14)</f>
        <v>4.766033217</v>
      </c>
      <c r="P15" s="102">
        <f t="shared" si="9"/>
        <v>169.514565</v>
      </c>
      <c r="Q15" s="102">
        <f t="shared" si="10"/>
        <v>48.48543495</v>
      </c>
      <c r="R15" s="102">
        <f t="shared" si="11"/>
        <v>2350.837402</v>
      </c>
      <c r="S15" s="102">
        <f t="shared" si="12"/>
        <v>22.24102521</v>
      </c>
      <c r="T15" s="100">
        <f t="shared" si="3"/>
        <v>0.003196566462</v>
      </c>
      <c r="U15" s="100">
        <f t="shared" si="4"/>
        <v>0.008416799933</v>
      </c>
    </row>
    <row r="16">
      <c r="A16" s="97">
        <v>12.0</v>
      </c>
      <c r="B16" s="97">
        <v>141.0</v>
      </c>
      <c r="C16" s="102">
        <f>(alfa3*B16)+((1-alfa3)*(C15+D15))</f>
        <v>156.5260252</v>
      </c>
      <c r="D16" s="102">
        <f>(beta1*(C16-C15))+((1-beta1)*D15)</f>
        <v>4.255203355</v>
      </c>
      <c r="E16" s="102">
        <f t="shared" si="5"/>
        <v>161.2954578</v>
      </c>
      <c r="F16" s="102">
        <f t="shared" si="6"/>
        <v>20.29545784</v>
      </c>
      <c r="G16" s="102">
        <f t="shared" si="7"/>
        <v>411.9056087</v>
      </c>
      <c r="H16" s="102">
        <f t="shared" si="8"/>
        <v>14.39394173</v>
      </c>
      <c r="I16" s="100">
        <f t="shared" si="1"/>
        <v>0.002621128743</v>
      </c>
      <c r="J16" s="100">
        <f t="shared" si="2"/>
        <v>0.03666817565</v>
      </c>
      <c r="L16" s="97">
        <v>12.0</v>
      </c>
      <c r="M16" s="99">
        <v>198.0</v>
      </c>
      <c r="N16" s="102">
        <f>(alfa4*M16)+((1-alfa4)*(N15+O15))</f>
        <v>188.5711267</v>
      </c>
      <c r="O16" s="102">
        <f>(beta2*(N16-N15))+((1-beta2)*O15)</f>
        <v>6.025989516</v>
      </c>
      <c r="P16" s="102">
        <f t="shared" si="9"/>
        <v>185.6746755</v>
      </c>
      <c r="Q16" s="102">
        <f t="shared" si="10"/>
        <v>12.32532452</v>
      </c>
      <c r="R16" s="102">
        <f t="shared" si="11"/>
        <v>151.9136246</v>
      </c>
      <c r="S16" s="102">
        <f t="shared" si="12"/>
        <v>6.224911375</v>
      </c>
      <c r="T16" s="100">
        <f t="shared" si="3"/>
        <v>0.03197031368</v>
      </c>
      <c r="U16" s="100">
        <f t="shared" si="4"/>
        <v>0.0261197837</v>
      </c>
    </row>
    <row r="17">
      <c r="A17" s="97">
        <v>13.0</v>
      </c>
      <c r="B17" s="97">
        <v>168.0</v>
      </c>
      <c r="C17" s="102">
        <f>(alfa3*B17)+((1-alfa3)*(C16+D16))</f>
        <v>162.4776399</v>
      </c>
      <c r="D17" s="102">
        <f>(beta1*(C17-C16))+((1-beta1)*D16)</f>
        <v>4.993142261</v>
      </c>
      <c r="E17" s="102">
        <f t="shared" si="5"/>
        <v>160.7812286</v>
      </c>
      <c r="F17" s="102">
        <f t="shared" si="6"/>
        <v>7.218771401</v>
      </c>
      <c r="G17" s="102">
        <f t="shared" si="7"/>
        <v>52.11066055</v>
      </c>
      <c r="H17" s="102">
        <f t="shared" si="8"/>
        <v>4.296887739</v>
      </c>
      <c r="I17" s="100">
        <f t="shared" si="1"/>
        <v>0.03983164861</v>
      </c>
      <c r="J17" s="100">
        <f t="shared" si="2"/>
        <v>0.03858418367</v>
      </c>
      <c r="L17" s="97">
        <v>13.0</v>
      </c>
      <c r="M17" s="99">
        <v>230.0</v>
      </c>
      <c r="N17" s="102">
        <f>(alfa4*M17)+((1-alfa4)*(N16+O16))</f>
        <v>202.9167939</v>
      </c>
      <c r="O17" s="102">
        <f>(beta2*(N17-N16))+((1-beta2)*O16)</f>
        <v>9.645049307</v>
      </c>
      <c r="P17" s="102">
        <f t="shared" si="9"/>
        <v>194.5971163</v>
      </c>
      <c r="Q17" s="102">
        <f t="shared" si="10"/>
        <v>35.40288374</v>
      </c>
      <c r="R17" s="102">
        <f t="shared" si="11"/>
        <v>1253.364177</v>
      </c>
      <c r="S17" s="102">
        <f t="shared" si="12"/>
        <v>15.39255815</v>
      </c>
      <c r="T17" s="100">
        <f t="shared" si="3"/>
        <v>0.001683909319</v>
      </c>
      <c r="U17" s="100">
        <f t="shared" si="4"/>
        <v>0.001209829868</v>
      </c>
    </row>
    <row r="18">
      <c r="A18" s="97">
        <v>14.0</v>
      </c>
      <c r="B18" s="97">
        <v>201.0</v>
      </c>
      <c r="C18" s="102">
        <f>(alfa3*B18)+((1-alfa3)*(C17+D17))</f>
        <v>175.3501483</v>
      </c>
      <c r="D18" s="102">
        <f>(beta1*(C18-C17))+((1-beta1)*D17)</f>
        <v>8.420666557</v>
      </c>
      <c r="E18" s="102">
        <f t="shared" si="5"/>
        <v>167.4707821</v>
      </c>
      <c r="F18" s="102">
        <f t="shared" si="6"/>
        <v>33.52921786</v>
      </c>
      <c r="G18" s="102">
        <f t="shared" si="7"/>
        <v>1124.20845</v>
      </c>
      <c r="H18" s="102">
        <f t="shared" si="8"/>
        <v>16.68120292</v>
      </c>
      <c r="I18" s="100">
        <f t="shared" si="1"/>
        <v>0.02048859656</v>
      </c>
      <c r="J18" s="100">
        <f t="shared" si="2"/>
        <v>0.05237494121</v>
      </c>
      <c r="L18" s="97">
        <v>14.0</v>
      </c>
      <c r="M18" s="99">
        <v>222.0</v>
      </c>
      <c r="N18" s="102">
        <f>(alfa4*M18)+((1-alfa4)*(N17+O17))</f>
        <v>214.7798101</v>
      </c>
      <c r="O18" s="102">
        <f>(beta2*(N18-N17))+((1-beta2)*O17)</f>
        <v>10.60986488</v>
      </c>
      <c r="P18" s="102">
        <f t="shared" si="9"/>
        <v>212.5618432</v>
      </c>
      <c r="Q18" s="102">
        <f t="shared" si="10"/>
        <v>9.438156757</v>
      </c>
      <c r="R18" s="102">
        <f t="shared" si="11"/>
        <v>89.07880297</v>
      </c>
      <c r="S18" s="102">
        <f t="shared" si="12"/>
        <v>4.251421963</v>
      </c>
      <c r="T18" s="100">
        <f t="shared" si="3"/>
        <v>0.007628429006</v>
      </c>
      <c r="U18" s="100">
        <f t="shared" si="4"/>
        <v>0.005194383573</v>
      </c>
    </row>
    <row r="19">
      <c r="A19" s="97">
        <v>15.0</v>
      </c>
      <c r="B19" s="97">
        <v>155.0</v>
      </c>
      <c r="C19" s="102">
        <f>(alfa3*B19)+((1-alfa3)*(C18+D18))</f>
        <v>177.0096734</v>
      </c>
      <c r="D19" s="102">
        <f>(beta1*(C19-C18))+((1-beta1)*D18)</f>
        <v>5.479570005</v>
      </c>
      <c r="E19" s="102">
        <f t="shared" si="5"/>
        <v>183.7708149</v>
      </c>
      <c r="F19" s="102">
        <f t="shared" si="6"/>
        <v>28.77081489</v>
      </c>
      <c r="G19" s="102">
        <f t="shared" si="7"/>
        <v>827.7597896</v>
      </c>
      <c r="H19" s="102">
        <f t="shared" si="8"/>
        <v>18.56181606</v>
      </c>
      <c r="I19" s="100">
        <f t="shared" si="1"/>
        <v>0.1524058965</v>
      </c>
      <c r="J19" s="100">
        <f t="shared" si="2"/>
        <v>0.3223309053</v>
      </c>
      <c r="L19" s="97">
        <v>15.0</v>
      </c>
      <c r="M19" s="99">
        <v>206.0</v>
      </c>
      <c r="N19" s="102">
        <f>(alfa4*M19)+((1-alfa4)*(N18+O18))</f>
        <v>220.8331013</v>
      </c>
      <c r="O19" s="102">
        <f>(beta2*(N19-N18))+((1-beta2)*O18)</f>
        <v>8.627755358</v>
      </c>
      <c r="P19" s="102">
        <f t="shared" si="9"/>
        <v>225.389675</v>
      </c>
      <c r="Q19" s="102">
        <f t="shared" si="10"/>
        <v>19.38967496</v>
      </c>
      <c r="R19" s="102">
        <f t="shared" si="11"/>
        <v>375.9594951</v>
      </c>
      <c r="S19" s="102">
        <f t="shared" si="12"/>
        <v>9.412463574</v>
      </c>
      <c r="T19" s="100">
        <f t="shared" si="3"/>
        <v>0.002617436644</v>
      </c>
      <c r="U19" s="100">
        <f t="shared" si="4"/>
        <v>0.02724102177</v>
      </c>
    </row>
    <row r="20">
      <c r="A20" s="97">
        <v>16.0</v>
      </c>
      <c r="B20" s="97">
        <v>243.0</v>
      </c>
      <c r="C20" s="102">
        <f>(alfa3*B20)+((1-alfa3)*(C19+D19))</f>
        <v>196.7092712</v>
      </c>
      <c r="D20" s="102">
        <f>(beta1*(C20-C19))+((1-beta1)*D19)</f>
        <v>11.6652821</v>
      </c>
      <c r="E20" s="102">
        <f t="shared" si="5"/>
        <v>182.4892434</v>
      </c>
      <c r="F20" s="102">
        <f t="shared" si="6"/>
        <v>60.5107566</v>
      </c>
      <c r="G20" s="102">
        <f t="shared" si="7"/>
        <v>3661.551665</v>
      </c>
      <c r="H20" s="102">
        <f t="shared" si="8"/>
        <v>24.90154593</v>
      </c>
      <c r="I20" s="100">
        <f t="shared" si="1"/>
        <v>0.004680951041</v>
      </c>
      <c r="J20" s="100">
        <f t="shared" si="2"/>
        <v>0.00548696845</v>
      </c>
      <c r="L20" s="97">
        <v>16.0</v>
      </c>
      <c r="M20" s="99">
        <v>240.0</v>
      </c>
      <c r="N20" s="102">
        <f>(alfa4*M20)+((1-alfa4)*(N19+O19))</f>
        <v>231.9375554</v>
      </c>
      <c r="O20" s="102">
        <f>(beta2*(N20-N19))+((1-beta2)*O19)</f>
        <v>9.705119281</v>
      </c>
      <c r="P20" s="102">
        <f t="shared" si="9"/>
        <v>229.4608567</v>
      </c>
      <c r="Q20" s="102">
        <f t="shared" si="10"/>
        <v>10.5391433</v>
      </c>
      <c r="R20" s="102">
        <f t="shared" si="11"/>
        <v>111.0735414</v>
      </c>
      <c r="S20" s="102">
        <f t="shared" si="12"/>
        <v>4.391309707</v>
      </c>
      <c r="T20" s="100">
        <f t="shared" si="3"/>
        <v>0.04811199992</v>
      </c>
      <c r="U20" s="100">
        <f t="shared" si="4"/>
        <v>0.04515625</v>
      </c>
    </row>
    <row r="21">
      <c r="A21" s="97">
        <v>17.0</v>
      </c>
      <c r="B21" s="97">
        <v>225.0</v>
      </c>
      <c r="C21" s="102">
        <f>(alfa3*B21)+((1-alfa3)*(C20+D20))</f>
        <v>212.2815333</v>
      </c>
      <c r="D21" s="102">
        <f>(beta1*(C21-C20))+((1-beta1)*D20)</f>
        <v>13.36481839</v>
      </c>
      <c r="E21" s="102">
        <f t="shared" si="5"/>
        <v>208.3745533</v>
      </c>
      <c r="F21" s="102">
        <f t="shared" si="6"/>
        <v>16.6254467</v>
      </c>
      <c r="G21" s="102">
        <f t="shared" si="7"/>
        <v>276.405478</v>
      </c>
      <c r="H21" s="102">
        <f t="shared" si="8"/>
        <v>7.389087423</v>
      </c>
      <c r="I21" s="100">
        <f t="shared" si="1"/>
        <v>0.06793865804</v>
      </c>
      <c r="J21" s="100">
        <f t="shared" si="2"/>
        <v>0.06644938272</v>
      </c>
      <c r="L21" s="97">
        <v>17.0</v>
      </c>
      <c r="M21" s="99">
        <v>189.0</v>
      </c>
      <c r="N21" s="102">
        <f>(alfa4*M21)+((1-alfa4)*(N20+O20))</f>
        <v>229.2716461</v>
      </c>
      <c r="O21" s="102">
        <f>(beta2*(N21-N20))+((1-beta2)*O20)</f>
        <v>4.323721864</v>
      </c>
      <c r="P21" s="102">
        <f t="shared" si="9"/>
        <v>241.6426747</v>
      </c>
      <c r="Q21" s="102">
        <f t="shared" si="10"/>
        <v>52.64267466</v>
      </c>
      <c r="R21" s="102">
        <f t="shared" si="11"/>
        <v>2771.251195</v>
      </c>
      <c r="S21" s="102">
        <f t="shared" si="12"/>
        <v>27.85326702</v>
      </c>
      <c r="T21" s="100">
        <f t="shared" si="3"/>
        <v>0.003763964015</v>
      </c>
      <c r="U21" s="100">
        <f t="shared" si="4"/>
        <v>0.03048626858</v>
      </c>
    </row>
    <row r="22">
      <c r="A22" s="97">
        <v>18.0</v>
      </c>
      <c r="B22" s="97">
        <v>167.0</v>
      </c>
      <c r="C22" s="102">
        <f>(alfa3*B22)+((1-alfa3)*(C21+D21))</f>
        <v>211.864459</v>
      </c>
      <c r="D22" s="102">
        <f>(beta1*(C22-C21))+((1-beta1)*D21)</f>
        <v>7.369695089</v>
      </c>
      <c r="E22" s="102">
        <f t="shared" si="5"/>
        <v>225.6463517</v>
      </c>
      <c r="F22" s="102">
        <f t="shared" si="6"/>
        <v>58.64635166</v>
      </c>
      <c r="G22" s="102">
        <f t="shared" si="7"/>
        <v>3439.394563</v>
      </c>
      <c r="H22" s="102">
        <f t="shared" si="8"/>
        <v>35.11757584</v>
      </c>
      <c r="I22" s="100">
        <f t="shared" si="1"/>
        <v>0.01131719604</v>
      </c>
      <c r="J22" s="100">
        <f t="shared" si="2"/>
        <v>0.1756965112</v>
      </c>
      <c r="L22" s="97">
        <v>18.0</v>
      </c>
      <c r="M22" s="99">
        <v>222.0</v>
      </c>
      <c r="N22" s="102">
        <f>(alfa4*M22)+((1-alfa4)*(N21+O21))</f>
        <v>230.8704565</v>
      </c>
      <c r="O22" s="102">
        <f>(beta2*(N22-N21))+((1-beta2)*O21)</f>
        <v>3.138385373</v>
      </c>
      <c r="P22" s="102">
        <f t="shared" si="9"/>
        <v>233.595368</v>
      </c>
      <c r="Q22" s="102">
        <f t="shared" si="10"/>
        <v>11.59536798</v>
      </c>
      <c r="R22" s="102">
        <f t="shared" si="11"/>
        <v>134.4525586</v>
      </c>
      <c r="S22" s="102">
        <f t="shared" si="12"/>
        <v>5.223138729</v>
      </c>
      <c r="T22" s="100">
        <f t="shared" si="3"/>
        <v>0.1172255508</v>
      </c>
      <c r="U22" s="100">
        <f t="shared" si="4"/>
        <v>0.08311013716</v>
      </c>
    </row>
    <row r="23">
      <c r="A23" s="97">
        <v>19.0</v>
      </c>
      <c r="B23" s="97">
        <v>237.0</v>
      </c>
      <c r="C23" s="102">
        <f>(alfa3*B23)+((1-alfa3)*(C22+D22))</f>
        <v>223.4091279</v>
      </c>
      <c r="D23" s="102">
        <f>(beta1*(C23-C22))+((1-beta1)*D22)</f>
        <v>9.185808685</v>
      </c>
      <c r="E23" s="102">
        <f t="shared" si="5"/>
        <v>219.2341541</v>
      </c>
      <c r="F23" s="102">
        <f t="shared" si="6"/>
        <v>17.76584589</v>
      </c>
      <c r="G23" s="102">
        <f t="shared" si="7"/>
        <v>315.6252802</v>
      </c>
      <c r="H23" s="102">
        <f t="shared" si="8"/>
        <v>7.496137507</v>
      </c>
      <c r="I23" s="100">
        <f t="shared" si="1"/>
        <v>0.01666488889</v>
      </c>
      <c r="J23" s="100">
        <f t="shared" si="2"/>
        <v>0.021809183</v>
      </c>
      <c r="L23" s="97">
        <v>19.0</v>
      </c>
      <c r="M23" s="99">
        <v>158.0</v>
      </c>
      <c r="N23" s="102">
        <f>(alfa4*M23)+((1-alfa4)*(N22+O22))</f>
        <v>216.146764</v>
      </c>
      <c r="O23" s="102">
        <f>(beta2*(N23-N22))+((1-beta2)*O22)</f>
        <v>-4.631618488</v>
      </c>
      <c r="P23" s="102">
        <f t="shared" si="9"/>
        <v>234.0088419</v>
      </c>
      <c r="Q23" s="102">
        <f t="shared" si="10"/>
        <v>76.00884188</v>
      </c>
      <c r="R23" s="102">
        <f t="shared" si="11"/>
        <v>5777.344043</v>
      </c>
      <c r="S23" s="102">
        <f t="shared" si="12"/>
        <v>48.10686195</v>
      </c>
      <c r="T23" s="100">
        <f t="shared" si="3"/>
        <v>0.04499539261</v>
      </c>
      <c r="U23" s="100">
        <f t="shared" si="4"/>
        <v>0.01602307323</v>
      </c>
    </row>
    <row r="24">
      <c r="A24" s="97">
        <v>20.0</v>
      </c>
      <c r="B24" s="97">
        <v>202.0</v>
      </c>
      <c r="C24" s="102">
        <f>(alfa3*B24)+((1-alfa3)*(C23+D23))</f>
        <v>225.4051265</v>
      </c>
      <c r="D24" s="102">
        <f>(beta1*(C24-C23))+((1-beta1)*D23)</f>
        <v>6.058241293</v>
      </c>
      <c r="E24" s="102">
        <f t="shared" si="5"/>
        <v>232.5949366</v>
      </c>
      <c r="F24" s="102">
        <f t="shared" si="6"/>
        <v>30.59493658</v>
      </c>
      <c r="G24" s="102">
        <f t="shared" si="7"/>
        <v>936.0501442</v>
      </c>
      <c r="H24" s="102">
        <f t="shared" si="8"/>
        <v>15.14600821</v>
      </c>
      <c r="I24" s="100">
        <f t="shared" si="1"/>
        <v>0.05065478408</v>
      </c>
      <c r="J24" s="100">
        <f t="shared" si="2"/>
        <v>0.006273894716</v>
      </c>
      <c r="L24" s="97">
        <v>20.0</v>
      </c>
      <c r="M24" s="99">
        <v>178.0</v>
      </c>
      <c r="N24" s="102">
        <f>(alfa4*M24)+((1-alfa4)*(N23+O23))</f>
        <v>203.6390863</v>
      </c>
      <c r="O24" s="102">
        <f>(beta2*(N24-N23))+((1-beta2)*O23)</f>
        <v>-8.057704242</v>
      </c>
      <c r="P24" s="102">
        <f t="shared" si="9"/>
        <v>211.5151455</v>
      </c>
      <c r="Q24" s="102">
        <f t="shared" si="10"/>
        <v>33.51514555</v>
      </c>
      <c r="R24" s="102">
        <f t="shared" si="11"/>
        <v>1123.264981</v>
      </c>
      <c r="S24" s="102">
        <f t="shared" si="12"/>
        <v>18.82873345</v>
      </c>
      <c r="T24" s="100">
        <f t="shared" si="3"/>
        <v>0.01447914382</v>
      </c>
      <c r="U24" s="100">
        <f t="shared" si="4"/>
        <v>0.04800530236</v>
      </c>
    </row>
    <row r="25">
      <c r="A25" s="97">
        <v>21.0</v>
      </c>
      <c r="B25" s="97">
        <v>186.0</v>
      </c>
      <c r="C25" s="102">
        <f>(alfa3*B25)+((1-alfa3)*(C24+D24))</f>
        <v>220.7794763</v>
      </c>
      <c r="D25" s="102">
        <f>(beta1*(C25-C24))+((1-beta1)*D24)</f>
        <v>1.410748522</v>
      </c>
      <c r="E25" s="102">
        <f t="shared" si="5"/>
        <v>231.4633678</v>
      </c>
      <c r="F25" s="102">
        <f t="shared" si="6"/>
        <v>45.46336778</v>
      </c>
      <c r="G25" s="102">
        <f t="shared" si="7"/>
        <v>2066.91781</v>
      </c>
      <c r="H25" s="102">
        <f t="shared" si="8"/>
        <v>24.44267085</v>
      </c>
      <c r="I25" s="100">
        <f t="shared" si="1"/>
        <v>0.06167004491</v>
      </c>
      <c r="J25" s="100">
        <f t="shared" si="2"/>
        <v>0.002890507573</v>
      </c>
      <c r="L25" s="97">
        <v>21.0</v>
      </c>
      <c r="M25" s="99">
        <v>217.0</v>
      </c>
      <c r="N25" s="102">
        <f>(alfa4*M25)+((1-alfa4)*(N24+O24))</f>
        <v>200.6147573</v>
      </c>
      <c r="O25" s="102">
        <f>(beta2*(N25-N24))+((1-beta2)*O24)</f>
        <v>-5.868186027</v>
      </c>
      <c r="P25" s="102">
        <f t="shared" si="9"/>
        <v>195.5813821</v>
      </c>
      <c r="Q25" s="102">
        <f t="shared" si="10"/>
        <v>21.4186179</v>
      </c>
      <c r="R25" s="102">
        <f t="shared" si="11"/>
        <v>458.7571927</v>
      </c>
      <c r="S25" s="102">
        <f t="shared" si="12"/>
        <v>9.870330829</v>
      </c>
      <c r="T25" s="100">
        <f t="shared" si="3"/>
        <v>0.09321745667</v>
      </c>
      <c r="U25" s="100">
        <f t="shared" si="4"/>
        <v>0.04111363588</v>
      </c>
    </row>
    <row r="26">
      <c r="A26" s="97">
        <v>22.0</v>
      </c>
      <c r="B26" s="97">
        <v>176.0</v>
      </c>
      <c r="C26" s="102">
        <f>(alfa3*B26)+((1-alfa3)*(C25+D25))</f>
        <v>211.335522</v>
      </c>
      <c r="D26" s="102">
        <f>(beta1*(C26-C25))+((1-beta1)*D25)</f>
        <v>-3.311047215</v>
      </c>
      <c r="E26" s="102">
        <f t="shared" si="5"/>
        <v>222.1902249</v>
      </c>
      <c r="F26" s="102">
        <f t="shared" si="6"/>
        <v>46.19022487</v>
      </c>
      <c r="G26" s="102">
        <f t="shared" si="7"/>
        <v>2133.536874</v>
      </c>
      <c r="H26" s="102">
        <f t="shared" si="8"/>
        <v>26.24444595</v>
      </c>
      <c r="I26" s="100">
        <f t="shared" si="1"/>
        <v>0.01855713482</v>
      </c>
      <c r="J26" s="100">
        <f t="shared" si="2"/>
        <v>0.1012396694</v>
      </c>
      <c r="L26" s="97">
        <v>22.0</v>
      </c>
      <c r="M26" s="99">
        <v>261.0</v>
      </c>
      <c r="N26" s="102">
        <f>(alfa4*M26)+((1-alfa4)*(N25+O25))</f>
        <v>210.316127</v>
      </c>
      <c r="O26" s="102">
        <f>(beta2*(N26-N25))+((1-beta2)*O25)</f>
        <v>0.9045707236</v>
      </c>
      <c r="P26" s="102">
        <f t="shared" si="9"/>
        <v>194.7465713</v>
      </c>
      <c r="Q26" s="102">
        <f t="shared" si="10"/>
        <v>66.25342872</v>
      </c>
      <c r="R26" s="102">
        <f t="shared" si="11"/>
        <v>4389.516817</v>
      </c>
      <c r="S26" s="102">
        <f t="shared" si="12"/>
        <v>25.38445545</v>
      </c>
      <c r="T26" s="100">
        <f t="shared" si="3"/>
        <v>0.01052731212</v>
      </c>
      <c r="U26" s="100">
        <f t="shared" si="4"/>
        <v>0.007765593576</v>
      </c>
    </row>
    <row r="27">
      <c r="A27" s="97">
        <v>23.0</v>
      </c>
      <c r="B27" s="97">
        <v>232.0</v>
      </c>
      <c r="C27" s="102">
        <f>(alfa3*B27)+((1-alfa3)*(C26+D26))</f>
        <v>213.6587232</v>
      </c>
      <c r="D27" s="102">
        <f>(beta1*(C27-C26))+((1-beta1)*D26)</f>
        <v>-0.8601491526</v>
      </c>
      <c r="E27" s="102">
        <f t="shared" si="5"/>
        <v>208.0244748</v>
      </c>
      <c r="F27" s="102">
        <f t="shared" si="6"/>
        <v>23.97552519</v>
      </c>
      <c r="G27" s="102">
        <f t="shared" si="7"/>
        <v>574.8258081</v>
      </c>
      <c r="H27" s="102">
        <f t="shared" si="8"/>
        <v>10.3342781</v>
      </c>
      <c r="I27" s="100">
        <f t="shared" si="1"/>
        <v>0.005885650253</v>
      </c>
      <c r="J27" s="100">
        <f t="shared" si="2"/>
        <v>0.0254347503</v>
      </c>
      <c r="L27" s="97">
        <v>23.0</v>
      </c>
      <c r="M27" s="99">
        <v>238.0</v>
      </c>
      <c r="N27" s="102">
        <f>(alfa4*M27)+((1-alfa4)*(N26+O26))</f>
        <v>217.5138338</v>
      </c>
      <c r="O27" s="102">
        <f>(beta2*(N27-N26))+((1-beta2)*O26)</f>
        <v>3.642084896</v>
      </c>
      <c r="P27" s="102">
        <f t="shared" si="9"/>
        <v>211.2206978</v>
      </c>
      <c r="Q27" s="102">
        <f t="shared" si="10"/>
        <v>26.77930225</v>
      </c>
      <c r="R27" s="102">
        <f t="shared" si="11"/>
        <v>717.1310288</v>
      </c>
      <c r="S27" s="102">
        <f t="shared" si="12"/>
        <v>11.25180767</v>
      </c>
      <c r="T27" s="100">
        <f t="shared" si="3"/>
        <v>0.006268967603</v>
      </c>
      <c r="U27" s="100">
        <f t="shared" si="4"/>
        <v>0.00007061648189</v>
      </c>
    </row>
    <row r="28">
      <c r="A28" s="97">
        <v>24.0</v>
      </c>
      <c r="B28" s="97">
        <v>195.0</v>
      </c>
      <c r="C28" s="102">
        <f>(alfa3*B28)+((1-alfa3)*(C27+D27))</f>
        <v>208.6159092</v>
      </c>
      <c r="D28" s="102">
        <f>(beta1*(C28-C27))+((1-beta1)*D27)</f>
        <v>-2.679608388</v>
      </c>
      <c r="E28" s="102">
        <f t="shared" si="5"/>
        <v>212.7985741</v>
      </c>
      <c r="F28" s="102">
        <f t="shared" si="6"/>
        <v>17.79857408</v>
      </c>
      <c r="G28" s="102">
        <f t="shared" si="7"/>
        <v>316.7892392</v>
      </c>
      <c r="H28" s="102">
        <f t="shared" si="8"/>
        <v>9.127473886</v>
      </c>
      <c r="I28" s="100">
        <f t="shared" si="1"/>
        <v>0.006678913415</v>
      </c>
      <c r="J28" s="100">
        <f t="shared" si="2"/>
        <v>0.0006574621959</v>
      </c>
      <c r="L28" s="97">
        <v>24.0</v>
      </c>
      <c r="M28" s="99">
        <v>240.0</v>
      </c>
      <c r="N28" s="102">
        <f>(alfa4*M28)+((1-alfa4)*(N27+O27))</f>
        <v>225.5842778</v>
      </c>
      <c r="O28" s="102">
        <f>(beta2*(N28-N27))+((1-beta2)*O27)</f>
        <v>5.568421109</v>
      </c>
      <c r="P28" s="102">
        <f t="shared" si="9"/>
        <v>221.1559187</v>
      </c>
      <c r="Q28" s="102">
        <f t="shared" si="10"/>
        <v>18.84408132</v>
      </c>
      <c r="R28" s="102">
        <f t="shared" si="11"/>
        <v>355.0994009</v>
      </c>
      <c r="S28" s="102">
        <f t="shared" si="12"/>
        <v>7.851700551</v>
      </c>
      <c r="T28" s="100">
        <f t="shared" si="3"/>
        <v>0.005107900685</v>
      </c>
      <c r="U28" s="100">
        <f t="shared" si="4"/>
        <v>0.01173611111</v>
      </c>
    </row>
    <row r="29">
      <c r="A29" s="97">
        <v>25.0</v>
      </c>
      <c r="B29" s="97">
        <v>190.0</v>
      </c>
      <c r="C29" s="102">
        <f>(alfa3*B29)+((1-alfa3)*(C28+D28))</f>
        <v>202.1912701</v>
      </c>
      <c r="D29" s="102">
        <f>(beta1*(C29-C28))+((1-beta1)*D28)</f>
        <v>-4.308696735</v>
      </c>
      <c r="E29" s="102">
        <f t="shared" si="5"/>
        <v>205.9363008</v>
      </c>
      <c r="F29" s="102">
        <f t="shared" si="6"/>
        <v>15.93630078</v>
      </c>
      <c r="G29" s="102">
        <f t="shared" si="7"/>
        <v>253.9656826</v>
      </c>
      <c r="H29" s="102">
        <f t="shared" si="8"/>
        <v>8.387526727</v>
      </c>
      <c r="I29" s="100">
        <f t="shared" si="1"/>
        <v>0.006987704616</v>
      </c>
      <c r="J29" s="100">
        <f t="shared" si="2"/>
        <v>0.001772853186</v>
      </c>
      <c r="L29" s="97">
        <v>25.0</v>
      </c>
      <c r="M29" s="99">
        <v>214.0</v>
      </c>
      <c r="N29" s="102">
        <f>(alfa4*M29)+((1-alfa4)*(N28+O28))</f>
        <v>227.1218147</v>
      </c>
      <c r="O29" s="102">
        <f>(beta2*(N29-N28))+((1-beta2)*O28)</f>
        <v>3.814986464</v>
      </c>
      <c r="P29" s="102">
        <f t="shared" si="9"/>
        <v>231.1526989</v>
      </c>
      <c r="Q29" s="102">
        <f t="shared" si="10"/>
        <v>17.1526989</v>
      </c>
      <c r="R29" s="102">
        <f t="shared" si="11"/>
        <v>294.2150795</v>
      </c>
      <c r="S29" s="102">
        <f t="shared" si="12"/>
        <v>8.015279858</v>
      </c>
      <c r="T29" s="100">
        <f t="shared" si="3"/>
        <v>0.02089889212</v>
      </c>
      <c r="U29" s="100">
        <f t="shared" si="4"/>
        <v>0.004279849769</v>
      </c>
    </row>
    <row r="30">
      <c r="A30" s="97">
        <v>26.0</v>
      </c>
      <c r="B30" s="97">
        <v>182.0</v>
      </c>
      <c r="C30" s="102">
        <f>(alfa3*B30)+((1-alfa3)*(C29+D29))</f>
        <v>194.1501686</v>
      </c>
      <c r="D30" s="102">
        <f>(beta1*(C30-C29))+((1-beta1)*D29)</f>
        <v>-5.932292797</v>
      </c>
      <c r="E30" s="102">
        <f t="shared" si="5"/>
        <v>197.8825734</v>
      </c>
      <c r="F30" s="102">
        <f t="shared" si="6"/>
        <v>15.88257336</v>
      </c>
      <c r="G30" s="102">
        <f t="shared" si="7"/>
        <v>252.2561366</v>
      </c>
      <c r="H30" s="102">
        <f t="shared" si="8"/>
        <v>8.726688661</v>
      </c>
      <c r="I30" s="100">
        <f t="shared" si="1"/>
        <v>0.03445332429</v>
      </c>
      <c r="J30" s="100">
        <f t="shared" si="2"/>
        <v>0.04830334501</v>
      </c>
      <c r="L30" s="97">
        <v>26.0</v>
      </c>
      <c r="M30" s="99">
        <v>200.0</v>
      </c>
      <c r="N30" s="102">
        <f>(alfa4*M30)+((1-alfa4)*(N29+O29))</f>
        <v>223.6666529</v>
      </c>
      <c r="O30" s="102">
        <f>(beta2*(N30-N29))+((1-beta2)*O29)</f>
        <v>0.6524719697</v>
      </c>
      <c r="P30" s="102">
        <f t="shared" si="9"/>
        <v>230.9368011</v>
      </c>
      <c r="Q30" s="102">
        <f t="shared" si="10"/>
        <v>30.93680112</v>
      </c>
      <c r="R30" s="102">
        <f t="shared" si="11"/>
        <v>957.0856636</v>
      </c>
      <c r="S30" s="102">
        <f t="shared" si="12"/>
        <v>15.46840056</v>
      </c>
      <c r="T30" s="100">
        <f t="shared" si="3"/>
        <v>0.01359453957</v>
      </c>
      <c r="U30" s="100">
        <f t="shared" si="4"/>
        <v>0.000025</v>
      </c>
    </row>
    <row r="31">
      <c r="A31" s="97">
        <v>27.0</v>
      </c>
      <c r="B31" s="97">
        <v>222.0</v>
      </c>
      <c r="C31" s="102">
        <f>(alfa3*B31)+((1-alfa3)*(C30+D30))</f>
        <v>196.156675</v>
      </c>
      <c r="D31" s="102">
        <f>(beta1*(C31-C30))+((1-beta1)*D30)</f>
        <v>-2.478915153</v>
      </c>
      <c r="E31" s="102">
        <f t="shared" si="5"/>
        <v>188.2178758</v>
      </c>
      <c r="F31" s="102">
        <f t="shared" si="6"/>
        <v>33.78212417</v>
      </c>
      <c r="G31" s="102">
        <f t="shared" si="7"/>
        <v>1141.231914</v>
      </c>
      <c r="H31" s="102">
        <f t="shared" si="8"/>
        <v>15.21717305</v>
      </c>
      <c r="I31" s="100">
        <f t="shared" si="1"/>
        <v>0.01103658156</v>
      </c>
      <c r="J31" s="100">
        <f t="shared" si="2"/>
        <v>0.0005072640208</v>
      </c>
      <c r="L31" s="97">
        <v>27.0</v>
      </c>
      <c r="M31" s="99">
        <v>201.0</v>
      </c>
      <c r="N31" s="102">
        <f>(alfa4*M31)+((1-alfa4)*(N30+O30))</f>
        <v>218.8391305</v>
      </c>
      <c r="O31" s="102">
        <f>(beta2*(N31-N30))+((1-beta2)*O30)</f>
        <v>-1.731325566</v>
      </c>
      <c r="P31" s="102">
        <f t="shared" si="9"/>
        <v>224.3191248</v>
      </c>
      <c r="Q31" s="102">
        <f t="shared" si="10"/>
        <v>23.31912483</v>
      </c>
      <c r="R31" s="102">
        <f t="shared" si="11"/>
        <v>543.7815827</v>
      </c>
      <c r="S31" s="102">
        <f t="shared" si="12"/>
        <v>11.60155464</v>
      </c>
      <c r="T31" s="100">
        <f t="shared" si="3"/>
        <v>0.1074671759</v>
      </c>
      <c r="U31" s="100">
        <f t="shared" si="4"/>
        <v>0.166431524</v>
      </c>
    </row>
    <row r="32">
      <c r="A32" s="97">
        <v>28.0</v>
      </c>
      <c r="B32" s="97">
        <v>217.0</v>
      </c>
      <c r="C32" s="102">
        <f>(alfa3*B32)+((1-alfa3)*(C31+D31))</f>
        <v>199.1584863</v>
      </c>
      <c r="D32" s="102">
        <f>(beta1*(C32-C31))+((1-beta1)*D31)</f>
        <v>-0.09479915445</v>
      </c>
      <c r="E32" s="102">
        <f t="shared" si="5"/>
        <v>193.6777599</v>
      </c>
      <c r="F32" s="102">
        <f t="shared" si="6"/>
        <v>23.32224015</v>
      </c>
      <c r="G32" s="102">
        <f t="shared" si="7"/>
        <v>543.9268855</v>
      </c>
      <c r="H32" s="102">
        <f t="shared" si="8"/>
        <v>10.7475761</v>
      </c>
      <c r="I32" s="100">
        <f t="shared" si="1"/>
        <v>0.002599443033</v>
      </c>
      <c r="J32" s="100">
        <f t="shared" si="2"/>
        <v>0.0178597974</v>
      </c>
      <c r="L32" s="97">
        <v>28.0</v>
      </c>
      <c r="M32" s="99">
        <v>283.0</v>
      </c>
      <c r="N32" s="102">
        <f>(alfa4*M32)+((1-alfa4)*(N31+O31))</f>
        <v>232.5924708</v>
      </c>
      <c r="O32" s="102">
        <f>(beta2*(N32-N31))+((1-beta2)*O31)</f>
        <v>5.004504076</v>
      </c>
      <c r="P32" s="102">
        <f t="shared" si="9"/>
        <v>217.1078049</v>
      </c>
      <c r="Q32" s="102">
        <f t="shared" si="10"/>
        <v>65.89219507</v>
      </c>
      <c r="R32" s="102">
        <f t="shared" si="11"/>
        <v>4341.781372</v>
      </c>
      <c r="S32" s="102">
        <f t="shared" si="12"/>
        <v>23.28346116</v>
      </c>
      <c r="T32" s="100">
        <f t="shared" si="3"/>
        <v>0.003866367712</v>
      </c>
      <c r="U32" s="100">
        <f t="shared" si="4"/>
        <v>0.04955736743</v>
      </c>
    </row>
    <row r="33">
      <c r="A33" s="97">
        <v>29.0</v>
      </c>
      <c r="B33" s="97">
        <v>188.0</v>
      </c>
      <c r="C33" s="102">
        <f>(alfa3*B33)+((1-alfa3)*(C32+D32))</f>
        <v>196.4637207</v>
      </c>
      <c r="D33" s="102">
        <f>(beta1*(C33-C32))+((1-beta1)*D32)</f>
        <v>-1.225784572</v>
      </c>
      <c r="E33" s="102">
        <f t="shared" si="5"/>
        <v>199.0636871</v>
      </c>
      <c r="F33" s="102">
        <f t="shared" si="6"/>
        <v>11.06368713</v>
      </c>
      <c r="G33" s="102">
        <f t="shared" si="7"/>
        <v>122.405173</v>
      </c>
      <c r="H33" s="102">
        <f t="shared" si="8"/>
        <v>5.884939964</v>
      </c>
      <c r="I33" s="100">
        <f t="shared" si="1"/>
        <v>0.07580667895</v>
      </c>
      <c r="J33" s="100">
        <f t="shared" si="2"/>
        <v>0.09848913536</v>
      </c>
      <c r="L33" s="97">
        <v>29.0</v>
      </c>
      <c r="M33" s="99">
        <v>220.0</v>
      </c>
      <c r="N33" s="102">
        <f>(alfa4*M33)+((1-alfa4)*(N32+O32))</f>
        <v>233.4616858</v>
      </c>
      <c r="O33" s="102">
        <f>(beta2*(N33-N32))+((1-beta2)*O32)</f>
        <v>3.205653322</v>
      </c>
      <c r="P33" s="102">
        <f t="shared" si="9"/>
        <v>237.5969748</v>
      </c>
      <c r="Q33" s="102">
        <f t="shared" si="10"/>
        <v>17.59697484</v>
      </c>
      <c r="R33" s="102">
        <f t="shared" si="11"/>
        <v>309.6535237</v>
      </c>
      <c r="S33" s="102">
        <f t="shared" si="12"/>
        <v>7.998624929</v>
      </c>
      <c r="T33" s="100">
        <f t="shared" si="3"/>
        <v>0.01030470545</v>
      </c>
      <c r="U33" s="100">
        <f t="shared" si="4"/>
        <v>0.03142561983</v>
      </c>
    </row>
    <row r="34">
      <c r="A34" s="97">
        <v>30.0</v>
      </c>
      <c r="B34" s="97">
        <v>247.0</v>
      </c>
      <c r="C34" s="102">
        <f>(alfa3*B34)+((1-alfa3)*(C33+D33))</f>
        <v>207.4020211</v>
      </c>
      <c r="D34" s="102">
        <f>(beta1*(C34-C33))+((1-beta1)*D33)</f>
        <v>4.065592412</v>
      </c>
      <c r="E34" s="102">
        <f t="shared" si="5"/>
        <v>195.2379361</v>
      </c>
      <c r="F34" s="102">
        <f t="shared" si="6"/>
        <v>51.76206391</v>
      </c>
      <c r="G34" s="102">
        <f t="shared" si="7"/>
        <v>2679.311261</v>
      </c>
      <c r="H34" s="102">
        <f t="shared" si="8"/>
        <v>20.95630118</v>
      </c>
      <c r="I34" s="97"/>
      <c r="J34" s="100"/>
      <c r="L34" s="97">
        <v>30.0</v>
      </c>
      <c r="M34" s="99">
        <v>259.0</v>
      </c>
      <c r="N34" s="102">
        <f>(alfa4*M34)+((1-alfa4)*(N33+O33))</f>
        <v>241.9155144</v>
      </c>
      <c r="O34" s="102">
        <f>(beta2*(N34-N33))+((1-beta2)*O33)</f>
        <v>5.488609585</v>
      </c>
      <c r="P34" s="102">
        <f t="shared" si="9"/>
        <v>236.6673391</v>
      </c>
      <c r="Q34" s="102">
        <f t="shared" si="10"/>
        <v>22.33266092</v>
      </c>
      <c r="R34" s="102">
        <f t="shared" si="11"/>
        <v>498.7477438</v>
      </c>
      <c r="S34" s="102">
        <f t="shared" si="12"/>
        <v>8.622649005</v>
      </c>
      <c r="T34" s="100"/>
      <c r="U34" s="97"/>
    </row>
    <row r="35">
      <c r="A35" s="97">
        <v>31.0</v>
      </c>
      <c r="B35" s="97"/>
      <c r="C35" s="102"/>
      <c r="D35" s="102"/>
      <c r="E35" s="102">
        <f t="shared" si="5"/>
        <v>211.4676135</v>
      </c>
      <c r="F35" s="97"/>
      <c r="G35" s="97"/>
      <c r="H35" s="97"/>
      <c r="I35" s="97"/>
      <c r="J35" s="100"/>
      <c r="L35" s="97">
        <v>31.0</v>
      </c>
      <c r="M35" s="97"/>
      <c r="N35" s="97"/>
      <c r="O35" s="97"/>
      <c r="P35" s="102">
        <f t="shared" si="9"/>
        <v>247.404124</v>
      </c>
      <c r="Q35" s="97"/>
      <c r="R35" s="97"/>
      <c r="S35" s="97"/>
      <c r="T35" s="97"/>
      <c r="U35" s="97"/>
    </row>
    <row r="36">
      <c r="A36" s="99">
        <v>32.0</v>
      </c>
      <c r="B36" s="97"/>
      <c r="C36" s="102"/>
      <c r="D36" s="102"/>
      <c r="E36" s="102">
        <f>C34+(2*D34)</f>
        <v>215.5332059</v>
      </c>
      <c r="F36" s="97"/>
      <c r="G36" s="97"/>
      <c r="H36" s="97"/>
      <c r="I36" s="97"/>
      <c r="J36" s="100"/>
      <c r="K36" s="89"/>
      <c r="L36" s="99">
        <v>32.0</v>
      </c>
      <c r="M36" s="97"/>
      <c r="N36" s="97"/>
      <c r="O36" s="97"/>
      <c r="P36" s="102">
        <f>N34+(2*O34)</f>
        <v>252.8927336</v>
      </c>
      <c r="Q36" s="97"/>
      <c r="R36" s="97"/>
      <c r="S36" s="97"/>
      <c r="T36" s="97"/>
      <c r="U36" s="97"/>
    </row>
    <row r="37">
      <c r="A37" s="99">
        <v>33.0</v>
      </c>
      <c r="B37" s="97"/>
      <c r="C37" s="102"/>
      <c r="D37" s="102"/>
      <c r="E37" s="102">
        <f>C34+(3*D34)</f>
        <v>219.5987983</v>
      </c>
      <c r="F37" s="97"/>
      <c r="G37" s="97"/>
      <c r="H37" s="97"/>
      <c r="I37" s="97"/>
      <c r="J37" s="100"/>
      <c r="K37" s="89"/>
      <c r="L37" s="99">
        <v>33.0</v>
      </c>
      <c r="M37" s="97"/>
      <c r="N37" s="97"/>
      <c r="O37" s="97"/>
      <c r="P37" s="102">
        <f>N34+(3*O34)</f>
        <v>258.3813431</v>
      </c>
      <c r="Q37" s="97"/>
      <c r="R37" s="97"/>
      <c r="S37" s="97"/>
      <c r="T37" s="97"/>
      <c r="U37" s="97"/>
    </row>
    <row r="38">
      <c r="A38" s="99">
        <v>34.0</v>
      </c>
      <c r="B38" s="97"/>
      <c r="C38" s="102"/>
      <c r="D38" s="102"/>
      <c r="E38" s="102">
        <f>C34+(4*D34)</f>
        <v>223.6643908</v>
      </c>
      <c r="F38" s="97"/>
      <c r="G38" s="97"/>
      <c r="H38" s="97"/>
      <c r="I38" s="97"/>
      <c r="J38" s="100"/>
      <c r="K38" s="89"/>
      <c r="L38" s="99">
        <v>34.0</v>
      </c>
      <c r="M38" s="97"/>
      <c r="N38" s="97"/>
      <c r="O38" s="97"/>
      <c r="P38" s="102">
        <f>N34+(4*O34)</f>
        <v>263.8699527</v>
      </c>
      <c r="Q38" s="97"/>
      <c r="R38" s="97"/>
      <c r="S38" s="97"/>
      <c r="T38" s="97"/>
      <c r="U38" s="97"/>
    </row>
    <row r="39">
      <c r="A39" s="38" t="s">
        <v>20</v>
      </c>
      <c r="B39" s="2"/>
      <c r="C39" s="2"/>
      <c r="D39" s="2"/>
      <c r="E39" s="3"/>
      <c r="F39" s="103">
        <f>AVERAGE(F6:F34)</f>
        <v>34.50404686</v>
      </c>
      <c r="G39" s="2"/>
      <c r="H39" s="2"/>
      <c r="I39" s="2"/>
      <c r="J39" s="3"/>
      <c r="K39" s="104"/>
      <c r="L39" s="38" t="s">
        <v>20</v>
      </c>
      <c r="M39" s="2"/>
      <c r="N39" s="2"/>
      <c r="O39" s="2"/>
      <c r="P39" s="3"/>
      <c r="Q39" s="30">
        <f>average(Q6:Q34)</f>
        <v>28.07315143</v>
      </c>
      <c r="R39" s="2"/>
      <c r="S39" s="2"/>
      <c r="T39" s="2"/>
      <c r="U39" s="3"/>
    </row>
    <row r="40">
      <c r="A40" s="38" t="s">
        <v>21</v>
      </c>
      <c r="B40" s="2"/>
      <c r="C40" s="2"/>
      <c r="D40" s="2"/>
      <c r="E40" s="3"/>
      <c r="F40" s="103">
        <f>average(G6:G34)</f>
        <v>1843.262794</v>
      </c>
      <c r="G40" s="2"/>
      <c r="H40" s="2"/>
      <c r="I40" s="2"/>
      <c r="J40" s="3"/>
      <c r="K40" s="104"/>
      <c r="L40" s="38" t="s">
        <v>21</v>
      </c>
      <c r="M40" s="2"/>
      <c r="N40" s="2"/>
      <c r="O40" s="2"/>
      <c r="P40" s="3"/>
      <c r="Q40" s="37">
        <f>average(R6:R34)</f>
        <v>1164.301768</v>
      </c>
      <c r="R40" s="2"/>
      <c r="S40" s="2"/>
      <c r="T40" s="2"/>
      <c r="U40" s="3"/>
    </row>
    <row r="41">
      <c r="A41" s="38" t="s">
        <v>22</v>
      </c>
      <c r="B41" s="2"/>
      <c r="C41" s="2"/>
      <c r="D41" s="2"/>
      <c r="E41" s="3"/>
      <c r="F41" s="103">
        <f>average(H6:H34)</f>
        <v>18.47169027</v>
      </c>
      <c r="G41" s="2"/>
      <c r="H41" s="2"/>
      <c r="I41" s="2"/>
      <c r="J41" s="3"/>
      <c r="K41" s="104"/>
      <c r="L41" s="38" t="s">
        <v>22</v>
      </c>
      <c r="M41" s="2"/>
      <c r="N41" s="2"/>
      <c r="O41" s="2"/>
      <c r="P41" s="3"/>
      <c r="Q41" s="37">
        <f>average(S6:S34)</f>
        <v>14.32185363</v>
      </c>
      <c r="R41" s="2"/>
      <c r="S41" s="2"/>
      <c r="T41" s="2"/>
      <c r="U41" s="3"/>
    </row>
    <row r="42">
      <c r="A42" s="38" t="s">
        <v>23</v>
      </c>
      <c r="B42" s="2"/>
      <c r="C42" s="2"/>
      <c r="D42" s="2"/>
      <c r="E42" s="3"/>
      <c r="F42" s="30">
        <f>sum(I5:I33)/sum(J5:J33)</f>
        <v>0.9055710803</v>
      </c>
      <c r="G42" s="2"/>
      <c r="H42" s="2"/>
      <c r="I42" s="2"/>
      <c r="J42" s="3"/>
      <c r="K42" s="104"/>
      <c r="L42" s="38" t="s">
        <v>23</v>
      </c>
      <c r="M42" s="2"/>
      <c r="N42" s="2"/>
      <c r="O42" s="2"/>
      <c r="P42" s="3"/>
      <c r="Q42" s="30">
        <f>sum(T5:T33)/sum(U5:U33)</f>
        <v>0.6649013663</v>
      </c>
      <c r="R42" s="2"/>
      <c r="S42" s="2"/>
      <c r="T42" s="2"/>
      <c r="U42" s="3"/>
    </row>
  </sheetData>
  <mergeCells count="19">
    <mergeCell ref="A1:C1"/>
    <mergeCell ref="A39:E39"/>
    <mergeCell ref="L39:P39"/>
    <mergeCell ref="F39:J39"/>
    <mergeCell ref="A2:C3"/>
    <mergeCell ref="L2:N3"/>
    <mergeCell ref="A41:E41"/>
    <mergeCell ref="A42:E42"/>
    <mergeCell ref="F42:J42"/>
    <mergeCell ref="L42:P42"/>
    <mergeCell ref="Q42:U42"/>
    <mergeCell ref="A40:E40"/>
    <mergeCell ref="L40:P40"/>
    <mergeCell ref="L41:P41"/>
    <mergeCell ref="F40:J40"/>
    <mergeCell ref="F41:J41"/>
    <mergeCell ref="Q39:U39"/>
    <mergeCell ref="Q40:U40"/>
    <mergeCell ref="Q41:U4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2022-02-08T14:37:39Z</dcterms:created>
  <dc:creator>Nafisya Alya Aurelitha</dc:creator>
</cp:coreProperties>
</file>